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183" documentId="8_{EDBCA7A3-71A8-4717-B6A8-4AB546B092FB}" xr6:coauthVersionLast="47" xr6:coauthVersionMax="47" xr10:uidLastSave="{B44B4953-157A-4E11-BA53-4267354DFC89}"/>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5 Build Assets" sheetId="2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5 Build Assets'!$A$1:$X$36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5 Build Assets'!$A$1:$X$36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5 Build Assets'!#REF!,'Table 5 Build Assets'!$13:$77,'Table 5 Build Assets'!#REF!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5 Build Assets'!$A$1:$X$36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5 Build Assets'!$13:$25,'Table 5 Build Assets'!$27:$39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5 Build Assets'!$A$1:$X$36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5 Build Assets'!$13:$25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5 Build Assets'!$A$1:$X$36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5 Build Assets'!$13:$25,'Table 5 Build Assets'!$27:$39</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Y164" i="22" l="1"/>
  <c r="Z164" i="22"/>
  <c r="DQ84" i="14"/>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<sst xmlns="http://schemas.openxmlformats.org/spreadsheetml/2006/main" count="8769" uniqueCount="1800">
  <si>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</si>
  <si>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</si>
  <si>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</si>
  <si>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</si>
  <si>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</si>
  <si>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</si>
  <si>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</si>
  <si>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</si>
  <si>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</si>
  <si>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</si>
  <si>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</si>
  <si>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</si>
  <si>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</si>
  <si>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</si>
  <si>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</si>
  <si>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</si>
  <si>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</si>
  <si>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</si>
  <si>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</si>
  <si>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</si>
  <si>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</si>
  <si>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</si>
  <si>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</si>
  <si>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</si>
  <si>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</si>
  <si>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</si>
  <si>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</si>
  <si>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</si>
  <si>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</si>
  <si>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</si>
  <si>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</si>
  <si>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</si>
  <si>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</si>
  <si>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</si>
  <si>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</si>
  <si>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</si>
  <si>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</si>
  <si>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</si>
  <si>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</si>
  <si>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</si>
  <si>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</si>
  <si>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</si>
  <si>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</si>
  <si>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</si>
  <si>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</si>
  <si>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</si>
  <si>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</si>
  <si>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</si>
  <si>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</si>
  <si>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</si>
  <si>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</si>
  <si>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</si>
  <si>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</si>
  <si>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</si>
  <si>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</si>
  <si>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</si>
  <si>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</si>
  <si>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</si>
  <si>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</si>
  <si>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</si>
  <si>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</si>
  <si>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</si>
  <si>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</si>
  <si>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</si>
  <si>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</si>
  <si>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</si>
  <si>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</si>
  <si>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</si>
  <si>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</si>
  <si>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</si>
  <si>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</si>
  <si>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</si>
  <si>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</si>
  <si>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</si>
  <si>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</si>
  <si>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</si>
  <si>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</si>
  <si>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</si>
  <si>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</si>
  <si>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</si>
  <si>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</si>
  <si>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</si>
  <si>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</si>
  <si>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</si>
  <si>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</si>
  <si>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</si>
  <si>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</si>
  <si>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</si>
  <si>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</si>
  <si>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</si>
  <si>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</si>
  <si>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</si>
  <si>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</si>
  <si>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</si>
  <si>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</si>
  <si>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</si>
  <si>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</si>
  <si>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</si>
  <si>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</si>
  <si>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</si>
  <si>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</si>
  <si>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</si>
  <si>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</si>
  <si>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</si>
  <si>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</si>
  <si>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</si>
  <si>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</si>
  <si>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</si>
  <si>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</si>
  <si>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</si>
  <si>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</si>
  <si>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</si>
  <si>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</si>
  <si>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</si>
  <si>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</si>
  <si>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</si>
  <si>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</si>
  <si>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</si>
  <si>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</si>
  <si>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</si>
  <si>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</si>
  <si>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</si>
  <si>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</si>
  <si>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</si>
  <si>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</si>
  <si>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</si>
  <si>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</si>
  <si>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</si>
  <si>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</si>
  <si>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</si>
  <si>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</si>
  <si>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</si>
  <si>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</si>
  <si>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</si>
  <si>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</si>
  <si>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</si>
  <si>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</si>
  <si>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</si>
  <si>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</si>
  <si>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</si>
  <si>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</si>
  <si>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</si>
  <si>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</si>
  <si>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</si>
  <si>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</si>
  <si>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</si>
  <si>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</si>
  <si>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</si>
  <si>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</si>
  <si>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</si>
  <si>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</si>
  <si>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</si>
  <si>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</si>
  <si>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</si>
  <si>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</si>
  <si>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</si>
  <si>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</si>
  <si>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</si>
  <si>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</si>
  <si>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</si>
  <si>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</si>
  <si>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</si>
  <si>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</si>
  <si>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</si>
  <si>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</si>
  <si>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</si>
  <si>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</si>
  <si>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</si>
  <si>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</si>
  <si>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</si>
  <si>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</si>
  <si>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</si>
  <si>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</si>
  <si>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</si>
  <si>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</si>
  <si>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</si>
  <si>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</si>
  <si>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</si>
  <si>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</si>
  <si>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</si>
  <si>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</si>
  <si>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</si>
  <si>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</si>
  <si>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</si>
  <si>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</si>
  <si>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</si>
  <si>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</si>
  <si>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</si>
  <si>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</si>
  <si>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</si>
  <si>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</si>
  <si>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</si>
  <si>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</si>
  <si>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</si>
  <si>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</si>
  <si>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</si>
  <si>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</si>
  <si>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</si>
  <si>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</si>
  <si>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</si>
  <si>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</si>
  <si>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</si>
  <si>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</si>
  <si>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</si>
  <si>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</si>
  <si>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</si>
  <si>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</si>
  <si>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</si>
  <si>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</si>
  <si>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</si>
  <si>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</si>
  <si>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</si>
  <si>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</si>
  <si>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</si>
  <si>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</si>
  <si>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</si>
  <si>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</si>
  <si>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</si>
  <si>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</si>
  <si>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</si>
  <si>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</si>
  <si>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</si>
  <si>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</si>
  <si>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</si>
  <si>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</si>
  <si>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</si>
  <si>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</si>
  <si>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</si>
  <si>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</si>
  <si>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</si>
  <si>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</si>
  <si>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</si>
  <si>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</si>
  <si>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</si>
  <si>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</si>
  <si>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</si>
  <si>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</si>
  <si>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</si>
  <si>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</si>
  <si>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</si>
  <si>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</si>
  <si>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</si>
  <si>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</si>
  <si>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</si>
  <si>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</si>
  <si>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</si>
  <si>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</si>
  <si>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</si>
  <si>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</si>
  <si>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</si>
  <si>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</si>
  <si>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</si>
  <si>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</si>
  <si>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</si>
  <si>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</si>
  <si>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</si>
  <si>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</si>
  <si>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</si>
  <si>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</si>
  <si>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</si>
  <si>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</si>
  <si>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</si>
  <si>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</si>
  <si>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</si>
  <si>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</si>
  <si>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</si>
  <si>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</si>
  <si>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</si>
  <si>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</si>
  <si>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</si>
  <si>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</si>
  <si>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</si>
  <si>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</si>
  <si>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</si>
  <si>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</si>
  <si>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</si>
  <si>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</si>
  <si>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</si>
  <si>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</si>
  <si>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</si>
  <si>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</si>
  <si>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</si>
  <si>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</si>
  <si>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</si>
  <si>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</si>
  <si>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</si>
  <si>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</si>
  <si>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</si>
  <si>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</si>
  <si>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</si>
  <si>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</si>
  <si>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</si>
  <si>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</si>
  <si>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</si>
  <si>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</si>
  <si>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</si>
  <si>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</si>
  <si>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</si>
  <si>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</si>
  <si>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</si>
  <si>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</si>
  <si>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</si>
  <si>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</si>
  <si>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</si>
  <si>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</si>
  <si>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</si>
  <si>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</si>
  <si>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</si>
  <si>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</si>
  <si>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</si>
  <si>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</si>
  <si>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</si>
  <si>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</si>
  <si>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</si>
  <si>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</si>
  <si>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</si>
  <si>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</si>
  <si>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</si>
  <si>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</si>
  <si>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</si>
  <si>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</si>
  <si>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</si>
  <si>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</si>
  <si>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</si>
  <si>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</si>
  <si>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</si>
  <si>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</si>
  <si>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</si>
  <si>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</si>
  <si>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</si>
  <si>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</si>
  <si>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</si>
  <si>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</si>
  <si>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</si>
  <si>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</si>
  <si>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</si>
  <si>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</si>
  <si>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</si>
  <si>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</si>
  <si>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</si>
  <si>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</si>
  <si>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</si>
  <si>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</si>
  <si>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</si>
  <si>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</si>
  <si>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</si>
  <si>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</si>
  <si>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</si>
  <si>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</si>
  <si>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</si>
  <si>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</si>
  <si>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</si>
  <si>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</si>
  <si>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</si>
  <si>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</si>
  <si>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</si>
  <si>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</si>
  <si>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</si>
  <si>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</si>
  <si>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</si>
  <si>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</si>
  <si>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</si>
  <si>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</si>
  <si>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</si>
  <si>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</si>
  <si>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</si>
  <si>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</si>
  <si>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</si>
  <si>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</si>
  <si>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</si>
  <si>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</si>
  <si>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</si>
  <si>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</si>
  <si>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</si>
  <si>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</si>
  <si>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</si>
  <si>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</si>
  <si>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</si>
  <si>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</si>
  <si>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</si>
  <si>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</si>
  <si>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</si>
  <si>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</si>
  <si>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</si>
  <si>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</si>
  <si>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</si>
  <si>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</si>
  <si>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</si>
  <si>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</si>
  <si>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</si>
  <si>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</si>
  <si>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</si>
  <si>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</si>
  <si>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</si>
  <si>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</si>
  <si>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</si>
  <si>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</si>
  <si>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</si>
  <si>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</si>
  <si>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</si>
  <si>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</si>
  <si>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</si>
  <si>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</si>
  <si>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</si>
  <si>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</si>
  <si>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</si>
  <si>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</si>
  <si>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</si>
  <si>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</si>
  <si>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</si>
  <si>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</si>
  <si>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</si>
  <si>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</si>
  <si>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</si>
  <si>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</si>
  <si>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</si>
  <si>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</si>
  <si>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</si>
  <si>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</si>
  <si>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</si>
  <si>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</si>
  <si>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</si>
  <si>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</si>
  <si>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</si>
  <si>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</si>
  <si>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</si>
  <si>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</si>
  <si>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</si>
  <si>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</si>
  <si>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</si>
  <si>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</si>
  <si>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</si>
  <si>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</si>
  <si>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</si>
  <si>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</si>
  <si>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</si>
  <si>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</si>
  <si>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</si>
  <si>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</si>
  <si>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</si>
  <si>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</si>
  <si>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</si>
  <si>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</si>
  <si>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</si>
  <si>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</si>
  <si>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</si>
  <si>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</si>
  <si>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</si>
  <si>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</si>
  <si>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</si>
  <si>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</si>
  <si>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</si>
  <si>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</si>
  <si>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</si>
  <si>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</si>
  <si>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</si>
  <si>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</si>
  <si>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</si>
  <si>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</si>
  <si>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</si>
  <si>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</si>
  <si>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</si>
  <si>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</si>
  <si>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</si>
  <si>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</si>
  <si>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</si>
  <si>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</si>
  <si>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</si>
  <si>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</si>
  <si>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</si>
  <si>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</si>
  <si>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</si>
  <si>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</si>
  <si>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</si>
  <si>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</si>
  <si>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</si>
  <si>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</si>
  <si>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</si>
  <si>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</si>
  <si>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</si>
  <si>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</si>
  <si>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</si>
  <si>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</si>
  <si>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</si>
  <si>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</si>
  <si>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</si>
  <si>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</si>
  <si>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</si>
  <si>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</si>
  <si>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</si>
  <si>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</si>
  <si>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</si>
  <si>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</si>
  <si>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</si>
  <si>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</si>
  <si>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</si>
  <si>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</si>
  <si>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</si>
  <si>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</si>
  <si>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</si>
  <si>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</si>
  <si>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</si>
  <si>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</si>
  <si>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</si>
  <si>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</si>
  <si>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</si>
  <si>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</si>
  <si>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</si>
  <si>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</si>
  <si>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</si>
  <si>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</si>
  <si>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</si>
  <si>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</si>
  <si>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</si>
  <si>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</si>
  <si>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</si>
  <si>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</si>
  <si>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</si>
  <si>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</si>
  <si>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</si>
  <si>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</si>
  <si>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</si>
  <si>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</si>
  <si>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</si>
  <si>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</si>
  <si>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</si>
  <si>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</si>
  <si>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</si>
  <si>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</si>
  <si>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</si>
  <si>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</si>
  <si>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</si>
  <si>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</si>
  <si>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</si>
  <si>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</si>
  <si>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</si>
  <si>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</si>
  <si>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</si>
  <si>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</si>
  <si>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</si>
  <si>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</si>
  <si>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</si>
  <si>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</si>
  <si>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</si>
  <si>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</si>
  <si>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</si>
  <si>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</si>
  <si>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</si>
  <si>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</si>
  <si>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</si>
  <si>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</si>
  <si>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</si>
  <si>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</si>
  <si>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</si>
  <si>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</si>
  <si>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</si>
  <si>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</si>
  <si>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</si>
  <si>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</si>
  <si>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</si>
  <si>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</si>
  <si>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</si>
  <si>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</si>
  <si>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</si>
  <si>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</si>
  <si>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</si>
  <si>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</si>
  <si>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</si>
  <si>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</si>
  <si>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</si>
  <si>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</si>
  <si>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</si>
  <si>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</si>
  <si>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</si>
  <si>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</si>
  <si>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</si>
  <si>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</si>
  <si>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</si>
  <si>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</si>
  <si>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</si>
  <si>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</si>
  <si>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</si>
  <si>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</si>
  <si>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</si>
  <si>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</si>
  <si>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</si>
  <si>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</si>
  <si>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</si>
  <si>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</si>
  <si>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</si>
  <si>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</si>
  <si>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</si>
  <si>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</si>
  <si>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</si>
  <si>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</si>
  <si>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</si>
  <si>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</si>
  <si>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</si>
  <si>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</si>
  <si>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</si>
  <si>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</si>
  <si>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</si>
  <si>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</si>
  <si>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</si>
  <si>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</si>
  <si>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</si>
  <si>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</si>
  <si>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</si>
  <si>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</si>
  <si>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</si>
  <si>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</si>
  <si>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</si>
  <si>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</si>
  <si>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</si>
  <si>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</si>
  <si>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</si>
  <si>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</si>
  <si>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</si>
  <si>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</si>
  <si>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</si>
  <si>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</si>
  <si>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</si>
  <si>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</si>
  <si>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</si>
  <si>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</si>
  <si>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</si>
  <si>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</si>
  <si>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</si>
  <si>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</si>
  <si>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</si>
  <si>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</si>
  <si>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</si>
  <si>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</si>
  <si>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</si>
  <si>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</si>
  <si>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</si>
  <si>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</si>
  <si>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</si>
  <si>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</si>
  <si>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</si>
  <si>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</si>
  <si>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</si>
  <si>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</si>
  <si>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</si>
  <si>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</si>
  <si>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</si>
  <si>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</si>
  <si>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</si>
  <si>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</si>
  <si>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</si>
  <si>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</si>
  <si>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</si>
  <si>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</si>
  <si>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</si>
  <si>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</si>
  <si>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</si>
  <si>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</si>
  <si>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</si>
  <si>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</si>
  <si>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</si>
  <si>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</si>
  <si>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</si>
  <si>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</si>
  <si>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</si>
  <si>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</si>
  <si>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</si>
  <si>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</si>
  <si>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</si>
  <si>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</si>
  <si>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</si>
  <si>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</si>
  <si>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</si>
  <si>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</si>
  <si>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</si>
  <si>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</si>
  <si>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</si>
  <si>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</si>
  <si>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</si>
  <si>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</si>
  <si>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</si>
  <si>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</si>
  <si>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</si>
  <si>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</si>
  <si>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</si>
  <si>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</si>
  <si>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</si>
  <si>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</si>
  <si>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</si>
  <si>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</si>
  <si>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</si>
  <si>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</si>
  <si>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</si>
  <si>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</si>
  <si>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</si>
  <si>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</si>
  <si>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</si>
  <si>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</si>
  <si>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</si>
  <si>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</si>
  <si>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</si>
  <si>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</si>
  <si>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</si>
  <si>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</si>
  <si>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</si>
  <si>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</si>
  <si>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</si>
  <si>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</si>
  <si>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</si>
  <si>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</si>
  <si>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</si>
  <si>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</si>
  <si>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</si>
  <si>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</si>
  <si>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</si>
  <si>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</si>
  <si>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</si>
  <si>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</si>
  <si>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</si>
  <si>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</si>
  <si>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</si>
  <si>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</si>
  <si>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</si>
  <si>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</si>
  <si>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</si>
  <si>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</si>
  <si>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</si>
  <si>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</si>
  <si>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</si>
  <si>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</si>
  <si>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</si>
  <si>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</si>
  <si>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</si>
  <si>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</si>
  <si>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</si>
  <si>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</si>
  <si>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</si>
  <si>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</si>
  <si>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</si>
  <si>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</si>
  <si>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</si>
  <si>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</si>
  <si>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</si>
  <si>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</si>
  <si>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</si>
  <si>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</si>
  <si>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</si>
  <si>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</si>
  <si>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</si>
  <si>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</si>
  <si>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</si>
  <si>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</si>
  <si>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</si>
  <si>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</si>
  <si>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</si>
  <si>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</si>
  <si>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</si>
  <si>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</si>
  <si>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</si>
  <si>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</si>
  <si>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</si>
  <si>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</si>
  <si>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</si>
  <si>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</si>
  <si>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</si>
  <si>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</si>
  <si>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</si>
  <si>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</si>
  <si>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</si>
  <si>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</si>
  <si>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</si>
  <si>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</si>
  <si>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</si>
  <si>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</si>
  <si>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</si>
  <si>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</si>
  <si>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</si>
  <si>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</si>
  <si>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</si>
  <si>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</si>
  <si>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</si>
  <si>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</si>
  <si>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</si>
  <si>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</si>
  <si>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</si>
  <si>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</si>
  <si>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</si>
  <si>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</si>
  <si>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</si>
  <si>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</si>
  <si>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</si>
  <si>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</si>
  <si>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</si>
  <si>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</si>
  <si>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</si>
  <si>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</si>
  <si>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</si>
  <si>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</si>
  <si>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</si>
  <si>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</si>
  <si>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</si>
  <si>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</si>
  <si>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</si>
  <si>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</si>
  <si>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</si>
  <si>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</si>
  <si>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</si>
  <si>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</si>
  <si>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</si>
  <si>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</si>
  <si>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</si>
  <si>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</si>
  <si>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</si>
  <si>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</si>
  <si>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</si>
  <si>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</si>
  <si>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</si>
  <si>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</si>
  <si>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</si>
  <si>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</si>
  <si>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</si>
  <si>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</si>
  <si>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</si>
  <si>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</si>
  <si>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</si>
  <si>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</si>
  <si>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</si>
  <si>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</si>
  <si>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</si>
  <si>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</si>
  <si>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</si>
  <si>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</si>
  <si>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</si>
  <si>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</si>
  <si>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</si>
  <si>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</si>
  <si>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</si>
  <si>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</si>
  <si>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</si>
  <si>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</si>
  <si>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</si>
  <si>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</si>
  <si>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</si>
  <si>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</si>
  <si>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</si>
  <si>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</si>
  <si>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</si>
  <si>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</si>
  <si>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</si>
  <si>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</si>
  <si>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</si>
  <si>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</si>
  <si>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</si>
  <si>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</si>
  <si>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</si>
  <si>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</si>
  <si>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</si>
  <si>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</si>
  <si>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</si>
  <si>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</si>
  <si>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</si>
  <si>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</si>
  <si>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</si>
  <si>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</si>
  <si>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</si>
  <si>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</si>
  <si>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</si>
  <si>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</si>
  <si>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</si>
  <si>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</si>
  <si>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</si>
  <si>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</si>
  <si>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</si>
  <si>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</si>
  <si>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</si>
  <si>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</si>
  <si>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</si>
  <si>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</si>
  <si>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</si>
  <si>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</si>
  <si>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</si>
  <si>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</si>
  <si>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</si>
  <si>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</si>
  <si>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</si>
  <si>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</si>
  <si>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</si>
  <si>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</si>
  <si>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</si>
  <si>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</si>
  <si>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</si>
  <si>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</si>
  <si>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</si>
  <si>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</si>
  <si>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</si>
  <si>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</si>
  <si>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</si>
  <si>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</si>
  <si>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</si>
  <si>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</si>
  <si>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</si>
  <si>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</si>
  <si>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</si>
  <si>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</si>
  <si>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</si>
  <si>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</si>
  <si>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</si>
  <si>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</si>
  <si>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</si>
  <si>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</si>
  <si>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</si>
  <si>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</si>
  <si>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</si>
  <si>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</si>
  <si>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</si>
  <si>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</si>
  <si>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</si>
  <si>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</si>
  <si>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</si>
  <si>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</si>
  <si>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</si>
  <si>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</si>
  <si>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</si>
  <si>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</si>
  <si>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</si>
  <si>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</si>
  <si>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</si>
  <si>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</si>
  <si>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</si>
  <si>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</si>
  <si>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</si>
  <si>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</si>
  <si>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</si>
  <si>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</si>
  <si>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</si>
  <si>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</si>
  <si>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</si>
  <si>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</si>
  <si>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</si>
  <si>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</si>
  <si>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</si>
  <si>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</si>
  <si>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</si>
  <si>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</si>
  <si>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</si>
  <si>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</si>
  <si>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</si>
  <si>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</si>
  <si>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</si>
  <si>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</si>
  <si>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</si>
  <si>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</si>
  <si>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</si>
  <si>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</si>
  <si>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</si>
  <si>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</si>
  <si>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</si>
  <si>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</si>
  <si>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</si>
  <si>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</si>
  <si>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</si>
  <si>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</si>
  <si>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</si>
  <si>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</si>
  <si>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</si>
  <si>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</si>
  <si>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</si>
  <si>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</si>
  <si>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</si>
  <si>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</si>
  <si>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</si>
  <si>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</si>
  <si>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</si>
  <si>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</si>
  <si>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</si>
  <si>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</si>
  <si>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</si>
  <si>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</si>
  <si>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</si>
  <si>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</si>
  <si>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</si>
  <si>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</si>
  <si>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</si>
  <si>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</si>
  <si>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</si>
  <si>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</si>
  <si>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</si>
  <si>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</si>
  <si>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</si>
  <si>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</si>
  <si>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</si>
  <si>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</si>
  <si>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</si>
  <si>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</si>
  <si>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</si>
  <si>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</si>
  <si>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</si>
  <si>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</si>
  <si>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</si>
  <si>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</si>
  <si>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</si>
  <si>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</si>
  <si>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</si>
  <si>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</si>
  <si>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</si>
  <si>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</si>
  <si>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</si>
  <si>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</si>
  <si>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</si>
  <si>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</si>
  <si>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</si>
  <si>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</si>
  <si>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</si>
  <si>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</si>
  <si>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</si>
  <si>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</si>
  <si>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</si>
  <si>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</si>
  <si>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</si>
  <si>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</si>
  <si>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</si>
  <si>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</si>
  <si>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</si>
  <si>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</si>
  <si>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</si>
  <si>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</si>
  <si>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</si>
  <si>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</si>
  <si>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</si>
  <si>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</si>
  <si>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</si>
  <si>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</si>
  <si>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</si>
  <si>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</si>
  <si>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</si>
  <si>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</si>
  <si>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</si>
  <si>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</si>
  <si>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</si>
  <si>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</si>
  <si>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</si>
  <si>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</si>
  <si>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</si>
  <si>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</si>
  <si>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</si>
  <si>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</si>
  <si>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</si>
  <si>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</si>
  <si>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</si>
  <si>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</si>
  <si>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</si>
  <si>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</si>
  <si>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</si>
  <si>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</si>
  <si>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</si>
  <si>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</si>
  <si>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</si>
  <si>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</si>
  <si>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</si>
  <si>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</si>
  <si>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</si>
  <si>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</si>
  <si>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</si>
  <si>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</si>
  <si>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</si>
  <si>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</si>
  <si>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</si>
  <si>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</si>
  <si>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</si>
  <si>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</si>
  <si>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</si>
  <si>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</si>
  <si>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</si>
  <si>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</si>
  <si>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</si>
  <si>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</si>
  <si>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</si>
  <si>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</si>
  <si>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</si>
  <si>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</si>
  <si>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</si>
  <si>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</si>
  <si>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</si>
  <si>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</si>
  <si>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</si>
  <si>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</si>
  <si>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</si>
  <si>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</si>
  <si>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</si>
  <si>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</si>
  <si>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</si>
  <si>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</si>
  <si>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</si>
  <si>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</si>
  <si>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</si>
  <si>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</si>
  <si>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</si>
  <si>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</si>
  <si>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</si>
  <si>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</si>
  <si>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</si>
  <si>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</si>
  <si>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</si>
  <si>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</si>
  <si>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</si>
  <si>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</si>
  <si>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</si>
  <si>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</si>
  <si>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</si>
  <si>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</si>
  <si>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</si>
  <si>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</si>
  <si>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</si>
  <si>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</si>
  <si>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</si>
  <si>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</si>
  <si>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</si>
  <si>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</si>
  <si>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</si>
  <si>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</si>
  <si>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</si>
  <si>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</si>
  <si>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</si>
  <si>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</si>
  <si>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</si>
  <si>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</si>
  <si>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</si>
  <si>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</si>
  <si>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</si>
  <si>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</si>
  <si>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</si>
  <si>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</si>
  <si>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</si>
  <si>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</si>
  <si>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</si>
  <si>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</si>
  <si>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</si>
  <si>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</si>
  <si>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</si>
  <si>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</si>
  <si>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</si>
  <si>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</si>
  <si>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</si>
  <si>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</si>
  <si>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</si>
  <si>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</si>
  <si>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</si>
  <si>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</si>
  <si>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</si>
  <si>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</si>
  <si>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</si>
  <si>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</si>
  <si>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</si>
  <si>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</si>
  <si>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</si>
  <si>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</si>
  <si>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</si>
  <si>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</si>
  <si>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</si>
  <si>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</si>
  <si>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</si>
  <si>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</si>
  <si>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</si>
  <si>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</si>
  <si>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</si>
  <si>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</si>
  <si>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</si>
  <si>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</si>
  <si>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</si>
  <si>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</si>
  <si>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</si>
  <si>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</si>
  <si>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</si>
  <si>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</si>
  <si>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</si>
  <si>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</si>
  <si>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</si>
  <si>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</si>
  <si>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</si>
  <si>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</si>
  <si>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</si>
  <si>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</si>
  <si>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</si>
  <si>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</si>
  <si>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</si>
  <si>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</si>
  <si>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</si>
  <si>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</si>
  <si>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</si>
  <si>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</si>
  <si>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</si>
  <si>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</si>
  <si>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</si>
  <si>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</si>
  <si>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</si>
  <si>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</si>
  <si>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</si>
  <si>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</si>
  <si>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</si>
  <si>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</si>
  <si>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</si>
  <si>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</si>
  <si>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</si>
  <si>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</si>
  <si>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</si>
  <si>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</si>
  <si>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</si>
  <si>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</si>
  <si>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</si>
  <si>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</si>
  <si>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</si>
  <si>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</si>
  <si>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</si>
  <si>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</si>
  <si>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</si>
  <si>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</si>
  <si>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</si>
  <si>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</si>
  <si>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</si>
  <si>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</si>
  <si>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</si>
  <si>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</si>
  <si>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</si>
  <si>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</si>
  <si>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</si>
  <si>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</si>
  <si>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</si>
  <si>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</si>
  <si>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</si>
  <si>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</si>
  <si>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</si>
  <si>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</si>
  <si>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</si>
  <si>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</si>
  <si>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</si>
  <si>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</si>
  <si>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</si>
  <si>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</si>
  <si>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</si>
  <si>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</si>
  <si>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</si>
  <si>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</si>
  <si>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</si>
  <si>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</si>
  <si>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</si>
  <si>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</si>
  <si>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</si>
  <si>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</si>
  <si>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</si>
  <si>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</si>
  <si>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</si>
  <si>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</si>
  <si>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</si>
  <si>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</si>
  <si>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</si>
  <si>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</si>
  <si>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</si>
  <si>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</si>
  <si>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</si>
  <si>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</si>
  <si>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</si>
  <si>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</si>
  <si>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</si>
  <si>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</si>
  <si>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</si>
  <si>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</si>
  <si>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</si>
  <si>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</si>
  <si>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</si>
  <si>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</si>
  <si>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</si>
  <si>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</si>
  <si>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</si>
  <si>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</si>
  <si>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</si>
  <si>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</si>
  <si>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</si>
  <si>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</si>
  <si>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</si>
  <si>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</si>
  <si>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</si>
  <si>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</si>
  <si>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</si>
  <si>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</si>
  <si>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</si>
  <si>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</si>
  <si>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</si>
  <si>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</si>
  <si>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</si>
  <si>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</si>
  <si>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</si>
  <si>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</si>
  <si>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</si>
  <si>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</si>
  <si>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</si>
  <si>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</si>
  <si>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</si>
  <si>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</si>
  <si>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</si>
  <si>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</si>
  <si>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</si>
  <si>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</si>
  <si>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</si>
  <si>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</si>
  <si>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</si>
  <si>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</si>
  <si>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</si>
  <si>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</si>
  <si>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</si>
  <si>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</si>
  <si>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</si>
  <si>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</si>
  <si>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</si>
  <si>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</si>
  <si>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</si>
  <si>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</si>
  <si>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</si>
  <si>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</si>
  <si>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</si>
  <si>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</si>
  <si>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</si>
  <si>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</si>
  <si>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</si>
  <si>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</si>
  <si>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</si>
  <si>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</si>
  <si>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</si>
  <si>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</si>
  <si>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</si>
  <si>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</si>
  <si>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</si>
  <si>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</si>
  <si>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</si>
  <si>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</si>
  <si>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</si>
  <si>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</si>
  <si>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</si>
  <si>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</si>
  <si>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</si>
  <si>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</si>
  <si>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</si>
  <si>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</si>
  <si>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</si>
  <si>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</si>
  <si>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</si>
  <si>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</si>
  <si>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</si>
  <si>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</si>
  <si>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</si>
  <si>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</si>
  <si>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</si>
  <si>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</si>
  <si>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</si>
  <si>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</si>
  <si>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</si>
  <si>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</si>
  <si>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</si>
  <si>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</si>
  <si>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</si>
  <si>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</si>
  <si>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</si>
  <si>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</si>
  <si>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</si>
  <si>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</si>
  <si>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</si>
  <si>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</si>
  <si>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</si>
  <si>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</si>
  <si>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</si>
  <si>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</si>
  <si>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</si>
  <si>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</si>
  <si>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</si>
  <si>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</si>
  <si>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</si>
  <si>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</si>
  <si>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</si>
  <si>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</si>
  <si>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</si>
  <si>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</si>
  <si>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</si>
  <si>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</si>
  <si>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</si>
  <si>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</si>
  <si>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</si>
  <si>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</si>
  <si>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</si>
  <si>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</si>
  <si>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</si>
  <si>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</si>
  <si>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</si>
  <si>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</si>
  <si>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</si>
  <si>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</si>
  <si>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</si>
  <si>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</si>
  <si>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</si>
  <si>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</si>
  <si>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</si>
  <si>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</si>
  <si>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</si>
  <si>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</si>
  <si>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</si>
  <si>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</si>
  <si>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</si>
  <si>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</si>
  <si>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</si>
  <si>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</si>
  <si>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</si>
  <si>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</si>
  <si>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</si>
  <si>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</si>
  <si>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</si>
  <si>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</si>
  <si>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</si>
  <si>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</si>
  <si>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</si>
  <si>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</si>
  <si>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</si>
  <si>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</si>
  <si>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</si>
  <si>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</si>
  <si>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</si>
  <si>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</si>
  <si>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</si>
  <si>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</si>
  <si>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</si>
  <si>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</si>
  <si>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</si>
  <si>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</si>
  <si>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</si>
  <si>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</si>
  <si>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</si>
  <si>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</si>
  <si>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</si>
  <si>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</si>
  <si>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</si>
  <si>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</si>
  <si>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</si>
  <si>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</si>
  <si>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</si>
  <si>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</si>
  <si>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</si>
  <si>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</si>
  <si>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</si>
  <si>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</si>
  <si>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</si>
  <si>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</si>
  <si>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</si>
  <si>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</si>
  <si>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</si>
  <si>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</si>
  <si>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</si>
  <si>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</si>
  <si>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</si>
  <si>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</si>
  <si>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</si>
  <si>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</si>
  <si>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</si>
  <si>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</si>
  <si>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</si>
  <si>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</si>
  <si>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</si>
  <si>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</si>
  <si>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</si>
  <si>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</si>
  <si>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</si>
  <si>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</si>
  <si>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</si>
  <si>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</si>
  <si>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</si>
  <si>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</si>
  <si>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</si>
  <si>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</si>
  <si>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</si>
  <si>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</si>
  <si>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</si>
  <si>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</si>
  <si>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</si>
  <si>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</si>
  <si>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</si>
  <si>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</si>
  <si>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</si>
  <si>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</si>
  <si>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</si>
  <si>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</si>
  <si>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</si>
  <si>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</si>
  <si>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</si>
  <si>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</si>
  <si>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</si>
  <si>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</si>
  <si>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</si>
  <si>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</si>
  <si>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</si>
  <si>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</si>
  <si>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</si>
  <si>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</si>
  <si>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</si>
  <si>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</si>
  <si>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</si>
  <si>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</si>
  <si>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</si>
  <si>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</si>
  <si>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</si>
  <si>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</si>
  <si>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</si>
  <si>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</si>
  <si>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</si>
  <si>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</si>
  <si>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</si>
  <si>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</si>
  <si>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</si>
  <si>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</si>
  <si>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</si>
  <si>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</si>
  <si>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</si>
  <si>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</si>
  <si>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</si>
  <si>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</si>
  <si>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</si>
  <si>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</si>
  <si>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</si>
  <si>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</si>
  <si>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</si>
  <si>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</si>
  <si>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</si>
  <si>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</si>
  <si>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</si>
  <si>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</si>
  <si>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</si>
  <si>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</si>
  <si>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</si>
  <si>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</si>
  <si>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</si>
  <si>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</si>
  <si>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</si>
  <si>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</si>
  <si>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</si>
  <si>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</si>
  <si>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</si>
  <si>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</si>
  <si>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</si>
  <si>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</si>
  <si>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</si>
  <si>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</si>
  <si>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</si>
  <si>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</si>
  <si>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</si>
  <si>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</si>
  <si>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</si>
  <si>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</si>
  <si>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</si>
  <si>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</si>
  <si>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</si>
  <si>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</si>
  <si>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</si>
  <si>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</si>
  <si>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</si>
  <si>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</si>
  <si>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</si>
  <si>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</si>
  <si>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</si>
  <si>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</si>
  <si>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</si>
  <si>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</si>
  <si>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</si>
  <si>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</si>
  <si>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</si>
  <si>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</si>
  <si>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</si>
  <si>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</si>
  <si>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</si>
  <si>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</si>
  <si>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</si>
  <si>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</si>
  <si>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</si>
  <si>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</si>
  <si>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</si>
  <si>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</si>
  <si>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</si>
  <si>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</si>
  <si>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</si>
  <si>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</si>
  <si>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</si>
  <si>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</si>
  <si>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</si>
  <si>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</si>
  <si>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</si>
  <si>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</si>
  <si>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</si>
  <si>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</si>
  <si>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</si>
  <si>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</si>
  <si>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</si>
  <si>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</si>
  <si>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</si>
  <si>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</si>
  <si>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</si>
  <si>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</si>
  <si>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</si>
  <si>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</si>
  <si>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</si>
  <si>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</si>
  <si>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</si>
  <si>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</si>
  <si>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</si>
  <si>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</si>
  <si>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</si>
  <si>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</si>
  <si>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</si>
  <si>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</si>
  <si>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</si>
  <si>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</si>
  <si>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</si>
  <si>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</si>
  <si>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</si>
  <si>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</si>
  <si>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</si>
  <si>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</si>
  <si>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</si>
  <si>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</si>
  <si>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</si>
  <si>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</si>
  <si>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</si>
  <si>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</si>
  <si>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</si>
  <si>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</si>
  <si>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</si>
  <si>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</si>
  <si>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</si>
  <si>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</si>
  <si>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</si>
  <si>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</si>
  <si>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</si>
  <si>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</si>
  <si>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</si>
  <si>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</si>
  <si>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</si>
  <si>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</si>
  <si>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</si>
  <si>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</si>
  <si>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</si>
  <si>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</si>
  <si>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</si>
  <si>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</si>
  <si>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</si>
  <si>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</si>
  <si>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</si>
  <si>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</si>
  <si>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</si>
  <si>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</si>
  <si>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</si>
  <si>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</si>
  <si>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</si>
  <si>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</si>
  <si>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</si>
  <si>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</si>
  <si>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</si>
  <si>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</si>
  <si>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</si>
  <si>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</si>
  <si>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</si>
  <si>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</si>
  <si>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</si>
  <si>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</si>
  <si>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</si>
  <si>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</si>
  <si>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</si>
  <si>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</si>
  <si>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</si>
  <si>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</si>
  <si>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</si>
  <si>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</si>
  <si>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</si>
  <si>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</si>
  <si>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</si>
  <si>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</si>
  <si>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</si>
  <si>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</si>
  <si>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</si>
  <si>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</si>
  <si>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</si>
  <si>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</si>
  <si>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</si>
  <si>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</si>
  <si>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</si>
  <si>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</si>
  <si>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</si>
  <si>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</si>
  <si>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</si>
  <si>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</si>
  <si>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</si>
  <si>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</si>
  <si>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</si>
  <si>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</si>
  <si>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</si>
  <si>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</si>
  <si>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</si>
  <si>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</si>
  <si>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</si>
  <si>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</si>
  <si>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</si>
  <si>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</si>
  <si>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</si>
  <si>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</si>
  <si>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</si>
  <si>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</si>
  <si>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</si>
  <si>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</si>
  <si>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</si>
  <si>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</si>
  <si>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</si>
  <si>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</si>
  <si>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</si>
  <si>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</si>
  <si>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</si>
  <si>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</si>
  <si>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</si>
  <si>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</si>
  <si>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</si>
  <si>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</si>
  <si>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</si>
  <si>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</si>
  <si>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</si>
  <si>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</si>
  <si>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</si>
  <si>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</si>
  <si>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6.1:   BUILDING SOCIETIES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</si>
  <si>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</si>
  <si>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</si>
  <si>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</si>
  <si>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</si>
  <si>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</si>
  <si>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</si>
  <si>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</si>
  <si>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</si>
  <si>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</si>
  <si>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</si>
  <si>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</si>
  <si>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</si>
  <si>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</si>
  <si>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</si>
  <si>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</si>
  <si>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</si>
  <si>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</si>
  <si>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</si>
  <si>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</si>
  <si>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</si>
  <si>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</si>
  <si>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</si>
  <si>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</si>
  <si>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</si>
  <si>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</si>
  <si>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</si>
  <si>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</si>
  <si>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</si>
  <si>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</si>
  <si>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</si>
  <si>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</si>
  <si>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</si>
  <si>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</si>
  <si>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</si>
  <si>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</si>
  <si>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</si>
  <si>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</si>
  <si>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</si>
  <si>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</si>
  <si>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</si>
  <si>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</si>
  <si>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</si>
  <si>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</si>
  <si>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</si>
  <si>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</si>
  <si>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</si>
  <si>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</si>
  <si>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</si>
  <si>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</si>
  <si>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</si>
  <si>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</si>
  <si>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</si>
  <si>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</si>
  <si>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</si>
  <si>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</si>
  <si>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</si>
  <si>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</si>
  <si>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</si>
  <si>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</si>
  <si>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</si>
  <si>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</si>
  <si>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</si>
  <si>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</si>
  <si>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</si>
  <si>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</si>
  <si>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</si>
  <si>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</si>
  <si>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 xml:space="preserve">Other </t>
  </si>
  <si>
    <t>Claims</t>
  </si>
  <si>
    <t>Public Enterprise</t>
  </si>
  <si>
    <t>Source:Reserve Bank of Zimbabwe, 2025</t>
  </si>
  <si>
    <t>Table 5:Building Society Assets (ZWG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</si>
</sst>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auto="1"/>
      </left>
      <right style="thick">
        <color indexed="64"/>
      </right>
      <top/>
      <bottom/>
      <diagonal/>
    </border>
    <border>
      <left/>
      <right style="thin">
        <color indexed="64"/>
      </right>
      <top style="thick">
        <color indexed="64"/>
      </top>
      <bottom/>
      <diagonal/>
    </border>
    <border>
      <left/>
      <right style="thin">
        <color indexed="64"/>
      </right>
      <top/>
      <bottom style="medium">
        <color indexed="64"/>
      </bottom>
      <diagonal/>
    </border>
  </borders>
  <cellStyleXfs count="28982">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179" fillId="57" borderId="216" applyNumberFormat="0" applyAlignment="0" applyProtection="0"/>
    <xf numFmtId="1" fontId="167" fillId="58" borderId="175">
      <alignment horizontal="right" vertical="center"/>
    </xf>
    <xf numFmtId="0" fontId="168" fillId="58" borderId="175">
      <alignment horizontal="right" vertical="center"/>
    </xf>
    <xf numFmtId="0" fontId="39" fillId="58" borderId="217"/>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7"/>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5"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0" applyNumberFormat="0" applyFont="0" applyAlignment="0" applyProtection="0"/>
    <xf numFmtId="0" fontId="186" fillId="42" borderId="221"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5" applyNumberFormat="0" applyAlignment="0" applyProtection="0"/>
    <xf numFmtId="0" fontId="178" fillId="42" borderId="215" applyNumberFormat="0" applyAlignment="0" applyProtection="0"/>
    <xf numFmtId="0" fontId="179" fillId="57" borderId="216" applyNumberFormat="0" applyAlignment="0" applyProtection="0"/>
    <xf numFmtId="0" fontId="150" fillId="0" borderId="134" applyNumberFormat="0" applyFill="0" applyAlignment="0" applyProtection="0"/>
    <xf numFmtId="0" fontId="179" fillId="57" borderId="216"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5"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7" fillId="39" borderId="0" applyNumberFormat="0" applyBorder="0" applyAlignment="0" applyProtection="0"/>
    <xf numFmtId="0" fontId="184" fillId="56" borderId="215"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0" applyNumberFormat="0" applyFont="0" applyAlignment="0" applyProtection="0"/>
    <xf numFmtId="0" fontId="46" fillId="63" borderId="220" applyNumberFormat="0" applyFont="0" applyAlignment="0" applyProtection="0"/>
    <xf numFmtId="0" fontId="186" fillId="42" borderId="221" applyNumberFormat="0" applyAlignment="0" applyProtection="0"/>
    <xf numFmtId="0" fontId="186" fillId="42" borderId="221"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2" applyNumberFormat="0" applyAlignment="0" applyProtection="0"/>
    <xf numFmtId="0" fontId="198" fillId="0" borderId="0" applyNumberFormat="0" applyFill="0" applyBorder="0" applyAlignment="0" applyProtection="0"/>
    <xf numFmtId="215" fontId="39" fillId="0" borderId="0"/>
    <xf numFmtId="0" fontId="169" fillId="58" borderId="223">
      <alignment vertical="center"/>
    </xf>
    <xf numFmtId="0" fontId="199" fillId="58" borderId="224">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5"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6" applyNumberFormat="0" applyAlignment="0" applyProtection="0"/>
    <xf numFmtId="10" fontId="189" fillId="58" borderId="175" applyNumberFormat="0" applyBorder="0" applyAlignment="0" applyProtection="0"/>
    <xf numFmtId="15" fontId="39" fillId="0" borderId="0"/>
    <xf numFmtId="0" fontId="46" fillId="68" borderId="227"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0" applyNumberFormat="0" applyFont="0" applyAlignment="0" applyProtection="0"/>
    <xf numFmtId="0" fontId="209" fillId="70" borderId="228"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9" applyNumberFormat="0" applyProtection="0">
      <alignment vertical="center"/>
    </xf>
    <xf numFmtId="4" fontId="211" fillId="71" borderId="229" applyNumberFormat="0" applyProtection="0">
      <alignment vertical="center"/>
    </xf>
    <xf numFmtId="4" fontId="212" fillId="0" borderId="0" applyNumberFormat="0" applyProtection="0">
      <alignment horizontal="left" vertical="center" indent="1"/>
    </xf>
    <xf numFmtId="4" fontId="213" fillId="72" borderId="229" applyNumberFormat="0" applyProtection="0">
      <alignment horizontal="left" vertical="center" indent="1"/>
    </xf>
    <xf numFmtId="4" fontId="214" fillId="2" borderId="229" applyNumberFormat="0" applyProtection="0">
      <alignment vertical="center"/>
    </xf>
    <xf numFmtId="4" fontId="188" fillId="73" borderId="229" applyNumberFormat="0" applyProtection="0">
      <alignment vertical="center"/>
    </xf>
    <xf numFmtId="4" fontId="214" fillId="74" borderId="229" applyNumberFormat="0" applyProtection="0">
      <alignment vertical="center"/>
    </xf>
    <xf numFmtId="4" fontId="215" fillId="2" borderId="229" applyNumberFormat="0" applyProtection="0">
      <alignment vertical="center"/>
    </xf>
    <xf numFmtId="4" fontId="216" fillId="75" borderId="229" applyNumberFormat="0" applyProtection="0">
      <alignment horizontal="left" vertical="center" indent="1"/>
    </xf>
    <xf numFmtId="4" fontId="216" fillId="76" borderId="229" applyNumberFormat="0" applyProtection="0">
      <alignment horizontal="left" vertical="center" indent="1"/>
    </xf>
    <xf numFmtId="4" fontId="217" fillId="72" borderId="229" applyNumberFormat="0" applyProtection="0">
      <alignment horizontal="left" vertical="center" indent="1"/>
    </xf>
    <xf numFmtId="4" fontId="218" fillId="77" borderId="229" applyNumberFormat="0" applyProtection="0">
      <alignment vertical="center"/>
    </xf>
    <xf numFmtId="4" fontId="219" fillId="58" borderId="229" applyNumberFormat="0" applyProtection="0">
      <alignment horizontal="left" vertical="center" indent="1"/>
    </xf>
    <xf numFmtId="4" fontId="220" fillId="76" borderId="229" applyNumberFormat="0" applyProtection="0">
      <alignment horizontal="left" vertical="center" indent="1"/>
    </xf>
    <xf numFmtId="4" fontId="221" fillId="72" borderId="229" applyNumberFormat="0" applyProtection="0">
      <alignment horizontal="left" vertical="center" indent="1"/>
    </xf>
    <xf numFmtId="4" fontId="222" fillId="58" borderId="229" applyNumberFormat="0" applyProtection="0">
      <alignment vertical="center"/>
    </xf>
    <xf numFmtId="4" fontId="223" fillId="58" borderId="229" applyNumberFormat="0" applyProtection="0">
      <alignment vertical="center"/>
    </xf>
    <xf numFmtId="4" fontId="216" fillId="76" borderId="229" applyNumberFormat="0" applyProtection="0">
      <alignment horizontal="left" vertical="center" indent="1"/>
    </xf>
    <xf numFmtId="4" fontId="224" fillId="58" borderId="229" applyNumberFormat="0" applyProtection="0">
      <alignment vertical="center"/>
    </xf>
    <xf numFmtId="4" fontId="225" fillId="58" borderId="229" applyNumberFormat="0" applyProtection="0">
      <alignment vertical="center"/>
    </xf>
    <xf numFmtId="4" fontId="189" fillId="0" borderId="0" applyNumberFormat="0" applyProtection="0">
      <alignment horizontal="left" vertical="center" indent="1"/>
    </xf>
    <xf numFmtId="4" fontId="226" fillId="58" borderId="229" applyNumberFormat="0" applyProtection="0">
      <alignment vertical="center"/>
    </xf>
    <xf numFmtId="4" fontId="227" fillId="58" borderId="229" applyNumberFormat="0" applyProtection="0">
      <alignment vertical="center"/>
    </xf>
    <xf numFmtId="4" fontId="216" fillId="61" borderId="229" applyNumberFormat="0" applyProtection="0">
      <alignment horizontal="left" vertical="center" indent="1"/>
    </xf>
    <xf numFmtId="4" fontId="228" fillId="77" borderId="229" applyNumberFormat="0" applyProtection="0">
      <alignment horizontal="left" indent="1"/>
    </xf>
    <xf numFmtId="4" fontId="229" fillId="58" borderId="229"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5" applyNumberFormat="0" applyAlignment="0" applyProtection="0"/>
    <xf numFmtId="0" fontId="184" fillId="56" borderId="215" applyNumberFormat="0" applyAlignment="0" applyProtection="0"/>
    <xf numFmtId="0" fontId="184" fillId="56" borderId="215"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5" applyNumberFormat="0" applyAlignment="0" applyProtection="0"/>
    <xf numFmtId="0" fontId="184" fillId="56" borderId="215"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5"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8" applyNumberFormat="0" applyFill="0" applyAlignment="0" applyProtection="0"/>
    <xf numFmtId="0" fontId="107" fillId="47" borderId="0" applyNumberFormat="0" applyBorder="0" applyAlignment="0" applyProtection="0"/>
    <xf numFmtId="0" fontId="148" fillId="0" borderId="219"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1"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3">
    <xf numFmtId="176" fontId="38" fillId="0" borderId="0" xfId="0" applyFont="1" applyProtection="1">
      <protection locked="0"/>
    </xf>
    <xf numFmtId="170" fontId="31" fillId="0" borderId="234" xfId="0" applyNumberFormat="1" applyFont="1" applyBorder="1"/>
    <xf numFmtId="177" fontId="29" fillId="0" borderId="234" xfId="0" applyNumberFormat="1" applyFont="1" applyBorder="1" applyAlignment="1">
      <alignment horizontal="center"/>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 fontId="29" fillId="0" borderId="94" xfId="0" applyNumberFormat="1" applyFont="1" applyBorder="1" applyAlignment="1">
      <alignment horizontal="center"/>
    </xf>
    <xf numFmtId="167" fontId="31" fillId="0" borderId="94" xfId="618" applyFont="1" applyBorder="1" applyAlignment="1"/>
    <xf numFmtId="4" fontId="31" fillId="0" borderId="94" xfId="0" applyNumberFormat="1" applyFont="1" applyBorder="1" applyAlignment="1">
      <alignment horizontal="center"/>
    </xf>
    <xf numFmtId="174" fontId="31" fillId="0" borderId="94" xfId="0" applyNumberFormat="1" applyFont="1" applyBorder="1" applyAlignment="1">
      <alignment horizontal="center"/>
    </xf>
    <xf numFmtId="174" fontId="31" fillId="0" borderId="29" xfId="0" applyNumberFormat="1" applyFont="1" applyBorder="1" applyAlignment="1">
      <alignment horizontal="center"/>
    </xf>
    <xf numFmtId="1" fontId="31" fillId="0" borderId="94" xfId="0" applyNumberFormat="1" applyFont="1" applyBorder="1" applyAlignment="1">
      <alignment horizontal="center"/>
    </xf>
    <xf numFmtId="170" fontId="31" fillId="0" borderId="94" xfId="0" applyNumberFormat="1" applyFont="1" applyBorder="1" applyAlignment="1">
      <alignment horizontal="center"/>
    </xf>
    <xf numFmtId="179" fontId="29" fillId="0" borderId="94" xfId="1" applyNumberFormat="1" applyFont="1" applyBorder="1" applyAlignment="1">
      <alignment horizontal="center"/>
    </xf>
    <xf numFmtId="170" fontId="31" fillId="0" borderId="94" xfId="0" applyNumberFormat="1" applyFont="1" applyBorder="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0" applyNumberFormat="1" applyFont="1" applyBorder="1" applyAlignment="1">
      <alignment horizontal="center"/>
    </xf>
    <xf numFmtId="179" fontId="136" fillId="0" borderId="94" xfId="1" applyNumberFormat="1" applyFont="1" applyBorder="1" applyAlignment="1">
      <alignment horizontal="center"/>
    </xf>
    <xf numFmtId="2" fontId="0" fillId="0" borderId="0" xfId="1" applyNumberFormat="1" applyFont="1"/>
    <xf numFmtId="2" fontId="0" fillId="0" borderId="0" xfId="618" applyNumberFormat="1" applyFont="1"/>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8" applyNumberFormat="1" applyFont="1"/>
    <xf numFmtId="1" fontId="158" fillId="0" borderId="0" xfId="8" applyNumberFormat="1" applyFont="1"/>
    <xf numFmtId="2" fontId="158" fillId="0" borderId="0" xfId="8" applyNumberFormat="1" applyFont="1"/>
    <xf numFmtId="2" fontId="159" fillId="0" borderId="0" xfId="8" applyNumberFormat="1" applyFont="1"/>
    <xf numFmtId="1" fontId="158" fillId="0" borderId="16" xfId="8" applyNumberFormat="1" applyFont="1" applyBorder="1"/>
    <xf numFmtId="2" fontId="156" fillId="0" borderId="0" xfId="8" applyNumberFormat="1" applyFont="1"/>
    <xf numFmtId="2" fontId="157" fillId="0" borderId="0" xfId="8" applyNumberFormat="1" applyFont="1" applyAlignment="1">
      <alignment horizontal="centerContinuous"/>
    </xf>
    <xf numFmtId="2" fontId="156" fillId="0" borderId="0" xfId="8" applyNumberFormat="1" applyFont="1" applyAlignment="1">
      <alignment horizontal="centerContinuous"/>
    </xf>
    <xf numFmtId="1" fontId="156" fillId="0" borderId="3" xfId="8" applyNumberFormat="1" applyFont="1" applyBorder="1"/>
    <xf numFmtId="2" fontId="156" fillId="0" borderId="5" xfId="8" applyNumberFormat="1" applyFont="1" applyBorder="1"/>
    <xf numFmtId="2" fontId="156" fillId="0" borderId="1" xfId="8" applyNumberFormat="1" applyFont="1" applyBorder="1"/>
    <xf numFmtId="2" fontId="156" fillId="0" borderId="3" xfId="8" applyNumberFormat="1" applyFont="1" applyBorder="1"/>
    <xf numFmtId="1" fontId="156" fillId="0" borderId="2" xfId="8" applyNumberFormat="1" applyFont="1" applyBorder="1"/>
    <xf numFmtId="2" fontId="157" fillId="0" borderId="4" xfId="8" applyNumberFormat="1" applyFont="1" applyBorder="1" applyAlignment="1">
      <alignment horizontal="center"/>
    </xf>
    <xf numFmtId="2" fontId="157" fillId="0" borderId="0" xfId="8" applyNumberFormat="1" applyFont="1" applyAlignment="1">
      <alignment horizontal="center"/>
    </xf>
    <xf numFmtId="2" fontId="156" fillId="0" borderId="2" xfId="8" applyNumberFormat="1" applyFont="1" applyBorder="1"/>
    <xf numFmtId="2" fontId="156" fillId="0" borderId="27" xfId="8" applyNumberFormat="1" applyFont="1" applyBorder="1"/>
    <xf numFmtId="2" fontId="156" fillId="0" borderId="4" xfId="8" applyNumberFormat="1" applyFont="1" applyBorder="1"/>
    <xf numFmtId="2" fontId="156" fillId="0" borderId="18" xfId="8" applyNumberFormat="1" applyFont="1" applyBorder="1"/>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1" fontId="157" fillId="0" borderId="2" xfId="8" applyNumberFormat="1" applyFont="1" applyBorder="1" applyAlignment="1">
      <alignment horizontal="center"/>
    </xf>
    <xf numFmtId="2" fontId="157" fillId="0" borderId="4" xfId="8" applyNumberFormat="1" applyFont="1" applyBorder="1"/>
    <xf numFmtId="2" fontId="157" fillId="0" borderId="18" xfId="8" applyNumberFormat="1" applyFont="1" applyBorder="1"/>
    <xf numFmtId="2" fontId="157" fillId="0" borderId="2" xfId="8" applyNumberFormat="1" applyFont="1" applyBorder="1"/>
    <xf numFmtId="1" fontId="156" fillId="0" borderId="21" xfId="8" applyNumberFormat="1" applyFont="1" applyBorder="1"/>
    <xf numFmtId="2" fontId="156" fillId="0" borderId="9" xfId="8" applyNumberFormat="1" applyFont="1" applyBorder="1"/>
    <xf numFmtId="2" fontId="156" fillId="0" borderId="33" xfId="8" applyNumberFormat="1" applyFont="1" applyBorder="1"/>
    <xf numFmtId="2" fontId="157" fillId="0" borderId="21" xfId="8" applyNumberFormat="1" applyFont="1" applyBorder="1" applyAlignment="1">
      <alignment horizontal="center"/>
    </xf>
    <xf numFmtId="2" fontId="156" fillId="0" borderId="21" xfId="8" applyNumberFormat="1" applyFont="1" applyBorder="1"/>
    <xf numFmtId="1" fontId="157" fillId="0" borderId="3" xfId="8" applyNumberFormat="1" applyFont="1" applyBorder="1" applyAlignment="1">
      <alignment horizontal="center"/>
    </xf>
    <xf numFmtId="1" fontId="157" fillId="0" borderId="2" xfId="8" applyNumberFormat="1" applyFont="1" applyBorder="1"/>
    <xf numFmtId="2" fontId="157" fillId="0" borderId="13" xfId="8" applyNumberFormat="1" applyFont="1" applyBorder="1" applyAlignment="1">
      <alignment horizontal="center"/>
    </xf>
    <xf numFmtId="2" fontId="157" fillId="0" borderId="17" xfId="8" applyNumberFormat="1" applyFont="1" applyBorder="1" applyAlignment="1">
      <alignment horizontal="center"/>
    </xf>
    <xf numFmtId="2" fontId="136" fillId="0" borderId="0" xfId="8" applyNumberFormat="1" applyFont="1" applyAlignment="1">
      <alignment horizontal="center"/>
    </xf>
    <xf numFmtId="2" fontId="136" fillId="0" borderId="2" xfId="8" applyNumberFormat="1" applyFont="1" applyBorder="1" applyAlignment="1">
      <alignment horizontal="center"/>
    </xf>
    <xf numFmtId="1" fontId="158" fillId="0" borderId="1" xfId="8" applyNumberFormat="1" applyFont="1" applyBorder="1"/>
    <xf numFmtId="2" fontId="158" fillId="0" borderId="1" xfId="8" applyNumberFormat="1" applyFont="1" applyBorder="1"/>
    <xf numFmtId="2" fontId="157" fillId="0" borderId="1" xfId="8" applyNumberFormat="1" applyFont="1" applyBorder="1" applyAlignment="1">
      <alignment horizontal="center"/>
    </xf>
    <xf numFmtId="1" fontId="156" fillId="0" borderId="0" xfId="8"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0"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 fontId="62" fillId="0" borderId="0" xfId="2" applyNumberFormat="1"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7" fontId="31" fillId="0" borderId="94" xfId="618" applyNumberFormat="1" applyFont="1" applyBorder="1" applyAlignment="1"/>
    <xf numFmtId="177" fontId="31" fillId="0" borderId="94" xfId="0" applyNumberFormat="1" applyFont="1" applyBorder="1" applyAlignment="1">
      <alignment horizontal="center"/>
    </xf>
    <xf numFmtId="177" fontId="31" fillId="0" borderId="29" xfId="0"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17" applyFont="1"/>
    <xf numFmtId="176" fontId="162" fillId="0" borderId="0" xfId="0" applyFont="1"/>
    <xf numFmtId="17" fontId="162" fillId="0" borderId="0" xfId="0" applyNumberFormat="1" applyFont="1"/>
    <xf numFmtId="167" fontId="162" fillId="0" borderId="0" xfId="1" applyFont="1"/>
    <xf numFmtId="17" fontId="7" fillId="0" borderId="0" xfId="2928"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0" applyFont="1" applyBorder="1" applyAlignment="1">
      <alignment horizontal="center"/>
    </xf>
    <xf numFmtId="176" fontId="56" fillId="0" borderId="152" xfId="0" applyFont="1" applyBorder="1" applyAlignment="1">
      <alignment horizontal="center"/>
    </xf>
    <xf numFmtId="176" fontId="66" fillId="0" borderId="154" xfId="0" applyFont="1" applyBorder="1" applyAlignment="1">
      <alignment horizontal="center"/>
    </xf>
    <xf numFmtId="174" fontId="29" fillId="0" borderId="154" xfId="0" applyNumberFormat="1" applyFont="1" applyBorder="1" applyAlignment="1">
      <alignment horizontal="center"/>
    </xf>
    <xf numFmtId="176" fontId="46" fillId="0" borderId="128" xfId="0" applyFont="1" applyBorder="1"/>
    <xf numFmtId="174" fontId="66" fillId="0" borderId="154" xfId="0" applyNumberFormat="1" applyFont="1" applyBorder="1" applyAlignment="1">
      <alignment horizontal="center"/>
    </xf>
    <xf numFmtId="177" fontId="29" fillId="0" borderId="154" xfId="0" applyNumberFormat="1" applyFont="1" applyBorder="1" applyAlignment="1">
      <alignment horizontal="center"/>
    </xf>
    <xf numFmtId="184" fontId="49" fillId="0" borderId="0" xfId="168" applyNumberFormat="1" applyFont="1"/>
    <xf numFmtId="176" fontId="49" fillId="0" borderId="0" xfId="2" applyFont="1"/>
    <xf numFmtId="176" fontId="118" fillId="0" borderId="159"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0" xfId="11" applyFont="1" applyBorder="1" applyAlignment="1">
      <alignment horizontal="center"/>
    </xf>
    <xf numFmtId="176" fontId="122" fillId="0" borderId="29" xfId="11" applyFont="1" applyBorder="1" applyAlignment="1">
      <alignment horizontal="center"/>
    </xf>
    <xf numFmtId="176" fontId="122" fillId="0" borderId="161" xfId="11" applyFont="1" applyBorder="1" applyAlignment="1">
      <alignment horizontal="center"/>
    </xf>
    <xf numFmtId="176" fontId="122" fillId="4" borderId="160" xfId="11" applyFont="1" applyFill="1" applyBorder="1" applyAlignment="1">
      <alignment horizontal="center"/>
    </xf>
    <xf numFmtId="176" fontId="122" fillId="0" borderId="162" xfId="11" applyFont="1" applyBorder="1" applyAlignment="1">
      <alignment horizontal="center"/>
    </xf>
    <xf numFmtId="176" fontId="118" fillId="0" borderId="161" xfId="11" applyFont="1" applyBorder="1"/>
    <xf numFmtId="176" fontId="118" fillId="0" borderId="152" xfId="11" applyFont="1" applyBorder="1"/>
    <xf numFmtId="176" fontId="118" fillId="0" borderId="100" xfId="11" applyFont="1" applyBorder="1"/>
    <xf numFmtId="176" fontId="118" fillId="0" borderId="163" xfId="11" applyFont="1" applyBorder="1"/>
    <xf numFmtId="176" fontId="118" fillId="0" borderId="164" xfId="11" applyFont="1" applyBorder="1"/>
    <xf numFmtId="176" fontId="118" fillId="0" borderId="165" xfId="11" applyFont="1" applyBorder="1"/>
    <xf numFmtId="176" fontId="118" fillId="0" borderId="160" xfId="11" applyFont="1" applyBorder="1"/>
    <xf numFmtId="176" fontId="118" fillId="0" borderId="160" xfId="11" applyFont="1" applyBorder="1" applyAlignment="1">
      <alignment horizontal="center"/>
    </xf>
    <xf numFmtId="176" fontId="122" fillId="0" borderId="160" xfId="11" quotePrefix="1" applyFont="1" applyBorder="1" applyAlignment="1">
      <alignment horizontal="center"/>
    </xf>
    <xf numFmtId="176" fontId="118" fillId="0" borderId="166" xfId="11"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177" fontId="31" fillId="0" borderId="0" xfId="618" applyNumberFormat="1" applyFont="1" applyBorder="1" applyAlignment="1"/>
    <xf numFmtId="177" fontId="31" fillId="0" borderId="0" xfId="0"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69" xfId="1"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7"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9"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0"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left"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1"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8"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1" xfId="1" applyFont="1" applyBorder="1" applyAlignment="1"/>
    <xf numFmtId="0" fontId="47" fillId="0" borderId="181" xfId="1" quotePrefix="1" applyNumberFormat="1" applyFont="1" applyBorder="1" applyAlignment="1">
      <alignment horizontal="center"/>
    </xf>
    <xf numFmtId="167" fontId="47" fillId="0" borderId="188"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0" xfId="1" applyFont="1" applyBorder="1" applyAlignment="1">
      <alignment horizontal="center"/>
    </xf>
    <xf numFmtId="167" fontId="47" fillId="0" borderId="91" xfId="1" applyFont="1" applyBorder="1" applyAlignment="1">
      <alignment horizontal="center"/>
    </xf>
    <xf numFmtId="174" fontId="80" fillId="0" borderId="91" xfId="1"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1" xfId="0" applyFont="1" applyFill="1" applyBorder="1" applyAlignment="1" applyProtection="1">
      <alignment horizontal="center" vertical="center" wrapText="1"/>
      <protection locked="0"/>
    </xf>
    <xf numFmtId="176" fontId="139" fillId="5" borderId="178"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2"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6" xfId="0" applyFont="1" applyFill="1" applyBorder="1" applyAlignment="1" applyProtection="1">
      <alignment horizontal="center" vertical="center" wrapText="1"/>
      <protection locked="0"/>
    </xf>
    <xf numFmtId="176" fontId="138" fillId="5" borderId="197"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8"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9"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9"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9"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6"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8"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6" xfId="0" applyFont="1" applyFill="1" applyBorder="1" applyAlignment="1" applyProtection="1">
      <alignment horizontal="center" vertical="center" wrapText="1"/>
      <protection locked="0"/>
    </xf>
    <xf numFmtId="176" fontId="154" fillId="5" borderId="197"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1"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1"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1"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1"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3" xfId="0" applyFont="1" applyBorder="1" applyAlignment="1" applyProtection="1">
      <alignment horizontal="left" vertical="center" wrapText="1"/>
      <protection locked="0"/>
    </xf>
    <xf numFmtId="176" fontId="80" fillId="0" borderId="178"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7"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8"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7"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8"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8"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9" xfId="0" applyFont="1" applyFill="1" applyBorder="1"/>
    <xf numFmtId="4" fontId="77" fillId="5" borderId="67" xfId="0" applyNumberFormat="1" applyFont="1" applyFill="1" applyBorder="1" applyAlignment="1" applyProtection="1">
      <alignment horizontal="center" wrapText="1"/>
      <protection locked="0"/>
    </xf>
    <xf numFmtId="4" fontId="77" fillId="5" borderId="192"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0"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5"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1"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8"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2"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2" xfId="0" applyFont="1" applyFill="1" applyBorder="1" applyAlignment="1" applyProtection="1">
      <alignment horizontal="center" wrapText="1"/>
      <protection locked="0"/>
    </xf>
    <xf numFmtId="176" fontId="53" fillId="3" borderId="213" xfId="0" applyFont="1" applyFill="1" applyBorder="1"/>
    <xf numFmtId="176" fontId="53" fillId="3" borderId="214" xfId="0" applyFont="1" applyFill="1" applyBorder="1"/>
    <xf numFmtId="176" fontId="53" fillId="3" borderId="169" xfId="0" applyFont="1" applyFill="1" applyBorder="1"/>
    <xf numFmtId="17" fontId="20" fillId="0" borderId="0" xfId="617" applyNumberFormat="1"/>
    <xf numFmtId="170" fontId="56" fillId="0" borderId="161" xfId="0" applyNumberFormat="1" applyFont="1" applyBorder="1" applyAlignment="1">
      <alignment horizontal="center"/>
    </xf>
    <xf numFmtId="170" fontId="31" fillId="0" borderId="161" xfId="0" applyNumberFormat="1" applyFont="1" applyBorder="1"/>
    <xf numFmtId="177" fontId="31" fillId="0" borderId="161" xfId="0" applyNumberFormat="1" applyFont="1" applyBorder="1" applyAlignment="1">
      <alignment horizontal="center"/>
    </xf>
    <xf numFmtId="177" fontId="29" fillId="0" borderId="161" xfId="0" applyNumberFormat="1" applyFont="1" applyBorder="1" applyAlignment="1">
      <alignment horizontal="center"/>
    </xf>
    <xf numFmtId="170" fontId="56" fillId="0" borderId="54" xfId="0" applyNumberFormat="1" applyFont="1" applyBorder="1" applyAlignment="1">
      <alignment horizontal="center"/>
    </xf>
    <xf numFmtId="177" fontId="31" fillId="0" borderId="170" xfId="618" applyNumberFormat="1" applyFont="1" applyBorder="1" applyAlignment="1"/>
    <xf numFmtId="170" fontId="31" fillId="0" borderId="54" xfId="0" applyNumberFormat="1" applyFont="1" applyBorder="1"/>
    <xf numFmtId="177" fontId="31" fillId="0" borderId="170" xfId="0" applyNumberFormat="1" applyFont="1" applyBorder="1" applyAlignment="1">
      <alignment horizontal="center"/>
    </xf>
    <xf numFmtId="177" fontId="31" fillId="0" borderId="54" xfId="0" applyNumberFormat="1" applyFont="1" applyBorder="1" applyAlignment="1">
      <alignment horizontal="center"/>
    </xf>
    <xf numFmtId="177" fontId="29" fillId="0" borderId="54" xfId="0" applyNumberFormat="1" applyFont="1" applyBorder="1" applyAlignment="1">
      <alignment horizontal="center"/>
    </xf>
    <xf numFmtId="176" fontId="56" fillId="3" borderId="232" xfId="0" applyFont="1" applyFill="1" applyBorder="1" applyAlignment="1">
      <alignment horizontal="center"/>
    </xf>
    <xf numFmtId="176" fontId="56" fillId="3" borderId="233" xfId="0" applyFont="1" applyFill="1" applyBorder="1" applyAlignment="1">
      <alignment horizontal="center"/>
    </xf>
    <xf numFmtId="176" fontId="56" fillId="3" borderId="187" xfId="0" applyFont="1" applyFill="1" applyBorder="1" applyAlignment="1">
      <alignment horizontal="center"/>
    </xf>
    <xf numFmtId="176" fontId="46" fillId="0" borderId="23" xfId="0" applyFont="1" applyBorder="1"/>
    <xf numFmtId="176" fontId="56" fillId="0" borderId="234" xfId="0" applyFont="1" applyBorder="1" applyAlignment="1">
      <alignment horizontal="center"/>
    </xf>
    <xf numFmtId="174" fontId="56" fillId="0" borderId="234" xfId="0" applyNumberFormat="1" applyFont="1" applyBorder="1" applyAlignment="1">
      <alignment horizontal="center"/>
    </xf>
    <xf numFmtId="174" fontId="31" fillId="0" borderId="234" xfId="0" applyNumberFormat="1" applyFont="1" applyBorder="1" applyAlignment="1">
      <alignment horizontal="center"/>
    </xf>
    <xf numFmtId="177" fontId="31" fillId="0" borderId="234" xfId="0" applyNumberFormat="1" applyFont="1" applyBorder="1" applyAlignment="1">
      <alignment horizontal="center"/>
    </xf>
    <xf numFmtId="177" fontId="31" fillId="0" borderId="230" xfId="0" applyNumberFormat="1" applyFont="1" applyBorder="1" applyAlignment="1">
      <alignment horizontal="center"/>
    </xf>
    <xf numFmtId="176" fontId="46" fillId="0" borderId="36" xfId="0" applyFont="1" applyBorder="1"/>
    <xf numFmtId="176" fontId="56" fillId="3" borderId="231" xfId="0" applyFont="1" applyFill="1" applyBorder="1" applyAlignment="1">
      <alignment horizontal="center"/>
    </xf>
    <xf numFmtId="170" fontId="56" fillId="0" borderId="0" xfId="0" applyNumberFormat="1" applyFont="1" applyAlignment="1">
      <alignment horizontal="center"/>
    </xf>
    <xf numFmtId="170" fontId="31" fillId="0" borderId="0" xfId="0" applyNumberFormat="1" applyFont="1"/>
    <xf numFmtId="177" fontId="29" fillId="0" borderId="0" xfId="0" applyNumberFormat="1" applyFont="1" applyAlignment="1">
      <alignment horizontal="center"/>
    </xf>
    <xf numFmtId="2" fontId="56" fillId="0" borderId="29" xfId="0" applyNumberFormat="1" applyFont="1" applyBorder="1" applyAlignment="1">
      <alignment horizontal="center"/>
    </xf>
    <xf numFmtId="170" fontId="64" fillId="0" borderId="0" xfId="3" applyFont="1">
      <alignment horizontal="center" wrapText="1"/>
    </xf>
    <xf numFmtId="176" fontId="28" fillId="3" borderId="24" xfId="0" applyFont="1" applyFill="1" applyBorder="1" applyAlignment="1">
      <alignment horizontal="center"/>
    </xf>
    <xf numFmtId="176" fontId="28" fillId="3" borderId="23" xfId="0" applyFont="1" applyFill="1" applyBorder="1" applyAlignment="1">
      <alignment horizontal="center"/>
    </xf>
    <xf numFmtId="176" fontId="28" fillId="3" borderId="235" xfId="0" applyFont="1" applyFill="1" applyBorder="1" applyAlignment="1">
      <alignment horizontal="center"/>
    </xf>
    <xf numFmtId="176" fontId="28" fillId="3" borderId="231" xfId="0" applyFont="1" applyFill="1" applyBorder="1" applyAlignment="1">
      <alignment horizontal="center"/>
    </xf>
    <xf numFmtId="176" fontId="28" fillId="3" borderId="0" xfId="0" applyFont="1" applyFill="1" applyAlignment="1">
      <alignment horizontal="center"/>
    </xf>
    <xf numFmtId="176" fontId="28" fillId="3" borderId="176" xfId="0" applyFont="1" applyFill="1" applyBorder="1" applyAlignment="1">
      <alignment horizontal="center"/>
    </xf>
    <xf numFmtId="176" fontId="28" fillId="3" borderId="55" xfId="0" applyFont="1" applyFill="1" applyBorder="1" applyAlignment="1">
      <alignment horizontal="center"/>
    </xf>
    <xf numFmtId="176" fontId="28" fillId="3" borderId="230" xfId="0" applyFont="1" applyFill="1" applyBorder="1" applyAlignment="1">
      <alignment horizontal="center"/>
    </xf>
    <xf numFmtId="176" fontId="28" fillId="3" borderId="236" xfId="0" applyFont="1" applyFill="1" applyBorder="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2" fontId="157" fillId="0" borderId="2" xfId="8" applyNumberFormat="1" applyFont="1" applyBorder="1" applyAlignment="1">
      <alignment horizontal="right"/>
    </xf>
    <xf numFmtId="2" fontId="157" fillId="0" borderId="18" xfId="8"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8"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3"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67" fontId="47" fillId="0" borderId="122" xfId="1" applyFont="1" applyBorder="1" applyAlignment="1">
      <alignment horizontal="center"/>
    </xf>
    <xf numFmtId="167" fontId="47" fillId="0" borderId="188" xfId="1" applyFont="1" applyBorder="1" applyAlignment="1">
      <alignment horizontal="center"/>
    </xf>
    <xf numFmtId="167" fontId="47" fillId="0" borderId="189" xfId="1" applyFont="1" applyBorder="1" applyAlignment="1">
      <alignment horizontal="center"/>
    </xf>
    <xf numFmtId="167" fontId="47" fillId="0" borderId="187" xfId="1" applyFont="1" applyBorder="1" applyAlignment="1">
      <alignment horizontal="center"/>
    </xf>
    <xf numFmtId="176" fontId="47" fillId="0" borderId="0" xfId="0" applyFont="1" applyAlignment="1">
      <alignment horizontal="center"/>
    </xf>
    <xf numFmtId="167" fontId="47" fillId="0" borderId="186" xfId="1" applyFont="1" applyBorder="1" applyAlignment="1">
      <alignment horizontal="center"/>
    </xf>
    <xf numFmtId="167" fontId="47" fillId="0" borderId="98" xfId="1" applyFont="1" applyBorder="1" applyAlignment="1">
      <alignment horizontal="center"/>
    </xf>
    <xf numFmtId="167" fontId="47" fillId="0" borderId="181" xfId="1" applyFont="1" applyBorder="1" applyAlignment="1">
      <alignment horizontal="center" wrapText="1"/>
    </xf>
    <xf numFmtId="167" fontId="47" fillId="0" borderId="182" xfId="1" applyFont="1" applyBorder="1" applyAlignment="1">
      <alignment horizontal="center" wrapText="1"/>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2">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Monthlies/Monthly%20Review/2025%20Monthlies/November%202025/Monthly%20Review%20Tables%20November%202025.xlsx" TargetMode="External"/><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64">
          <cell r="W164">
            <v>207397.96901490347</v>
          </cell>
        </row>
      </sheetData>
      <sheetData sheetId="15"/>
      <sheetData sheetId="16"/>
      <sheetData sheetId="17">
        <row r="164">
          <cell r="W164">
            <v>178568.90086354487</v>
          </cell>
        </row>
      </sheetData>
      <sheetData sheetId="18"/>
      <sheetData sheetId="19">
        <row r="155">
          <cell r="E155">
            <v>51556475.117629439</v>
          </cell>
        </row>
      </sheetData>
      <sheetData sheetId="20"/>
      <sheetData sheetId="21">
        <row r="167">
          <cell r="U167">
            <v>24848.988328000665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40" customWidth="1"/>
    <col min="2" max="2" width="30.54296875" style="240" customWidth="1"/>
    <col min="3" max="12" width="8.90625" style="240" hidden="1" customWidth="1"/>
    <col min="13" max="14" width="9.81640625" style="240" hidden="1" customWidth="1"/>
    <col min="15" max="15" width="13.453125" style="240" hidden="1" customWidth="1"/>
    <col min="16" max="16" width="14" style="240" hidden="1" customWidth="1"/>
    <col min="17" max="17" width="14.36328125" style="240" hidden="1" customWidth="1"/>
    <col min="18" max="18" width="13.1796875" style="240" hidden="1" customWidth="1"/>
    <col min="19" max="19" width="15.81640625" style="240" hidden="1" customWidth="1"/>
    <col min="20" max="20" width="13.08984375" style="240" hidden="1" customWidth="1"/>
    <col min="21" max="21" width="16.1796875" style="240" hidden="1" customWidth="1"/>
    <col min="22" max="22" width="15.36328125" style="240" hidden="1" customWidth="1"/>
    <col min="23" max="23" width="14.54296875" style="240" hidden="1" customWidth="1"/>
    <col min="24" max="24" width="14.81640625" style="240" hidden="1" customWidth="1"/>
    <col min="25" max="25" width="14.453125" style="240" hidden="1" customWidth="1"/>
    <col min="26" max="26" width="14.54296875" style="240" hidden="1" customWidth="1"/>
    <col min="27" max="27" width="15.54296875" style="240" hidden="1" customWidth="1"/>
    <col min="28" max="30" width="15.36328125" style="240" hidden="1" customWidth="1"/>
    <col min="31" max="31" width="14.1796875" style="240" hidden="1" customWidth="1"/>
    <col min="32" max="32" width="15.6328125" style="240" hidden="1" customWidth="1"/>
    <col min="33" max="33" width="14.54296875" style="272" hidden="1" customWidth="1"/>
    <col min="34" max="34" width="14.54296875" style="240" hidden="1" customWidth="1"/>
    <col min="35" max="35" width="14.54296875" style="503" hidden="1" customWidth="1"/>
    <col min="36" max="36" width="15.6328125" style="240" hidden="1" customWidth="1"/>
    <col min="37" max="37" width="11.90625" style="240" hidden="1" customWidth="1"/>
    <col min="38" max="38" width="12.453125" style="240" hidden="1" customWidth="1"/>
    <col min="39" max="39" width="14.08984375" style="240" hidden="1" customWidth="1"/>
    <col min="40" max="41" width="12" style="367" hidden="1" customWidth="1"/>
    <col min="42" max="42" width="13.453125" style="240" hidden="1" customWidth="1"/>
    <col min="43" max="43" width="12" style="240" hidden="1" customWidth="1"/>
    <col min="44" max="46" width="12.90625" style="240" bestFit="1" customWidth="1"/>
    <col min="47" max="47" width="14.08984375" style="240" customWidth="1"/>
    <col min="48" max="48" width="14.81640625" style="240" bestFit="1" customWidth="1"/>
    <col min="49" max="49" width="16.1796875" style="240" customWidth="1"/>
    <col min="50" max="50" width="14.54296875" style="240" bestFit="1" customWidth="1"/>
    <col min="51" max="52" width="12" style="240" bestFit="1" customWidth="1"/>
    <col min="53" max="16384" width="8.90625" style="240"/>
  </cols>
  <sheetData>
    <row r="3" spans="2:197">
      <c r="B3" s="278" t="s">
        <v>1171</v>
      </c>
      <c r="C3" s="356"/>
      <c r="D3" s="356"/>
      <c r="E3" s="356"/>
      <c r="F3" s="356"/>
      <c r="G3" s="356"/>
      <c r="H3" s="356"/>
    </row>
    <row r="4" spans="2:197">
      <c r="B4" s="357" t="s">
        <v>1</v>
      </c>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573"/>
      <c r="AH4" s="357"/>
      <c r="AI4" s="550"/>
      <c r="AJ4" s="357"/>
      <c r="AK4" s="357"/>
      <c r="AL4" s="357"/>
      <c r="AM4" s="357"/>
      <c r="AN4" s="580"/>
      <c r="AO4" s="580"/>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c r="CK4" s="357"/>
      <c r="CL4" s="357"/>
      <c r="CM4" s="357"/>
      <c r="CN4" s="357"/>
      <c r="CO4" s="357"/>
      <c r="CP4" s="357"/>
      <c r="CQ4" s="357"/>
      <c r="CR4" s="357"/>
      <c r="CS4" s="357"/>
      <c r="CT4" s="357"/>
      <c r="CU4" s="357"/>
      <c r="CV4" s="357"/>
      <c r="CW4" s="357"/>
      <c r="CX4" s="357"/>
      <c r="CY4" s="357"/>
      <c r="CZ4" s="357"/>
      <c r="DA4" s="357"/>
      <c r="DB4" s="357"/>
      <c r="DC4" s="357"/>
      <c r="DD4" s="357"/>
      <c r="DE4" s="357"/>
      <c r="DF4" s="357"/>
      <c r="DG4" s="357"/>
      <c r="DH4" s="357"/>
      <c r="DI4" s="357"/>
      <c r="DJ4" s="357"/>
      <c r="DK4" s="357"/>
      <c r="DL4" s="357"/>
      <c r="DM4" s="357"/>
      <c r="DN4" s="357"/>
      <c r="DO4" s="357"/>
      <c r="DP4" s="357"/>
      <c r="DQ4" s="357"/>
      <c r="DR4" s="357"/>
      <c r="DS4" s="357"/>
      <c r="DT4" s="357"/>
      <c r="DU4" s="357"/>
      <c r="DV4" s="357"/>
      <c r="DW4" s="357"/>
      <c r="DX4" s="357"/>
      <c r="DY4" s="357"/>
      <c r="DZ4" s="357"/>
      <c r="EA4" s="357"/>
      <c r="EB4" s="357"/>
      <c r="EC4" s="357"/>
      <c r="ED4" s="357"/>
      <c r="EE4" s="357"/>
      <c r="EF4" s="357"/>
      <c r="EG4" s="357"/>
      <c r="EH4" s="357"/>
      <c r="EI4" s="357"/>
      <c r="EJ4" s="357"/>
      <c r="EK4" s="357"/>
      <c r="EL4" s="357"/>
      <c r="EM4" s="357"/>
      <c r="EN4" s="357"/>
      <c r="EO4" s="357"/>
      <c r="EP4" s="357"/>
      <c r="EQ4" s="357"/>
      <c r="ER4" s="357"/>
      <c r="ES4" s="357"/>
      <c r="ET4" s="357"/>
      <c r="EU4" s="357"/>
      <c r="EV4" s="357"/>
      <c r="EW4" s="357"/>
      <c r="EX4" s="357"/>
      <c r="EY4" s="357"/>
      <c r="EZ4" s="357"/>
      <c r="FA4" s="357"/>
      <c r="FB4" s="357"/>
      <c r="FC4" s="357"/>
      <c r="FD4" s="357"/>
      <c r="FE4" s="357"/>
      <c r="FF4" s="357"/>
      <c r="FG4" s="357"/>
      <c r="FH4" s="357"/>
      <c r="FI4" s="357"/>
      <c r="FJ4" s="357"/>
      <c r="FK4" s="357"/>
      <c r="FL4" s="357"/>
      <c r="FM4" s="357"/>
      <c r="FN4" s="357"/>
      <c r="FO4" s="357"/>
      <c r="FP4" s="357"/>
      <c r="FQ4" s="357"/>
      <c r="FR4" s="357"/>
      <c r="FS4" s="357"/>
      <c r="FT4" s="357"/>
      <c r="FU4" s="357"/>
      <c r="FV4" s="357"/>
      <c r="FW4" s="357"/>
      <c r="FX4" s="357"/>
      <c r="FY4" s="357"/>
      <c r="FZ4" s="357"/>
      <c r="GA4" s="357"/>
      <c r="GB4" s="357"/>
      <c r="GC4" s="357"/>
      <c r="GD4" s="357"/>
      <c r="GE4" s="357"/>
      <c r="GF4" s="357"/>
      <c r="GG4" s="357"/>
      <c r="GH4" s="357"/>
      <c r="GI4" s="357"/>
      <c r="GJ4" s="357"/>
      <c r="GK4" s="357"/>
      <c r="GL4" s="357"/>
      <c r="GM4" s="357"/>
      <c r="GN4" s="357"/>
      <c r="GO4" s="357"/>
    </row>
    <row r="5" spans="2:197">
      <c r="B5" s="356"/>
      <c r="C5" s="356"/>
      <c r="D5" s="356"/>
      <c r="E5" s="356"/>
      <c r="F5" s="356"/>
      <c r="G5" s="356"/>
      <c r="H5" s="356"/>
    </row>
    <row r="6" spans="2:197" ht="16.2" thickBot="1">
      <c r="B6" s="356"/>
      <c r="C6" s="356"/>
      <c r="D6" s="356"/>
      <c r="E6" s="356"/>
      <c r="F6" s="356"/>
      <c r="G6" s="356"/>
      <c r="H6" s="356"/>
    </row>
    <row r="7" spans="2:197" ht="16.8" thickTop="1" thickBot="1">
      <c r="B7" s="520"/>
      <c r="C7" s="1835">
        <v>2009</v>
      </c>
      <c r="D7" s="1836"/>
      <c r="E7" s="1836"/>
      <c r="F7" s="1836"/>
      <c r="G7" s="1836"/>
      <c r="H7" s="1836"/>
      <c r="I7" s="1836"/>
      <c r="J7" s="1836"/>
      <c r="K7" s="1836"/>
      <c r="L7" s="1836"/>
      <c r="M7" s="1836"/>
      <c r="N7" s="1836"/>
      <c r="O7" s="1837">
        <v>2010</v>
      </c>
      <c r="P7" s="1838"/>
      <c r="Q7" s="1838"/>
      <c r="R7" s="1838"/>
      <c r="S7" s="1838"/>
      <c r="T7" s="1838"/>
      <c r="U7" s="1838"/>
      <c r="V7" s="1838"/>
      <c r="W7" s="1838"/>
      <c r="X7" s="1838"/>
      <c r="Y7" s="1838"/>
      <c r="Z7" s="1838"/>
      <c r="AA7" s="1837">
        <v>2011</v>
      </c>
      <c r="AB7" s="1838"/>
      <c r="AC7" s="1838"/>
      <c r="AD7" s="539"/>
      <c r="AE7" s="560"/>
      <c r="AF7" s="552"/>
      <c r="AG7" s="576"/>
      <c r="AH7" s="552"/>
      <c r="AI7" s="553"/>
      <c r="AJ7" s="552"/>
      <c r="AK7" s="552"/>
      <c r="AL7" s="552"/>
      <c r="AM7" s="584">
        <v>2012</v>
      </c>
      <c r="AN7" s="590"/>
      <c r="AO7" s="590"/>
    </row>
    <row r="8" spans="2:197" s="360" customFormat="1" ht="16.8" thickTop="1" thickBot="1">
      <c r="B8" s="521"/>
      <c r="C8" s="358" t="s">
        <v>345</v>
      </c>
      <c r="D8" s="358" t="s">
        <v>334</v>
      </c>
      <c r="E8" s="358" t="s">
        <v>335</v>
      </c>
      <c r="F8" s="358" t="s">
        <v>336</v>
      </c>
      <c r="G8" s="358" t="s">
        <v>337</v>
      </c>
      <c r="H8" s="358" t="s">
        <v>346</v>
      </c>
      <c r="I8" s="358" t="s">
        <v>347</v>
      </c>
      <c r="J8" s="358" t="s">
        <v>12</v>
      </c>
      <c r="K8" s="358" t="s">
        <v>13</v>
      </c>
      <c r="L8" s="358" t="s">
        <v>14</v>
      </c>
      <c r="M8" s="359" t="s">
        <v>15</v>
      </c>
      <c r="N8" s="528" t="s">
        <v>16</v>
      </c>
      <c r="O8" s="529" t="s">
        <v>8</v>
      </c>
      <c r="P8" s="530" t="s">
        <v>9</v>
      </c>
      <c r="Q8" s="530" t="s">
        <v>10</v>
      </c>
      <c r="R8" s="530" t="s">
        <v>11</v>
      </c>
      <c r="S8" s="530" t="s">
        <v>337</v>
      </c>
      <c r="T8" s="530" t="s">
        <v>346</v>
      </c>
      <c r="U8" s="530" t="s">
        <v>347</v>
      </c>
      <c r="V8" s="530" t="s">
        <v>12</v>
      </c>
      <c r="W8" s="530" t="s">
        <v>13</v>
      </c>
      <c r="X8" s="530" t="s">
        <v>14</v>
      </c>
      <c r="Y8" s="530" t="s">
        <v>15</v>
      </c>
      <c r="Z8" s="530" t="s">
        <v>16</v>
      </c>
      <c r="AA8" s="531" t="s">
        <v>8</v>
      </c>
      <c r="AB8" s="530" t="s">
        <v>9</v>
      </c>
      <c r="AC8" s="530" t="s">
        <v>10</v>
      </c>
      <c r="AD8" s="530" t="s">
        <v>11</v>
      </c>
      <c r="AE8" s="530" t="s">
        <v>337</v>
      </c>
      <c r="AF8" s="554" t="s">
        <v>346</v>
      </c>
      <c r="AG8" s="574" t="s">
        <v>347</v>
      </c>
      <c r="AH8" s="555" t="s">
        <v>12</v>
      </c>
      <c r="AI8" s="554" t="s">
        <v>13</v>
      </c>
      <c r="AJ8" s="555" t="s">
        <v>14</v>
      </c>
      <c r="AK8" s="555" t="s">
        <v>15</v>
      </c>
      <c r="AL8" s="555" t="s">
        <v>16</v>
      </c>
      <c r="AM8" s="585" t="s">
        <v>8</v>
      </c>
      <c r="AN8" s="591" t="s">
        <v>9</v>
      </c>
      <c r="AO8" s="591" t="s">
        <v>10</v>
      </c>
      <c r="AP8" s="585" t="s">
        <v>11</v>
      </c>
      <c r="AQ8" s="585" t="s">
        <v>337</v>
      </c>
      <c r="AR8" s="551" t="s">
        <v>346</v>
      </c>
      <c r="AS8" s="600" t="s">
        <v>347</v>
      </c>
      <c r="AT8" s="588" t="s">
        <v>12</v>
      </c>
      <c r="AU8" s="551" t="s">
        <v>13</v>
      </c>
      <c r="AV8" s="588" t="s">
        <v>14</v>
      </c>
      <c r="AW8" s="588" t="s">
        <v>15</v>
      </c>
      <c r="AX8" s="638" t="s">
        <v>16</v>
      </c>
      <c r="AY8" s="638" t="s">
        <v>8</v>
      </c>
      <c r="AZ8" s="638">
        <v>2013</v>
      </c>
    </row>
    <row r="9" spans="2:197" ht="15" customHeight="1" thickTop="1">
      <c r="B9" s="522"/>
      <c r="C9" s="361"/>
      <c r="D9" s="361"/>
      <c r="E9" s="361"/>
      <c r="F9" s="361"/>
      <c r="G9" s="361"/>
      <c r="H9" s="361"/>
      <c r="I9" s="362"/>
      <c r="J9" s="362"/>
      <c r="K9" s="362"/>
      <c r="L9" s="362"/>
      <c r="M9" s="362"/>
      <c r="N9" s="496"/>
      <c r="O9" s="512"/>
      <c r="Z9" s="507"/>
      <c r="AM9" s="363"/>
      <c r="AN9" s="592"/>
      <c r="AO9" s="592"/>
      <c r="AS9" s="363"/>
      <c r="AT9" s="363"/>
      <c r="AX9" s="639"/>
      <c r="AY9" s="639"/>
      <c r="AZ9" s="639" t="s">
        <v>9</v>
      </c>
    </row>
    <row r="10" spans="2:197">
      <c r="B10" s="522"/>
      <c r="C10" s="364"/>
      <c r="D10" s="364"/>
      <c r="E10" s="364"/>
      <c r="F10" s="364"/>
      <c r="G10" s="364"/>
      <c r="H10" s="364"/>
      <c r="I10" s="363"/>
      <c r="J10" s="363"/>
      <c r="K10" s="363"/>
      <c r="L10" s="363"/>
      <c r="M10" s="363"/>
      <c r="N10" s="501"/>
      <c r="O10" s="506"/>
      <c r="P10" s="503"/>
      <c r="Q10" s="503"/>
      <c r="R10" s="504"/>
      <c r="S10" s="504"/>
      <c r="Z10" s="507"/>
      <c r="AM10" s="363"/>
      <c r="AN10" s="586"/>
      <c r="AO10" s="586"/>
      <c r="AS10" s="586"/>
      <c r="AT10" s="586"/>
      <c r="AU10" s="367"/>
      <c r="AX10" s="639"/>
      <c r="AY10" s="639"/>
      <c r="AZ10" s="639"/>
    </row>
    <row r="11" spans="2:197">
      <c r="B11" s="522" t="s">
        <v>901</v>
      </c>
      <c r="C11" s="364">
        <v>1241.6438999999998</v>
      </c>
      <c r="D11" s="364">
        <v>2700.2882999999997</v>
      </c>
      <c r="E11" s="364">
        <v>2802.2808</v>
      </c>
      <c r="F11" s="364">
        <v>164.44570000000002</v>
      </c>
      <c r="G11" s="364">
        <v>164.44570000000002</v>
      </c>
      <c r="H11" s="364">
        <v>174.71979999999999</v>
      </c>
      <c r="I11" s="364">
        <v>181.63054</v>
      </c>
      <c r="J11" s="364">
        <v>180.72848000000002</v>
      </c>
      <c r="K11" s="364">
        <v>189.39839999999998</v>
      </c>
      <c r="L11" s="364">
        <v>188.62954000000002</v>
      </c>
      <c r="M11" s="364">
        <v>189.42063000000002</v>
      </c>
      <c r="N11" s="501">
        <v>185.23675</v>
      </c>
      <c r="O11" s="506">
        <v>186.12769</v>
      </c>
      <c r="P11" s="503">
        <v>183.89671999999999</v>
      </c>
      <c r="Q11" s="503">
        <v>184.33384000000001</v>
      </c>
      <c r="R11" s="504">
        <v>183.9</v>
      </c>
      <c r="S11" s="504">
        <v>177.5</v>
      </c>
      <c r="T11" s="504">
        <v>175.92579999999998</v>
      </c>
      <c r="U11" s="504">
        <v>180.21922000000001</v>
      </c>
      <c r="V11" s="504">
        <v>637.68434999999999</v>
      </c>
      <c r="W11" s="504">
        <v>186.82509999999999</v>
      </c>
      <c r="X11" s="504">
        <v>185.15757000000002</v>
      </c>
      <c r="Y11" s="504">
        <v>182.40470999999999</v>
      </c>
      <c r="Z11" s="508">
        <v>186.80159</v>
      </c>
      <c r="AA11" s="356">
        <v>182.73073000000002</v>
      </c>
      <c r="AB11" s="356">
        <v>184.57424</v>
      </c>
      <c r="AC11" s="356">
        <v>147.16540000000001</v>
      </c>
      <c r="AD11" s="356">
        <v>149.4547</v>
      </c>
      <c r="AE11" s="561">
        <v>146.94207999999998</v>
      </c>
      <c r="AF11" s="367">
        <v>147.9</v>
      </c>
      <c r="AG11" s="272">
        <v>150.88989000000001</v>
      </c>
      <c r="AH11" s="366">
        <v>150.88989000000001</v>
      </c>
      <c r="AI11" s="240">
        <v>120.61131</v>
      </c>
      <c r="AJ11" s="567">
        <v>94.7</v>
      </c>
      <c r="AK11" s="240">
        <v>79.7</v>
      </c>
      <c r="AL11" s="240">
        <v>80.5</v>
      </c>
      <c r="AM11" s="586">
        <v>82.4</v>
      </c>
      <c r="AN11" s="586">
        <v>84.37227</v>
      </c>
      <c r="AO11" s="586">
        <v>83.046639999999996</v>
      </c>
      <c r="AP11" s="366">
        <v>82.867369999999994</v>
      </c>
      <c r="AQ11" s="240">
        <v>78.599999999999994</v>
      </c>
      <c r="AR11" s="240">
        <v>79.7</v>
      </c>
      <c r="AS11" s="586">
        <v>80.087890000000002</v>
      </c>
      <c r="AT11" s="586">
        <v>80.909270000000006</v>
      </c>
      <c r="AU11" s="367">
        <v>82.1</v>
      </c>
      <c r="AV11" s="240">
        <v>80.7</v>
      </c>
      <c r="AW11" s="240">
        <v>79.599999999999994</v>
      </c>
      <c r="AX11" s="639">
        <v>80.8</v>
      </c>
      <c r="AY11" s="639">
        <v>78.599999999999994</v>
      </c>
      <c r="AZ11" s="639">
        <v>78.342550000000003</v>
      </c>
    </row>
    <row r="12" spans="2:197">
      <c r="B12" s="522"/>
      <c r="C12" s="364"/>
      <c r="D12" s="364"/>
      <c r="E12" s="364"/>
      <c r="F12" s="364"/>
      <c r="G12" s="364"/>
      <c r="H12" s="364"/>
      <c r="I12" s="363"/>
      <c r="J12" s="363"/>
      <c r="K12" s="363"/>
      <c r="L12" s="363"/>
      <c r="M12" s="363"/>
      <c r="N12" s="501"/>
      <c r="O12" s="506"/>
      <c r="P12" s="503"/>
      <c r="Q12" s="503"/>
      <c r="R12" s="504"/>
      <c r="S12" s="504"/>
      <c r="Z12" s="507"/>
      <c r="AA12" s="356"/>
      <c r="AB12" s="356"/>
      <c r="AC12" s="356"/>
      <c r="AD12" s="356"/>
      <c r="AE12" s="561"/>
      <c r="AF12" s="367"/>
      <c r="AH12" s="366"/>
      <c r="AI12" s="240"/>
      <c r="AJ12" s="567"/>
      <c r="AM12" s="586"/>
      <c r="AN12" s="586"/>
      <c r="AO12" s="586"/>
      <c r="AP12" s="366"/>
      <c r="AS12" s="586"/>
      <c r="AT12" s="586"/>
      <c r="AU12" s="367"/>
      <c r="AX12" s="639"/>
      <c r="AY12" s="639"/>
      <c r="AZ12" s="639"/>
    </row>
    <row r="13" spans="2:197" ht="15.6" customHeight="1">
      <c r="B13" s="522" t="s">
        <v>902</v>
      </c>
      <c r="C13" s="364">
        <v>3.3000000000000002E-2</v>
      </c>
      <c r="D13" s="364">
        <v>0</v>
      </c>
      <c r="E13" s="364">
        <v>0</v>
      </c>
      <c r="F13" s="364">
        <v>0</v>
      </c>
      <c r="G13" s="364">
        <v>0</v>
      </c>
      <c r="H13" s="364">
        <v>0</v>
      </c>
      <c r="I13" s="364">
        <v>0</v>
      </c>
      <c r="J13" s="364">
        <v>0</v>
      </c>
      <c r="K13" s="364">
        <v>0</v>
      </c>
      <c r="L13" s="364">
        <v>0</v>
      </c>
      <c r="M13" s="364">
        <v>0</v>
      </c>
      <c r="N13" s="501">
        <v>0</v>
      </c>
      <c r="O13" s="506">
        <v>0</v>
      </c>
      <c r="P13" s="503">
        <v>0</v>
      </c>
      <c r="Q13" s="503">
        <v>0</v>
      </c>
      <c r="R13" s="503">
        <v>0</v>
      </c>
      <c r="S13" s="503">
        <v>0</v>
      </c>
      <c r="T13" s="240">
        <v>0</v>
      </c>
      <c r="U13" s="240">
        <v>0</v>
      </c>
      <c r="V13" s="240">
        <v>0</v>
      </c>
      <c r="W13" s="240">
        <v>0</v>
      </c>
      <c r="X13" s="240">
        <v>0</v>
      </c>
      <c r="Y13" s="240">
        <v>0</v>
      </c>
      <c r="Z13" s="507">
        <v>0</v>
      </c>
      <c r="AA13" s="356"/>
      <c r="AB13" s="497"/>
      <c r="AC13" s="356"/>
      <c r="AD13" s="356"/>
      <c r="AE13" s="561">
        <v>0</v>
      </c>
      <c r="AF13" s="367">
        <v>0</v>
      </c>
      <c r="AG13" s="272">
        <v>0</v>
      </c>
      <c r="AH13" s="366">
        <v>0</v>
      </c>
      <c r="AI13" s="240">
        <v>0</v>
      </c>
      <c r="AJ13" s="567">
        <v>0</v>
      </c>
      <c r="AK13" s="240">
        <v>0</v>
      </c>
      <c r="AL13" s="240">
        <v>0</v>
      </c>
      <c r="AM13" s="586">
        <v>0</v>
      </c>
      <c r="AN13" s="586">
        <v>0</v>
      </c>
      <c r="AO13" s="586">
        <v>0</v>
      </c>
      <c r="AP13" s="366">
        <v>0</v>
      </c>
      <c r="AS13" s="586">
        <v>0</v>
      </c>
      <c r="AT13" s="586">
        <v>0</v>
      </c>
      <c r="AU13" s="367"/>
      <c r="AX13" s="639"/>
      <c r="AY13" s="639"/>
      <c r="AZ13" s="639"/>
    </row>
    <row r="14" spans="2:197" ht="15.6" customHeight="1">
      <c r="B14" s="522"/>
      <c r="C14" s="364"/>
      <c r="D14" s="364"/>
      <c r="E14" s="364"/>
      <c r="F14" s="364"/>
      <c r="G14" s="364"/>
      <c r="H14" s="364"/>
      <c r="I14" s="364"/>
      <c r="J14" s="364"/>
      <c r="K14" s="364"/>
      <c r="L14" s="364"/>
      <c r="M14" s="364"/>
      <c r="N14" s="501"/>
      <c r="O14" s="506"/>
      <c r="P14" s="503"/>
      <c r="Q14" s="503"/>
      <c r="R14" s="504"/>
      <c r="S14" s="504"/>
      <c r="Z14" s="507"/>
      <c r="AA14" s="356"/>
      <c r="AB14" s="497"/>
      <c r="AC14" s="356"/>
      <c r="AD14" s="356"/>
      <c r="AE14" s="561"/>
      <c r="AF14" s="367"/>
      <c r="AH14" s="366"/>
      <c r="AI14" s="240"/>
      <c r="AJ14" s="567"/>
      <c r="AM14" s="586"/>
      <c r="AN14" s="586"/>
      <c r="AO14" s="586"/>
      <c r="AP14" s="366"/>
      <c r="AS14" s="586"/>
      <c r="AT14" s="586"/>
      <c r="AU14" s="367"/>
      <c r="AX14" s="639"/>
      <c r="AY14" s="639"/>
      <c r="AZ14" s="639"/>
    </row>
    <row r="15" spans="2:197">
      <c r="B15" s="522" t="s">
        <v>903</v>
      </c>
      <c r="C15" s="364">
        <v>240827.03810999999</v>
      </c>
      <c r="D15" s="364">
        <v>199135.72355000002</v>
      </c>
      <c r="E15" s="364">
        <v>219032.03739999997</v>
      </c>
      <c r="F15" s="364">
        <v>334856.19175</v>
      </c>
      <c r="G15" s="364">
        <v>378402.07061000005</v>
      </c>
      <c r="H15" s="364">
        <v>429261.53766000003</v>
      </c>
      <c r="I15" s="364">
        <v>445891.17337000003</v>
      </c>
      <c r="J15" s="364">
        <v>490397.00277999992</v>
      </c>
      <c r="K15" s="364">
        <v>715226.57705000008</v>
      </c>
      <c r="L15" s="364">
        <v>708288.98702</v>
      </c>
      <c r="M15" s="364">
        <v>918078.82081000006</v>
      </c>
      <c r="N15" s="501">
        <v>996286.87505999999</v>
      </c>
      <c r="O15" s="506">
        <v>1017063.5750000001</v>
      </c>
      <c r="P15" s="503">
        <v>1059359.54266</v>
      </c>
      <c r="Q15" s="503">
        <v>1089093.78978</v>
      </c>
      <c r="R15" s="504">
        <v>1060279.6000000001</v>
      </c>
      <c r="S15" s="504">
        <v>1111776.8</v>
      </c>
      <c r="T15" s="503">
        <v>981083.61543000012</v>
      </c>
      <c r="U15" s="503">
        <v>1094830.41059</v>
      </c>
      <c r="V15" s="503">
        <v>1152105.77884</v>
      </c>
      <c r="W15" s="503">
        <v>1303252.2750000001</v>
      </c>
      <c r="X15" s="503">
        <v>1087312.9475500002</v>
      </c>
      <c r="Y15" s="503">
        <v>1247522.68927</v>
      </c>
      <c r="Z15" s="509">
        <v>1230648.3035500001</v>
      </c>
      <c r="AA15" s="499">
        <v>1332735.2093800001</v>
      </c>
      <c r="AB15" s="499">
        <v>1318087.8314</v>
      </c>
      <c r="AC15" s="499">
        <v>1404687.9784999997</v>
      </c>
      <c r="AD15" s="499">
        <v>1420934.0118300002</v>
      </c>
      <c r="AE15" s="561">
        <v>1490266.9282</v>
      </c>
      <c r="AF15" s="367">
        <v>1566927.5</v>
      </c>
      <c r="AG15" s="272">
        <v>1678077.78578</v>
      </c>
      <c r="AH15" s="366">
        <v>1678077.78578</v>
      </c>
      <c r="AI15" s="240">
        <v>1671826.9311300002</v>
      </c>
      <c r="AJ15" s="567">
        <v>1654304.4</v>
      </c>
      <c r="AK15" s="240">
        <v>1547564.1</v>
      </c>
      <c r="AL15" s="240">
        <v>1738095.6</v>
      </c>
      <c r="AM15" s="586">
        <v>1736975.1</v>
      </c>
      <c r="AN15" s="586">
        <v>1892187.09616</v>
      </c>
      <c r="AO15" s="586">
        <v>1855658.5507599998</v>
      </c>
      <c r="AP15" s="366">
        <v>1833486.4369600001</v>
      </c>
      <c r="AQ15" s="240">
        <v>1804232.7</v>
      </c>
      <c r="AR15" s="599">
        <v>1815912.3</v>
      </c>
      <c r="AS15" s="586">
        <v>1875149.3214400001</v>
      </c>
      <c r="AT15" s="586">
        <v>1826752.4008971031</v>
      </c>
      <c r="AU15" s="367">
        <v>1869138.7</v>
      </c>
      <c r="AV15" s="240">
        <v>1894495.7</v>
      </c>
      <c r="AW15" s="240">
        <v>1804260.4</v>
      </c>
      <c r="AX15" s="640">
        <v>1981218.7</v>
      </c>
      <c r="AY15" s="640">
        <v>1924517.4</v>
      </c>
      <c r="AZ15" s="640">
        <v>1875465.3563099999</v>
      </c>
    </row>
    <row r="16" spans="2:197">
      <c r="B16" s="522"/>
      <c r="C16" s="364"/>
      <c r="D16" s="364"/>
      <c r="E16" s="364"/>
      <c r="F16" s="364"/>
      <c r="G16" s="364"/>
      <c r="H16" s="364"/>
      <c r="I16" s="364"/>
      <c r="J16" s="364"/>
      <c r="K16" s="364"/>
      <c r="L16" s="364"/>
      <c r="M16" s="364"/>
      <c r="N16" s="501"/>
      <c r="O16" s="506"/>
      <c r="P16" s="503"/>
      <c r="Q16" s="503"/>
      <c r="R16" s="504"/>
      <c r="S16" s="504"/>
      <c r="Z16" s="507"/>
      <c r="AA16" s="356"/>
      <c r="AB16" s="356"/>
      <c r="AC16" s="356"/>
      <c r="AD16" s="356"/>
      <c r="AE16" s="561"/>
      <c r="AF16" s="367"/>
      <c r="AH16" s="366"/>
      <c r="AI16" s="240"/>
      <c r="AJ16" s="567"/>
      <c r="AM16" s="586"/>
      <c r="AN16" s="586"/>
      <c r="AO16" s="586"/>
      <c r="AP16" s="366"/>
      <c r="AR16" s="599"/>
      <c r="AS16" s="586"/>
      <c r="AT16" s="586"/>
      <c r="AU16" s="367"/>
      <c r="AX16" s="639"/>
      <c r="AY16" s="639"/>
      <c r="AZ16" s="639"/>
    </row>
    <row r="17" spans="2:52">
      <c r="B17" s="522" t="s">
        <v>904</v>
      </c>
      <c r="C17" s="364">
        <v>13524.329502023</v>
      </c>
      <c r="D17" s="364">
        <v>14472.723582494</v>
      </c>
      <c r="E17" s="364">
        <v>19731.245000000003</v>
      </c>
      <c r="F17" s="364">
        <v>24508.968000000001</v>
      </c>
      <c r="G17" s="364">
        <v>29270.764999999999</v>
      </c>
      <c r="H17" s="364">
        <v>30083.706999999999</v>
      </c>
      <c r="I17" s="364">
        <v>32686.102999999999</v>
      </c>
      <c r="J17" s="364">
        <v>33487.052000000003</v>
      </c>
      <c r="K17" s="364">
        <v>27898.294000000002</v>
      </c>
      <c r="L17" s="364">
        <v>36053.974000000002</v>
      </c>
      <c r="M17" s="364">
        <v>45848.142999999996</v>
      </c>
      <c r="N17" s="501">
        <v>36033.760999999999</v>
      </c>
      <c r="O17" s="506">
        <v>42573.781999999999</v>
      </c>
      <c r="P17" s="503">
        <v>41669.940999999999</v>
      </c>
      <c r="Q17" s="503">
        <v>70376.366999999998</v>
      </c>
      <c r="R17" s="504">
        <v>63697.2</v>
      </c>
      <c r="S17" s="504">
        <v>72188.600000000006</v>
      </c>
      <c r="T17" s="503">
        <v>72216.688999999998</v>
      </c>
      <c r="U17" s="503">
        <v>78612.312640000004</v>
      </c>
      <c r="V17" s="503">
        <v>87204.807560000001</v>
      </c>
      <c r="W17" s="503">
        <v>69532.695000000007</v>
      </c>
      <c r="X17" s="503">
        <v>76988.791060000003</v>
      </c>
      <c r="Y17" s="503">
        <v>93823.357952677703</v>
      </c>
      <c r="Z17" s="509">
        <v>141199.95000000001</v>
      </c>
      <c r="AA17" s="499">
        <v>93982.43021000002</v>
      </c>
      <c r="AB17" s="499">
        <v>76877.022830000002</v>
      </c>
      <c r="AC17" s="499">
        <v>84758.240999999995</v>
      </c>
      <c r="AD17" s="499">
        <v>92688.205999999991</v>
      </c>
      <c r="AE17" s="561">
        <v>88038.262000000002</v>
      </c>
      <c r="AF17" s="367">
        <v>134687.5</v>
      </c>
      <c r="AG17" s="272">
        <v>128766.24800000001</v>
      </c>
      <c r="AH17" s="366">
        <v>128766.24800000001</v>
      </c>
      <c r="AI17" s="240">
        <v>144471.79728999999</v>
      </c>
      <c r="AJ17" s="567">
        <v>143599.29999999999</v>
      </c>
      <c r="AK17" s="240">
        <v>153442.6</v>
      </c>
      <c r="AL17" s="240">
        <v>106850.7</v>
      </c>
      <c r="AM17" s="586">
        <v>134666.79999999999</v>
      </c>
      <c r="AN17" s="586">
        <v>120552.355</v>
      </c>
      <c r="AO17" s="586">
        <v>70044.353999999992</v>
      </c>
      <c r="AP17" s="366">
        <v>89097.383000000002</v>
      </c>
      <c r="AQ17" s="240">
        <v>84714.9</v>
      </c>
      <c r="AR17" s="599">
        <v>136052.5</v>
      </c>
      <c r="AS17" s="586">
        <v>110778.95799999998</v>
      </c>
      <c r="AT17" s="586">
        <v>106955.13199999998</v>
      </c>
      <c r="AU17" s="367">
        <v>102471</v>
      </c>
      <c r="AV17" s="240">
        <v>112805.6</v>
      </c>
      <c r="AW17" s="240">
        <v>105260.2</v>
      </c>
      <c r="AX17" s="640">
        <v>108094.736</v>
      </c>
      <c r="AY17" s="640">
        <v>106935.2</v>
      </c>
      <c r="AZ17" s="640">
        <v>102797.68699999999</v>
      </c>
    </row>
    <row r="18" spans="2:52">
      <c r="B18" s="522"/>
      <c r="C18" s="364"/>
      <c r="D18" s="364"/>
      <c r="E18" s="364"/>
      <c r="F18" s="364"/>
      <c r="G18" s="364"/>
      <c r="H18" s="364"/>
      <c r="I18" s="364"/>
      <c r="J18" s="364"/>
      <c r="K18" s="364"/>
      <c r="L18" s="364"/>
      <c r="M18" s="364"/>
      <c r="N18" s="501"/>
      <c r="O18" s="506"/>
      <c r="P18" s="503"/>
      <c r="Q18" s="503"/>
      <c r="R18" s="504"/>
      <c r="S18" s="504"/>
      <c r="Z18" s="507"/>
      <c r="AA18" s="356"/>
      <c r="AB18" s="356"/>
      <c r="AC18" s="356"/>
      <c r="AD18" s="356"/>
      <c r="AH18" s="366"/>
      <c r="AI18" s="240"/>
      <c r="AJ18" s="567"/>
      <c r="AM18" s="586"/>
      <c r="AN18" s="586"/>
      <c r="AO18" s="586"/>
      <c r="AP18" s="366"/>
      <c r="AR18" s="599"/>
      <c r="AS18" s="586"/>
      <c r="AT18" s="586"/>
      <c r="AU18" s="367"/>
      <c r="AX18" s="639"/>
      <c r="AY18" s="639"/>
      <c r="AZ18" s="639"/>
    </row>
    <row r="19" spans="2:52" s="360" customFormat="1" ht="13.5" customHeight="1">
      <c r="B19" s="523" t="s">
        <v>1151</v>
      </c>
      <c r="C19" s="365">
        <v>255594.171692023</v>
      </c>
      <c r="D19" s="365">
        <v>216332.78945249403</v>
      </c>
      <c r="E19" s="365">
        <v>241581.68392999997</v>
      </c>
      <c r="F19" s="365">
        <v>359529.59144999995</v>
      </c>
      <c r="G19" s="365">
        <v>407837.26831000007</v>
      </c>
      <c r="H19" s="365">
        <v>459519.96446000005</v>
      </c>
      <c r="I19" s="365">
        <v>478758.89391000004</v>
      </c>
      <c r="J19" s="365">
        <v>524064.78325999994</v>
      </c>
      <c r="K19" s="365">
        <v>743314.26945000002</v>
      </c>
      <c r="L19" s="365">
        <v>744531.59056000004</v>
      </c>
      <c r="M19" s="365">
        <v>964116.38444000005</v>
      </c>
      <c r="N19" s="502">
        <v>1032505.87281</v>
      </c>
      <c r="O19" s="510">
        <f>SUM(O11:O17)</f>
        <v>1059823.4846900001</v>
      </c>
      <c r="P19" s="505">
        <f t="shared" ref="P19:AG19" si="0">SUM(P11:P17)</f>
        <v>1101213.3803800002</v>
      </c>
      <c r="Q19" s="505">
        <f t="shared" si="0"/>
        <v>1159654.4906200001</v>
      </c>
      <c r="R19" s="505">
        <f t="shared" si="0"/>
        <v>1124160.7</v>
      </c>
      <c r="S19" s="505">
        <f t="shared" si="0"/>
        <v>1184142.9000000001</v>
      </c>
      <c r="T19" s="505">
        <f t="shared" si="0"/>
        <v>1053476.2302300001</v>
      </c>
      <c r="U19" s="505">
        <f t="shared" si="0"/>
        <v>1173622.94245</v>
      </c>
      <c r="V19" s="505">
        <f t="shared" si="0"/>
        <v>1239948.2707500001</v>
      </c>
      <c r="W19" s="505">
        <f t="shared" si="0"/>
        <v>1372971.7951000002</v>
      </c>
      <c r="X19" s="505">
        <f t="shared" si="0"/>
        <v>1164486.8961800002</v>
      </c>
      <c r="Y19" s="505">
        <f t="shared" si="0"/>
        <v>1341528.4519326775</v>
      </c>
      <c r="Z19" s="511">
        <f t="shared" si="0"/>
        <v>1372035.0551400001</v>
      </c>
      <c r="AA19" s="498">
        <f t="shared" si="0"/>
        <v>1426900.3703200002</v>
      </c>
      <c r="AB19" s="498">
        <f>SUM(AB11:AB17)</f>
        <v>1395149.4284699999</v>
      </c>
      <c r="AC19" s="498">
        <f t="shared" si="0"/>
        <v>1489593.3848999997</v>
      </c>
      <c r="AD19" s="498">
        <f t="shared" si="0"/>
        <v>1513771.6725300001</v>
      </c>
      <c r="AE19" s="498">
        <f t="shared" si="0"/>
        <v>1578452.13228</v>
      </c>
      <c r="AF19" s="559">
        <f t="shared" si="0"/>
        <v>1701762.9</v>
      </c>
      <c r="AG19" s="577">
        <f t="shared" si="0"/>
        <v>1806994.9236699999</v>
      </c>
      <c r="AH19" s="549">
        <f t="shared" ref="AH19:AM19" si="1">SUM(AH11:AH17)</f>
        <v>1806994.9236699999</v>
      </c>
      <c r="AI19" s="498">
        <f t="shared" si="1"/>
        <v>1816419.3397300001</v>
      </c>
      <c r="AJ19" s="568">
        <f t="shared" si="1"/>
        <v>1797998.4</v>
      </c>
      <c r="AK19" s="360">
        <f t="shared" si="1"/>
        <v>1701086.4000000001</v>
      </c>
      <c r="AL19" s="360">
        <f>SUM(AL11:AL17)</f>
        <v>1845026.8</v>
      </c>
      <c r="AM19" s="587">
        <f t="shared" si="1"/>
        <v>1871724.3</v>
      </c>
      <c r="AN19" s="587">
        <f t="shared" ref="AN19:AY19" si="2">SUM(AN11:AN17)</f>
        <v>2012823.8234299999</v>
      </c>
      <c r="AO19" s="587">
        <f t="shared" si="2"/>
        <v>1925785.9513999999</v>
      </c>
      <c r="AP19" s="595">
        <f t="shared" si="2"/>
        <v>1922666.6873300001</v>
      </c>
      <c r="AQ19" s="595">
        <f t="shared" si="2"/>
        <v>1889026.2</v>
      </c>
      <c r="AR19" s="599">
        <f t="shared" si="2"/>
        <v>1952044.5</v>
      </c>
      <c r="AS19" s="597">
        <f t="shared" si="2"/>
        <v>1986008.3673300003</v>
      </c>
      <c r="AT19" s="597">
        <f t="shared" si="2"/>
        <v>1933788.4421671031</v>
      </c>
      <c r="AU19" s="602">
        <f t="shared" si="2"/>
        <v>1971691.8</v>
      </c>
      <c r="AV19" s="602">
        <f t="shared" si="2"/>
        <v>2007382</v>
      </c>
      <c r="AW19" s="602">
        <f t="shared" si="2"/>
        <v>1909600.2</v>
      </c>
      <c r="AX19" s="637">
        <f t="shared" si="2"/>
        <v>2089394.236</v>
      </c>
      <c r="AY19" s="637">
        <f t="shared" si="2"/>
        <v>2031531.2</v>
      </c>
      <c r="AZ19" s="637">
        <v>1978341.3858599998</v>
      </c>
    </row>
    <row r="20" spans="2:52" ht="13.5" customHeight="1">
      <c r="B20" s="522"/>
      <c r="C20" s="364"/>
      <c r="D20" s="364"/>
      <c r="E20" s="364"/>
      <c r="F20" s="364"/>
      <c r="G20" s="364"/>
      <c r="H20" s="364"/>
      <c r="I20" s="363"/>
      <c r="J20" s="363"/>
      <c r="K20" s="363"/>
      <c r="L20" s="363"/>
      <c r="M20" s="363"/>
      <c r="N20" s="496"/>
      <c r="O20" s="512"/>
      <c r="R20" s="504"/>
      <c r="S20" s="504"/>
      <c r="Z20" s="507"/>
      <c r="AA20" s="499"/>
      <c r="AB20" s="499"/>
      <c r="AC20" s="499"/>
      <c r="AD20" s="499"/>
      <c r="AH20" s="366"/>
      <c r="AI20" s="240"/>
      <c r="AJ20" s="567"/>
      <c r="AM20" s="586"/>
      <c r="AN20" s="586"/>
      <c r="AO20" s="586"/>
      <c r="AP20" s="366">
        <v>0</v>
      </c>
      <c r="AR20" s="599"/>
      <c r="AS20" s="586"/>
      <c r="AT20" s="586"/>
      <c r="AU20" s="367"/>
      <c r="AX20" s="639"/>
      <c r="AY20" s="639"/>
      <c r="AZ20" s="639"/>
    </row>
    <row r="21" spans="2:52" ht="13.5" customHeight="1">
      <c r="B21" s="522"/>
      <c r="C21" s="364"/>
      <c r="D21" s="364"/>
      <c r="E21" s="364"/>
      <c r="F21" s="364"/>
      <c r="G21" s="364"/>
      <c r="H21" s="364"/>
      <c r="I21" s="363"/>
      <c r="J21" s="363"/>
      <c r="K21" s="363"/>
      <c r="L21" s="363"/>
      <c r="M21" s="363"/>
      <c r="N21" s="496"/>
      <c r="O21" s="512"/>
      <c r="R21" s="504"/>
      <c r="S21" s="504"/>
      <c r="Z21" s="507"/>
      <c r="AA21" s="499"/>
      <c r="AB21" s="499"/>
      <c r="AC21" s="499"/>
      <c r="AD21" s="499"/>
      <c r="AH21" s="366"/>
      <c r="AI21" s="240"/>
      <c r="AJ21" s="567"/>
      <c r="AM21" s="586"/>
      <c r="AN21" s="593"/>
      <c r="AO21" s="593"/>
      <c r="AP21" s="366"/>
      <c r="AR21" s="599"/>
      <c r="AS21" s="586"/>
      <c r="AT21" s="586"/>
      <c r="AU21" s="367"/>
      <c r="AX21" s="639"/>
      <c r="AY21" s="639"/>
      <c r="AZ21" s="639"/>
    </row>
    <row r="22" spans="2:52" ht="13.5" customHeight="1">
      <c r="B22" s="522" t="s">
        <v>1186</v>
      </c>
      <c r="C22" s="364">
        <v>41026.885620000001</v>
      </c>
      <c r="D22" s="364">
        <v>83862.288150000008</v>
      </c>
      <c r="E22" s="364">
        <v>71828.406980000014</v>
      </c>
      <c r="F22" s="364">
        <v>114469.77</v>
      </c>
      <c r="G22" s="364">
        <v>96469.083480000016</v>
      </c>
      <c r="H22" s="364">
        <v>182878.36562</v>
      </c>
      <c r="I22" s="364">
        <v>211416.23199999999</v>
      </c>
      <c r="J22" s="364">
        <v>219984.758</v>
      </c>
      <c r="K22" s="364">
        <v>82482.842000000004</v>
      </c>
      <c r="L22" s="364">
        <v>93493.013999999996</v>
      </c>
      <c r="M22" s="364">
        <v>83585.160999999993</v>
      </c>
      <c r="N22" s="501">
        <v>94904.993000000002</v>
      </c>
      <c r="O22" s="506">
        <v>130719.352</v>
      </c>
      <c r="P22" s="503">
        <v>184154.34347999998</v>
      </c>
      <c r="Q22" s="503">
        <v>214225.62481000001</v>
      </c>
      <c r="R22" s="504">
        <v>253766.6</v>
      </c>
      <c r="S22" s="503">
        <v>235700.9</v>
      </c>
      <c r="T22" s="503">
        <v>309275.18721999996</v>
      </c>
      <c r="U22" s="503">
        <v>248069.81821999996</v>
      </c>
      <c r="V22" s="503">
        <v>266718.33414999995</v>
      </c>
      <c r="W22" s="503">
        <v>271320.89963</v>
      </c>
      <c r="X22" s="503">
        <v>180206.59557999996</v>
      </c>
      <c r="Y22" s="503">
        <v>131158.54621</v>
      </c>
      <c r="Z22" s="509">
        <v>194400.38628000001</v>
      </c>
      <c r="AA22" s="499">
        <v>186022.64093000002</v>
      </c>
      <c r="AB22" s="499">
        <v>154890.54377000002</v>
      </c>
      <c r="AC22" s="499">
        <v>182716.57299999997</v>
      </c>
      <c r="AD22" s="499">
        <v>198720.26007999998</v>
      </c>
      <c r="AE22" s="240">
        <v>201900.54628000001</v>
      </c>
      <c r="AF22" s="240">
        <v>226110.9</v>
      </c>
      <c r="AG22" s="272">
        <v>144834.96298000001</v>
      </c>
      <c r="AH22" s="366">
        <v>144834.96298000001</v>
      </c>
      <c r="AI22" s="240">
        <v>132256.86740999998</v>
      </c>
      <c r="AJ22" s="567">
        <v>135383.70000000001</v>
      </c>
      <c r="AK22" s="240">
        <v>150316.6</v>
      </c>
      <c r="AL22" s="240">
        <v>150648.20000000001</v>
      </c>
      <c r="AM22" s="586">
        <v>163326.5</v>
      </c>
      <c r="AN22" s="593">
        <v>163972.91080000001</v>
      </c>
      <c r="AO22" s="593">
        <v>154142.31193</v>
      </c>
      <c r="AP22" s="366">
        <v>167459.34031</v>
      </c>
      <c r="AQ22" s="240">
        <v>161039.20000000001</v>
      </c>
      <c r="AR22" s="599">
        <v>160170.29999999999</v>
      </c>
      <c r="AS22" s="586">
        <v>162952.95960999999</v>
      </c>
      <c r="AT22" s="586">
        <v>171279.30122000002</v>
      </c>
      <c r="AU22" s="367">
        <v>189287.9</v>
      </c>
      <c r="AV22" s="367">
        <v>182029</v>
      </c>
      <c r="AW22" s="240">
        <v>288914</v>
      </c>
      <c r="AX22" s="640">
        <v>253471.92720999999</v>
      </c>
      <c r="AY22" s="640">
        <v>193007.6</v>
      </c>
      <c r="AZ22" s="640">
        <v>192683.46561000001</v>
      </c>
    </row>
    <row r="23" spans="2:52" ht="13.5" customHeight="1">
      <c r="B23" s="522"/>
      <c r="C23" s="364"/>
      <c r="D23" s="364"/>
      <c r="E23" s="364"/>
      <c r="F23" s="364"/>
      <c r="G23" s="364"/>
      <c r="H23" s="364"/>
      <c r="I23" s="364"/>
      <c r="J23" s="364"/>
      <c r="K23" s="364"/>
      <c r="L23" s="364"/>
      <c r="M23" s="364"/>
      <c r="N23" s="501"/>
      <c r="O23" s="506"/>
      <c r="P23" s="503"/>
      <c r="Q23" s="503"/>
      <c r="R23" s="504"/>
      <c r="S23" s="504"/>
      <c r="T23" s="356"/>
      <c r="U23" s="356"/>
      <c r="V23" s="356"/>
      <c r="W23" s="356"/>
      <c r="X23" s="503"/>
      <c r="Y23" s="503"/>
      <c r="Z23" s="509"/>
      <c r="AA23" s="499"/>
      <c r="AB23" s="499"/>
      <c r="AC23" s="499"/>
      <c r="AD23" s="499"/>
      <c r="AH23" s="366"/>
      <c r="AI23" s="240"/>
      <c r="AJ23" s="567"/>
      <c r="AM23" s="586"/>
      <c r="AN23" s="593"/>
      <c r="AO23" s="593"/>
      <c r="AP23" s="366"/>
      <c r="AR23" s="599"/>
      <c r="AS23" s="586"/>
      <c r="AT23" s="586"/>
      <c r="AU23" s="367"/>
      <c r="AV23" s="367"/>
      <c r="AX23" s="639"/>
      <c r="AY23" s="639"/>
      <c r="AZ23" s="639"/>
    </row>
    <row r="24" spans="2:52" ht="13.5" customHeight="1">
      <c r="B24" s="522" t="s">
        <v>905</v>
      </c>
      <c r="C24" s="364">
        <v>30.838719270967598</v>
      </c>
      <c r="D24" s="364">
        <v>583.85111118939585</v>
      </c>
      <c r="E24" s="364">
        <v>6454.0894457429113</v>
      </c>
      <c r="F24" s="364">
        <v>9960.566038733099</v>
      </c>
      <c r="G24" s="364">
        <v>11035.109288733101</v>
      </c>
      <c r="H24" s="364">
        <v>13382.131418733099</v>
      </c>
      <c r="I24" s="364">
        <v>18619.344268733101</v>
      </c>
      <c r="J24" s="364">
        <v>21157.997038733098</v>
      </c>
      <c r="K24" s="364">
        <v>23593.755378733098</v>
      </c>
      <c r="L24" s="364">
        <v>26467.434128733097</v>
      </c>
      <c r="M24" s="364">
        <v>30412.233518733097</v>
      </c>
      <c r="N24" s="501">
        <v>32364.6870387331</v>
      </c>
      <c r="O24" s="506">
        <v>33707.077829270966</v>
      </c>
      <c r="P24" s="503">
        <v>38539.820381189398</v>
      </c>
      <c r="Q24" s="503">
        <v>34611.487515742905</v>
      </c>
      <c r="R24" s="504">
        <v>40668.1</v>
      </c>
      <c r="S24" s="504">
        <v>43676.5</v>
      </c>
      <c r="T24" s="503">
        <v>50063.1020787331</v>
      </c>
      <c r="U24" s="503">
        <v>52511.473208733107</v>
      </c>
      <c r="V24" s="503">
        <v>57048.121288733098</v>
      </c>
      <c r="W24" s="503">
        <v>59651.212108733103</v>
      </c>
      <c r="X24" s="503">
        <v>62261.725428733102</v>
      </c>
      <c r="Y24" s="503">
        <v>67328.542668733091</v>
      </c>
      <c r="Z24" s="509">
        <v>65394.451378733109</v>
      </c>
      <c r="AA24" s="499">
        <v>66838.523262348666</v>
      </c>
      <c r="AB24" s="499">
        <v>71284.117501189408</v>
      </c>
      <c r="AC24" s="499">
        <v>77758.572205742908</v>
      </c>
      <c r="AD24" s="499">
        <v>80582.973988733094</v>
      </c>
      <c r="AE24" s="240">
        <v>88016.634988733102</v>
      </c>
      <c r="AF24" s="240">
        <v>88293.7</v>
      </c>
      <c r="AG24" s="272">
        <v>99584.938508733088</v>
      </c>
      <c r="AH24" s="366">
        <v>99584.938508733088</v>
      </c>
      <c r="AI24" s="240">
        <v>97196.556758733088</v>
      </c>
      <c r="AJ24" s="567">
        <v>101911.7</v>
      </c>
      <c r="AK24" s="240">
        <v>108006.3</v>
      </c>
      <c r="AL24" s="240">
        <v>123501.5</v>
      </c>
      <c r="AM24" s="586">
        <v>112516.1</v>
      </c>
      <c r="AN24" s="593">
        <v>128590.7340211894</v>
      </c>
      <c r="AO24" s="593">
        <v>131003.74289574291</v>
      </c>
      <c r="AP24" s="366">
        <v>133025.15150873311</v>
      </c>
      <c r="AQ24" s="240">
        <v>156772</v>
      </c>
      <c r="AR24" s="599">
        <v>171972.6</v>
      </c>
      <c r="AS24" s="586">
        <v>168562.56603873309</v>
      </c>
      <c r="AT24" s="586">
        <v>171824.98067873309</v>
      </c>
      <c r="AU24" s="367">
        <v>176983.1</v>
      </c>
      <c r="AV24" s="367">
        <v>164699</v>
      </c>
      <c r="AW24" s="240">
        <v>163276.1</v>
      </c>
      <c r="AX24" s="640">
        <v>180152.56153873311</v>
      </c>
      <c r="AY24" s="640">
        <v>159093.70000000001</v>
      </c>
      <c r="AZ24" s="640">
        <v>168605.40224118944</v>
      </c>
    </row>
    <row r="25" spans="2:52" ht="13.5" customHeight="1">
      <c r="B25" s="522"/>
      <c r="C25" s="364"/>
      <c r="D25" s="364"/>
      <c r="E25" s="364"/>
      <c r="F25" s="364"/>
      <c r="G25" s="364"/>
      <c r="H25" s="364"/>
      <c r="I25" s="364"/>
      <c r="J25" s="364"/>
      <c r="K25" s="364"/>
      <c r="L25" s="364"/>
      <c r="M25" s="364"/>
      <c r="N25" s="501"/>
      <c r="O25" s="506"/>
      <c r="P25" s="503"/>
      <c r="Q25" s="503"/>
      <c r="R25" s="504"/>
      <c r="S25" s="504"/>
      <c r="T25" s="356"/>
      <c r="U25" s="356"/>
      <c r="V25" s="356"/>
      <c r="W25" s="356"/>
      <c r="X25" s="503"/>
      <c r="Y25" s="503"/>
      <c r="Z25" s="509"/>
      <c r="AA25" s="499"/>
      <c r="AB25" s="499"/>
      <c r="AC25" s="499"/>
      <c r="AD25" s="499"/>
      <c r="AH25" s="366"/>
      <c r="AI25" s="240"/>
      <c r="AJ25" s="567"/>
      <c r="AM25" s="586"/>
      <c r="AN25" s="593"/>
      <c r="AO25" s="593"/>
      <c r="AP25" s="366"/>
      <c r="AR25" s="599"/>
      <c r="AS25" s="586"/>
      <c r="AT25" s="586"/>
      <c r="AU25" s="367"/>
      <c r="AV25" s="367"/>
      <c r="AX25" s="639"/>
      <c r="AY25" s="639"/>
      <c r="AZ25" s="639"/>
    </row>
    <row r="26" spans="2:52" ht="13.5" customHeight="1">
      <c r="B26" s="522" t="s">
        <v>906</v>
      </c>
      <c r="C26" s="364">
        <v>6.8040000000000003</v>
      </c>
      <c r="D26" s="364">
        <v>10.661</v>
      </c>
      <c r="E26" s="364">
        <v>2987.8809999999999</v>
      </c>
      <c r="F26" s="364">
        <v>4542.509</v>
      </c>
      <c r="G26" s="364">
        <v>5467.4440000000004</v>
      </c>
      <c r="H26" s="364">
        <v>6749.5110000000004</v>
      </c>
      <c r="I26" s="364">
        <v>8517.9719999999998</v>
      </c>
      <c r="J26" s="364">
        <v>11591.391</v>
      </c>
      <c r="K26" s="364">
        <v>10612.929</v>
      </c>
      <c r="L26" s="364">
        <v>10498.553</v>
      </c>
      <c r="M26" s="364">
        <v>12652.824000000001</v>
      </c>
      <c r="N26" s="501">
        <v>13702.214</v>
      </c>
      <c r="O26" s="506">
        <v>13607.109</v>
      </c>
      <c r="P26" s="503">
        <v>16761.441999999999</v>
      </c>
      <c r="Q26" s="503">
        <v>16814.379000000001</v>
      </c>
      <c r="R26" s="504">
        <v>18556.099999999999</v>
      </c>
      <c r="S26" s="504">
        <v>20039.8</v>
      </c>
      <c r="T26" s="503">
        <v>21547.453000000001</v>
      </c>
      <c r="U26" s="503">
        <v>22385.69</v>
      </c>
      <c r="V26" s="503">
        <v>23924.077000000001</v>
      </c>
      <c r="W26" s="503">
        <v>23739.298999999999</v>
      </c>
      <c r="X26" s="503">
        <v>26529.949000000001</v>
      </c>
      <c r="Y26" s="503">
        <v>28560.251</v>
      </c>
      <c r="Z26" s="509">
        <v>28600.498</v>
      </c>
      <c r="AA26" s="499">
        <v>13607.109</v>
      </c>
      <c r="AB26" s="499">
        <v>33758.49</v>
      </c>
      <c r="AC26" s="499">
        <v>33023.637000000002</v>
      </c>
      <c r="AD26" s="499">
        <v>36147.383999999998</v>
      </c>
      <c r="AE26" s="240">
        <v>35028.201999999997</v>
      </c>
      <c r="AF26" s="240">
        <v>36810.199999999997</v>
      </c>
      <c r="AG26" s="272">
        <v>41736.402000000002</v>
      </c>
      <c r="AH26" s="366">
        <v>41736.402000000002</v>
      </c>
      <c r="AI26" s="240">
        <v>40359.002999999997</v>
      </c>
      <c r="AJ26" s="567">
        <v>40599.800000000003</v>
      </c>
      <c r="AK26" s="240">
        <v>41735.300000000003</v>
      </c>
      <c r="AL26" s="240">
        <v>44220.9</v>
      </c>
      <c r="AM26" s="586">
        <v>42908.3</v>
      </c>
      <c r="AN26" s="593">
        <v>49031.277999999998</v>
      </c>
      <c r="AO26" s="593">
        <v>48916.446000000004</v>
      </c>
      <c r="AP26" s="366">
        <v>46057.103000000003</v>
      </c>
      <c r="AQ26" s="240">
        <v>49423.7</v>
      </c>
      <c r="AR26" s="599">
        <v>50001.8</v>
      </c>
      <c r="AS26" s="586">
        <v>51631.214999999997</v>
      </c>
      <c r="AT26" s="586">
        <v>51322.182999999997</v>
      </c>
      <c r="AU26" s="367">
        <v>51747</v>
      </c>
      <c r="AV26" s="367">
        <v>50457.7</v>
      </c>
      <c r="AW26" s="240">
        <v>55822.7</v>
      </c>
      <c r="AX26" s="640">
        <v>54893.677000000003</v>
      </c>
      <c r="AY26" s="640">
        <v>55832.5</v>
      </c>
      <c r="AZ26" s="640">
        <v>56274.203999999998</v>
      </c>
    </row>
    <row r="27" spans="2:52" ht="13.5" customHeight="1">
      <c r="B27" s="522"/>
      <c r="C27" s="364"/>
      <c r="D27" s="364"/>
      <c r="E27" s="364"/>
      <c r="F27" s="364"/>
      <c r="G27" s="364"/>
      <c r="H27" s="364"/>
      <c r="I27" s="364"/>
      <c r="J27" s="364"/>
      <c r="K27" s="364"/>
      <c r="L27" s="364"/>
      <c r="M27" s="364"/>
      <c r="N27" s="501"/>
      <c r="O27" s="506"/>
      <c r="P27" s="503"/>
      <c r="Q27" s="503"/>
      <c r="R27" s="504"/>
      <c r="S27" s="504"/>
      <c r="T27" s="356"/>
      <c r="U27" s="356"/>
      <c r="V27" s="356"/>
      <c r="W27" s="356"/>
      <c r="X27" s="503"/>
      <c r="Y27" s="503"/>
      <c r="Z27" s="509"/>
      <c r="AA27" s="499"/>
      <c r="AB27" s="499"/>
      <c r="AC27" s="499"/>
      <c r="AD27" s="499"/>
      <c r="AH27" s="366"/>
      <c r="AI27" s="240"/>
      <c r="AJ27" s="567"/>
      <c r="AM27" s="586"/>
      <c r="AN27" s="593"/>
      <c r="AO27" s="593"/>
      <c r="AP27" s="366"/>
      <c r="AR27" s="599"/>
      <c r="AS27" s="586"/>
      <c r="AT27" s="586"/>
      <c r="AU27" s="367"/>
      <c r="AV27" s="367"/>
      <c r="AX27" s="639"/>
      <c r="AY27" s="639"/>
      <c r="AZ27" s="639"/>
    </row>
    <row r="28" spans="2:52">
      <c r="B28" s="522" t="s">
        <v>907</v>
      </c>
      <c r="C28" s="364">
        <v>81.106999999999999</v>
      </c>
      <c r="D28" s="364">
        <v>81382.330109999995</v>
      </c>
      <c r="E28" s="364">
        <v>72612.135920000001</v>
      </c>
      <c r="F28" s="364">
        <v>2755.2</v>
      </c>
      <c r="G28" s="364">
        <v>10234.5</v>
      </c>
      <c r="H28" s="364">
        <v>19136.2</v>
      </c>
      <c r="I28" s="364">
        <v>26900.7</v>
      </c>
      <c r="J28" s="364">
        <v>33827.199999999997</v>
      </c>
      <c r="K28" s="364">
        <v>39842.699999999997</v>
      </c>
      <c r="L28" s="364">
        <v>44667.3</v>
      </c>
      <c r="M28" s="364">
        <v>38592.518250000001</v>
      </c>
      <c r="N28" s="501">
        <v>45361.631460000004</v>
      </c>
      <c r="O28" s="506">
        <v>57587.8</v>
      </c>
      <c r="P28" s="503">
        <v>66010.575729999997</v>
      </c>
      <c r="Q28" s="503">
        <v>59635.8</v>
      </c>
      <c r="R28" s="504">
        <v>77359.8</v>
      </c>
      <c r="S28" s="504">
        <v>73813.899999999994</v>
      </c>
      <c r="T28" s="503">
        <v>86600.569909999991</v>
      </c>
      <c r="U28" s="503">
        <v>99268.538809999998</v>
      </c>
      <c r="V28" s="503">
        <v>118098.37642999999</v>
      </c>
      <c r="W28" s="503">
        <v>154979.62142999997</v>
      </c>
      <c r="X28" s="503">
        <v>292406.68151999993</v>
      </c>
      <c r="Y28" s="503">
        <v>232479.10185999997</v>
      </c>
      <c r="Z28" s="509">
        <v>197255.07346999994</v>
      </c>
      <c r="AA28" s="499">
        <v>341815.29690000007</v>
      </c>
      <c r="AB28" s="499">
        <v>453600.60370000004</v>
      </c>
      <c r="AC28" s="499">
        <v>415745.60700000002</v>
      </c>
      <c r="AD28" s="499">
        <v>417650.32200000004</v>
      </c>
      <c r="AE28" s="240">
        <v>446003.19332999998</v>
      </c>
      <c r="AF28" s="240">
        <v>482822.1</v>
      </c>
      <c r="AG28" s="272">
        <v>502213.45971000002</v>
      </c>
      <c r="AH28" s="366">
        <v>502213.45971000002</v>
      </c>
      <c r="AI28" s="240">
        <v>484786.35765999998</v>
      </c>
      <c r="AJ28" s="567">
        <v>555685.80000000005</v>
      </c>
      <c r="AK28" s="240">
        <v>626750.19999999995</v>
      </c>
      <c r="AL28" s="240">
        <v>505981.7</v>
      </c>
      <c r="AM28" s="586">
        <v>538863</v>
      </c>
      <c r="AN28" s="593">
        <v>568582.50841000001</v>
      </c>
      <c r="AO28" s="593">
        <v>471171.87046999997</v>
      </c>
      <c r="AP28" s="366">
        <v>522894.70095999993</v>
      </c>
      <c r="AQ28" s="240">
        <v>622619</v>
      </c>
      <c r="AR28" s="599">
        <v>706497.8</v>
      </c>
      <c r="AS28" s="586">
        <v>668743.78394999995</v>
      </c>
      <c r="AT28" s="586">
        <v>716241.25778085797</v>
      </c>
      <c r="AU28" s="367">
        <v>648981.9</v>
      </c>
      <c r="AV28" s="367">
        <v>781995.1</v>
      </c>
      <c r="AW28" s="240">
        <v>593873.6</v>
      </c>
      <c r="AX28" s="640">
        <v>613008</v>
      </c>
      <c r="AY28" s="640">
        <v>632215.69999999995</v>
      </c>
      <c r="AZ28" s="640">
        <v>708500.56380000012</v>
      </c>
    </row>
    <row r="29" spans="2:52">
      <c r="B29" s="522"/>
      <c r="C29" s="364"/>
      <c r="D29" s="364"/>
      <c r="E29" s="364"/>
      <c r="F29" s="364"/>
      <c r="G29" s="364"/>
      <c r="H29" s="364"/>
      <c r="I29" s="364"/>
      <c r="J29" s="364"/>
      <c r="K29" s="364"/>
      <c r="L29" s="364"/>
      <c r="M29" s="364"/>
      <c r="N29" s="501"/>
      <c r="O29" s="506"/>
      <c r="P29" s="503"/>
      <c r="Q29" s="503"/>
      <c r="R29" s="504"/>
      <c r="S29" s="504"/>
      <c r="T29" s="356"/>
      <c r="U29" s="356"/>
      <c r="V29" s="356"/>
      <c r="W29" s="356"/>
      <c r="X29" s="503"/>
      <c r="Y29" s="503"/>
      <c r="Z29" s="509"/>
      <c r="AA29" s="499"/>
      <c r="AB29" s="499"/>
      <c r="AC29" s="499"/>
      <c r="AD29" s="499"/>
      <c r="AH29" s="366"/>
      <c r="AI29" s="240"/>
      <c r="AJ29" s="567"/>
      <c r="AM29" s="586"/>
      <c r="AN29" s="593"/>
      <c r="AO29" s="593"/>
      <c r="AP29" s="366"/>
      <c r="AR29" s="599"/>
      <c r="AS29" s="586"/>
      <c r="AT29" s="586"/>
      <c r="AU29" s="367"/>
      <c r="AV29" s="367"/>
      <c r="AX29" s="639"/>
      <c r="AY29" s="639"/>
      <c r="AZ29" s="639"/>
    </row>
    <row r="30" spans="2:52">
      <c r="B30" s="522" t="s">
        <v>908</v>
      </c>
      <c r="C30" s="364">
        <v>823.6</v>
      </c>
      <c r="D30" s="364">
        <v>1008.749</v>
      </c>
      <c r="E30" s="364">
        <v>1361.2</v>
      </c>
      <c r="F30" s="364">
        <v>1019.6</v>
      </c>
      <c r="G30" s="364">
        <v>5119</v>
      </c>
      <c r="H30" s="364">
        <v>13948.5</v>
      </c>
      <c r="I30" s="364">
        <v>28748.799999999999</v>
      </c>
      <c r="J30" s="364">
        <v>36505.4</v>
      </c>
      <c r="K30" s="364">
        <v>53741.5</v>
      </c>
      <c r="L30" s="364">
        <v>48924.2</v>
      </c>
      <c r="M30" s="364">
        <v>42463.595999999998</v>
      </c>
      <c r="N30" s="501">
        <v>73354.2</v>
      </c>
      <c r="O30" s="506">
        <v>54389.8</v>
      </c>
      <c r="P30" s="503">
        <v>75047.91</v>
      </c>
      <c r="Q30" s="503">
        <v>77873</v>
      </c>
      <c r="R30" s="504">
        <v>66068.3</v>
      </c>
      <c r="S30" s="504">
        <v>85576.7</v>
      </c>
      <c r="T30" s="503">
        <v>130651.644</v>
      </c>
      <c r="U30" s="503">
        <v>130142.35338</v>
      </c>
      <c r="V30" s="503">
        <v>139269.09330000001</v>
      </c>
      <c r="W30" s="503">
        <v>206309.1</v>
      </c>
      <c r="X30" s="503">
        <v>180047.57537999999</v>
      </c>
      <c r="Y30" s="503">
        <v>194413.27653550653</v>
      </c>
      <c r="Z30" s="509">
        <v>241039.258</v>
      </c>
      <c r="AA30" s="499">
        <v>96937.196620000002</v>
      </c>
      <c r="AB30" s="499">
        <v>103002.27899999999</v>
      </c>
      <c r="AC30" s="499">
        <v>111505</v>
      </c>
      <c r="AD30" s="499">
        <v>105887.79399999999</v>
      </c>
      <c r="AE30" s="240">
        <v>106394.364</v>
      </c>
      <c r="AF30" s="240">
        <v>45968.2</v>
      </c>
      <c r="AG30" s="272">
        <v>46812.351999999999</v>
      </c>
      <c r="AH30" s="366">
        <v>46812.351999999999</v>
      </c>
      <c r="AI30" s="240">
        <v>56376.237000000001</v>
      </c>
      <c r="AJ30" s="567">
        <v>80345</v>
      </c>
      <c r="AK30" s="240">
        <v>78890</v>
      </c>
      <c r="AL30" s="240">
        <v>65287</v>
      </c>
      <c r="AM30" s="586">
        <v>68470.8</v>
      </c>
      <c r="AN30" s="593">
        <v>77452.036999999997</v>
      </c>
      <c r="AO30" s="593">
        <v>126730.77800000001</v>
      </c>
      <c r="AP30" s="366">
        <v>116172.015</v>
      </c>
      <c r="AQ30" s="240">
        <v>100355.4</v>
      </c>
      <c r="AR30" s="599">
        <v>91241.5</v>
      </c>
      <c r="AS30" s="586">
        <v>36431.800000000003</v>
      </c>
      <c r="AT30" s="586">
        <v>39907.249000000003</v>
      </c>
      <c r="AU30" s="367">
        <v>60358.5</v>
      </c>
      <c r="AV30" s="367">
        <v>35887.599999999999</v>
      </c>
      <c r="AW30" s="240">
        <v>69265.100000000006</v>
      </c>
      <c r="AX30" s="640">
        <v>67930.508000000002</v>
      </c>
      <c r="AY30" s="640">
        <v>91671.2</v>
      </c>
      <c r="AZ30" s="640">
        <v>65975.944000000003</v>
      </c>
    </row>
    <row r="31" spans="2:52">
      <c r="B31" s="522"/>
      <c r="C31" s="364"/>
      <c r="D31" s="364"/>
      <c r="E31" s="364"/>
      <c r="F31" s="364"/>
      <c r="G31" s="364"/>
      <c r="H31" s="364"/>
      <c r="I31" s="364"/>
      <c r="J31" s="364"/>
      <c r="K31" s="364"/>
      <c r="L31" s="364"/>
      <c r="M31" s="364"/>
      <c r="N31" s="501"/>
      <c r="O31" s="506"/>
      <c r="P31" s="503"/>
      <c r="Q31" s="503"/>
      <c r="R31" s="504"/>
      <c r="S31" s="504"/>
      <c r="T31" s="356"/>
      <c r="U31" s="356"/>
      <c r="V31" s="356"/>
      <c r="W31" s="356"/>
      <c r="X31" s="356"/>
      <c r="Y31" s="356"/>
      <c r="Z31" s="507"/>
      <c r="AA31" s="499"/>
      <c r="AB31" s="499"/>
      <c r="AC31" s="499"/>
      <c r="AD31" s="499"/>
      <c r="AH31" s="366"/>
      <c r="AI31" s="240"/>
      <c r="AJ31" s="567"/>
      <c r="AM31" s="586"/>
      <c r="AN31" s="593"/>
      <c r="AO31" s="593"/>
      <c r="AP31" s="366"/>
      <c r="AR31" s="599"/>
      <c r="AS31" s="586"/>
      <c r="AT31" s="586"/>
      <c r="AU31" s="367"/>
      <c r="AV31" s="367"/>
      <c r="AX31" s="639"/>
      <c r="AY31" s="639"/>
      <c r="AZ31" s="639"/>
    </row>
    <row r="32" spans="2:52" ht="15.6" hidden="1" customHeight="1">
      <c r="B32" s="522" t="s">
        <v>909</v>
      </c>
      <c r="C32" s="364">
        <v>5.8568935304200008E-5</v>
      </c>
      <c r="D32" s="364">
        <v>5.8568935304200008E-5</v>
      </c>
      <c r="E32" s="364">
        <v>5.8568935304200008E-5</v>
      </c>
      <c r="F32" s="364">
        <v>5.8568935304200008E-5</v>
      </c>
      <c r="G32" s="364">
        <v>5.8568935304200008E-5</v>
      </c>
      <c r="H32" s="364">
        <v>5.8568935304200008E-5</v>
      </c>
      <c r="I32" s="364">
        <v>5.8568935304200008E-5</v>
      </c>
      <c r="J32" s="364">
        <v>5.8568935304200008E-5</v>
      </c>
      <c r="K32" s="364">
        <v>5.8568935304200008E-5</v>
      </c>
      <c r="L32" s="364">
        <v>5.8568935304200008E-5</v>
      </c>
      <c r="M32" s="364">
        <v>5.8568935304200008E-5</v>
      </c>
      <c r="N32" s="501">
        <v>5.8568935304200008E-5</v>
      </c>
      <c r="O32" s="506">
        <v>5.8568935304200008E-5</v>
      </c>
      <c r="P32" s="503">
        <v>5.8568935304200008E-5</v>
      </c>
      <c r="Q32" s="503">
        <v>5.8568935304200008E-5</v>
      </c>
      <c r="R32" s="504">
        <v>0</v>
      </c>
      <c r="S32" s="504">
        <v>0</v>
      </c>
      <c r="T32" s="356">
        <v>5.8568935304200008E-5</v>
      </c>
      <c r="U32" s="356">
        <v>5.8568935304200008E-5</v>
      </c>
      <c r="V32" s="356">
        <v>5.8568935304200008E-5</v>
      </c>
      <c r="W32" s="356">
        <v>5.8568935304200008E-5</v>
      </c>
      <c r="X32" s="356">
        <v>5.8568935304200008E-5</v>
      </c>
      <c r="Y32" s="356">
        <v>5.8568935304200008E-5</v>
      </c>
      <c r="Z32" s="513">
        <v>5.8568935304200008E-5</v>
      </c>
      <c r="AA32" s="499"/>
      <c r="AB32" s="499"/>
      <c r="AC32" s="499"/>
      <c r="AD32" s="499"/>
      <c r="AE32" s="240">
        <v>5.8568935304200008E-5</v>
      </c>
      <c r="AG32" s="272">
        <v>5.8568935304200008E-5</v>
      </c>
      <c r="AH32" s="366">
        <v>5.8568935304200008E-5</v>
      </c>
      <c r="AI32" s="240">
        <v>5.8568935304200008E-5</v>
      </c>
      <c r="AJ32" s="567"/>
      <c r="AM32" s="586"/>
      <c r="AN32" s="593">
        <v>5.8568935304200008E-5</v>
      </c>
      <c r="AO32" s="593"/>
      <c r="AP32" s="366"/>
      <c r="AR32" s="599"/>
      <c r="AS32" s="586"/>
      <c r="AT32" s="586"/>
      <c r="AU32" s="367"/>
      <c r="AV32" s="367"/>
      <c r="AX32" s="639"/>
      <c r="AY32" s="639"/>
      <c r="AZ32" s="639">
        <v>5.8568935304200008E-5</v>
      </c>
    </row>
    <row r="33" spans="2:52" ht="15.6" hidden="1" customHeight="1">
      <c r="B33" s="522"/>
      <c r="C33" s="364"/>
      <c r="D33" s="364"/>
      <c r="E33" s="364"/>
      <c r="F33" s="364"/>
      <c r="G33" s="364"/>
      <c r="H33" s="364"/>
      <c r="I33" s="364"/>
      <c r="J33" s="364"/>
      <c r="K33" s="364"/>
      <c r="L33" s="364"/>
      <c r="M33" s="364"/>
      <c r="N33" s="501"/>
      <c r="O33" s="506"/>
      <c r="P33" s="503"/>
      <c r="Q33" s="503"/>
      <c r="R33" s="504"/>
      <c r="S33" s="504"/>
      <c r="T33" s="356"/>
      <c r="U33" s="356"/>
      <c r="V33" s="356"/>
      <c r="W33" s="356"/>
      <c r="X33" s="356"/>
      <c r="Y33" s="356"/>
      <c r="Z33" s="507"/>
      <c r="AA33" s="499"/>
      <c r="AB33" s="499"/>
      <c r="AC33" s="499"/>
      <c r="AD33" s="499"/>
      <c r="AH33" s="366"/>
      <c r="AI33" s="240"/>
      <c r="AJ33" s="567"/>
      <c r="AM33" s="586"/>
      <c r="AN33" s="593"/>
      <c r="AO33" s="593"/>
      <c r="AP33" s="366">
        <v>5.8568935304200008E-5</v>
      </c>
      <c r="AR33" s="599"/>
      <c r="AS33" s="586"/>
      <c r="AT33" s="586"/>
      <c r="AU33" s="367"/>
      <c r="AV33" s="367"/>
      <c r="AX33" s="639"/>
      <c r="AY33" s="639"/>
      <c r="AZ33" s="639"/>
    </row>
    <row r="34" spans="2:52">
      <c r="B34" s="522" t="s">
        <v>910</v>
      </c>
      <c r="C34" s="364">
        <v>1.056E-2</v>
      </c>
      <c r="D34" s="364">
        <v>2.2297200000000004</v>
      </c>
      <c r="E34" s="364">
        <v>0.34042</v>
      </c>
      <c r="F34" s="364">
        <v>0</v>
      </c>
      <c r="G34" s="364">
        <v>0</v>
      </c>
      <c r="H34" s="364">
        <v>0</v>
      </c>
      <c r="I34" s="364">
        <v>34.5</v>
      </c>
      <c r="J34" s="364">
        <v>27.225999999999999</v>
      </c>
      <c r="K34" s="364">
        <v>96.972999999999999</v>
      </c>
      <c r="L34" s="364">
        <v>1680.229</v>
      </c>
      <c r="M34" s="364">
        <v>1893.7570000000001</v>
      </c>
      <c r="N34" s="501">
        <v>2894.058</v>
      </c>
      <c r="O34" s="506">
        <v>3589.4573399999999</v>
      </c>
      <c r="P34" s="503">
        <v>7122.1251400000001</v>
      </c>
      <c r="Q34" s="503">
        <v>28476.497219999997</v>
      </c>
      <c r="R34" s="504">
        <v>26403.8</v>
      </c>
      <c r="S34" s="504">
        <v>26600.7</v>
      </c>
      <c r="T34" s="503">
        <v>25619.116140000002</v>
      </c>
      <c r="U34" s="503">
        <v>19820.448170000003</v>
      </c>
      <c r="V34" s="503">
        <v>65077.421900000001</v>
      </c>
      <c r="W34" s="503">
        <v>26522.3069</v>
      </c>
      <c r="X34" s="503">
        <v>17391.545139999998</v>
      </c>
      <c r="Y34" s="503">
        <v>35384.979769999998</v>
      </c>
      <c r="Z34" s="514">
        <v>26946.27289</v>
      </c>
      <c r="AA34" s="499">
        <v>5809.2302799999998</v>
      </c>
      <c r="AB34" s="499">
        <v>7531.2875400000003</v>
      </c>
      <c r="AC34" s="499">
        <v>9286.3534800000016</v>
      </c>
      <c r="AD34" s="499">
        <v>9477.3545599999998</v>
      </c>
      <c r="AE34" s="240">
        <v>7440.7575400000005</v>
      </c>
      <c r="AF34" s="240">
        <v>36309.300000000003</v>
      </c>
      <c r="AG34" s="272">
        <v>50347.178679999997</v>
      </c>
      <c r="AH34" s="366">
        <v>50347.178679999997</v>
      </c>
      <c r="AI34" s="240">
        <v>52251.982030000006</v>
      </c>
      <c r="AJ34" s="567">
        <v>52369</v>
      </c>
      <c r="AK34" s="240">
        <v>50491.8</v>
      </c>
      <c r="AL34" s="240">
        <v>62893.7</v>
      </c>
      <c r="AM34" s="586">
        <v>88789</v>
      </c>
      <c r="AN34" s="593">
        <v>81322.644920000006</v>
      </c>
      <c r="AO34" s="593">
        <v>51099.949330000003</v>
      </c>
      <c r="AP34" s="366">
        <v>72308.977039999998</v>
      </c>
      <c r="AQ34" s="240">
        <v>77364.399999999994</v>
      </c>
      <c r="AR34" s="599">
        <v>70088.7</v>
      </c>
      <c r="AS34" s="586">
        <v>53684.533869999999</v>
      </c>
      <c r="AT34" s="586">
        <v>59215.975149999998</v>
      </c>
      <c r="AU34" s="367">
        <v>70300.399999999994</v>
      </c>
      <c r="AV34" s="367">
        <v>98536.7</v>
      </c>
      <c r="AW34" s="240">
        <v>73514.3</v>
      </c>
      <c r="AX34" s="640">
        <v>65572.420570000002</v>
      </c>
      <c r="AY34" s="640">
        <v>60885.9</v>
      </c>
      <c r="AZ34" s="640">
        <v>77091.900810000006</v>
      </c>
    </row>
    <row r="35" spans="2:52">
      <c r="B35" s="522"/>
      <c r="C35" s="364"/>
      <c r="D35" s="364"/>
      <c r="E35" s="364"/>
      <c r="F35" s="364"/>
      <c r="G35" s="364"/>
      <c r="H35" s="364"/>
      <c r="I35" s="363"/>
      <c r="J35" s="363"/>
      <c r="K35" s="363"/>
      <c r="L35" s="363"/>
      <c r="M35" s="363"/>
      <c r="N35" s="501"/>
      <c r="O35" s="506"/>
      <c r="P35" s="503"/>
      <c r="Q35" s="503"/>
      <c r="R35" s="503"/>
      <c r="S35" s="504"/>
      <c r="T35" s="356"/>
      <c r="U35" s="356"/>
      <c r="V35" s="356"/>
      <c r="W35" s="356"/>
      <c r="X35" s="356"/>
      <c r="Y35" s="356"/>
      <c r="Z35" s="515"/>
      <c r="AA35" s="499"/>
      <c r="AB35" s="499"/>
      <c r="AC35" s="499"/>
      <c r="AD35" s="499"/>
      <c r="AH35" s="366"/>
      <c r="AI35" s="240"/>
      <c r="AJ35" s="567"/>
      <c r="AM35" s="586"/>
      <c r="AN35" s="593"/>
      <c r="AO35" s="593"/>
      <c r="AP35" s="366"/>
      <c r="AR35" s="599"/>
      <c r="AS35" s="586"/>
      <c r="AT35" s="586"/>
      <c r="AU35" s="367"/>
      <c r="AV35" s="367"/>
      <c r="AX35" s="639"/>
      <c r="AY35" s="639"/>
      <c r="AZ35" s="639"/>
    </row>
    <row r="36" spans="2:52" s="360" customFormat="1">
      <c r="B36" s="523" t="s">
        <v>1152</v>
      </c>
      <c r="C36" s="365">
        <v>297563.41759129398</v>
      </c>
      <c r="D36" s="365">
        <v>383182.89854368346</v>
      </c>
      <c r="E36" s="365">
        <v>396825.73769574286</v>
      </c>
      <c r="F36" s="365">
        <v>492277.23648873303</v>
      </c>
      <c r="G36" s="365">
        <v>536162.40507873322</v>
      </c>
      <c r="H36" s="365">
        <v>695614.67249873315</v>
      </c>
      <c r="I36" s="365">
        <v>772996.44217873318</v>
      </c>
      <c r="J36" s="365">
        <v>847158.75529873301</v>
      </c>
      <c r="K36" s="365">
        <v>953684.96882873308</v>
      </c>
      <c r="L36" s="365">
        <v>970262.32068873313</v>
      </c>
      <c r="M36" s="365">
        <v>1173716.4742087331</v>
      </c>
      <c r="N36" s="502">
        <v>1295087.6563087329</v>
      </c>
      <c r="O36" s="510">
        <f>SUM(O22:O35)</f>
        <v>293600.59622783994</v>
      </c>
      <c r="P36" s="505">
        <f t="shared" ref="P36:AA36" si="3">SUM(P22:P35)</f>
        <v>387636.21678975836</v>
      </c>
      <c r="Q36" s="505">
        <f t="shared" si="3"/>
        <v>431636.78860431188</v>
      </c>
      <c r="R36" s="505">
        <f t="shared" si="3"/>
        <v>482822.69999999995</v>
      </c>
      <c r="S36" s="505">
        <f t="shared" si="3"/>
        <v>485408.5</v>
      </c>
      <c r="T36" s="505">
        <f t="shared" si="3"/>
        <v>623757.07240730198</v>
      </c>
      <c r="U36" s="505">
        <f t="shared" si="3"/>
        <v>572198.32184730191</v>
      </c>
      <c r="V36" s="505">
        <f t="shared" si="3"/>
        <v>670135.4241273019</v>
      </c>
      <c r="W36" s="505">
        <f t="shared" si="3"/>
        <v>742522.43912730191</v>
      </c>
      <c r="X36" s="505">
        <f t="shared" si="3"/>
        <v>758844.07210730179</v>
      </c>
      <c r="Y36" s="505">
        <f t="shared" si="3"/>
        <v>689324.69810280856</v>
      </c>
      <c r="Z36" s="511">
        <f t="shared" si="3"/>
        <v>753635.94007730205</v>
      </c>
      <c r="AA36" s="498">
        <f t="shared" si="3"/>
        <v>711029.99699234893</v>
      </c>
      <c r="AB36" s="498">
        <f t="shared" ref="AB36:AM36" si="4">SUM(AB22:AB35)</f>
        <v>824067.32151118945</v>
      </c>
      <c r="AC36" s="498">
        <f t="shared" si="4"/>
        <v>830035.74268574291</v>
      </c>
      <c r="AD36" s="498">
        <f t="shared" si="4"/>
        <v>848466.08862873318</v>
      </c>
      <c r="AE36" s="498">
        <f t="shared" si="4"/>
        <v>884783.69819730194</v>
      </c>
      <c r="AF36" s="559">
        <f t="shared" si="4"/>
        <v>916314.39999999991</v>
      </c>
      <c r="AG36" s="577">
        <f t="shared" si="4"/>
        <v>885529.29393730196</v>
      </c>
      <c r="AH36" s="549">
        <f t="shared" si="4"/>
        <v>885529.29393730196</v>
      </c>
      <c r="AI36" s="498">
        <f t="shared" si="4"/>
        <v>863227.00391730189</v>
      </c>
      <c r="AJ36" s="568">
        <f t="shared" si="4"/>
        <v>966295</v>
      </c>
      <c r="AK36" s="360">
        <f t="shared" si="4"/>
        <v>1056190.2</v>
      </c>
      <c r="AL36" s="559">
        <f t="shared" si="4"/>
        <v>952533</v>
      </c>
      <c r="AM36" s="559">
        <f t="shared" si="4"/>
        <v>1014873.7</v>
      </c>
      <c r="AN36" s="559">
        <f t="shared" ref="AN36:AZ36" si="5">SUM(AN22:AN35)</f>
        <v>1068952.1132097584</v>
      </c>
      <c r="AO36" s="559">
        <f t="shared" si="5"/>
        <v>983065.09862574295</v>
      </c>
      <c r="AP36" s="596">
        <f t="shared" si="5"/>
        <v>1057917.2878773019</v>
      </c>
      <c r="AQ36" s="596">
        <f t="shared" si="5"/>
        <v>1167573.7</v>
      </c>
      <c r="AR36" s="599">
        <f t="shared" si="5"/>
        <v>1249972.7</v>
      </c>
      <c r="AS36" s="597">
        <f t="shared" si="5"/>
        <v>1142006.858468733</v>
      </c>
      <c r="AT36" s="597">
        <f t="shared" si="5"/>
        <v>1209790.9468295912</v>
      </c>
      <c r="AU36" s="602">
        <f t="shared" si="5"/>
        <v>1197658.7999999998</v>
      </c>
      <c r="AV36" s="602">
        <f t="shared" si="5"/>
        <v>1313605.1000000001</v>
      </c>
      <c r="AW36" s="602">
        <f t="shared" si="5"/>
        <v>1244665.8</v>
      </c>
      <c r="AX36" s="637">
        <f t="shared" si="5"/>
        <v>1235029.0943187331</v>
      </c>
      <c r="AY36" s="637">
        <f t="shared" si="5"/>
        <v>1192706.5999999999</v>
      </c>
      <c r="AZ36" s="637">
        <f t="shared" si="5"/>
        <v>1269131.4805197585</v>
      </c>
    </row>
    <row r="37" spans="2:52">
      <c r="B37" s="522"/>
      <c r="C37" s="364"/>
      <c r="D37" s="364"/>
      <c r="E37" s="364"/>
      <c r="F37" s="364"/>
      <c r="G37" s="364"/>
      <c r="H37" s="364"/>
      <c r="I37" s="363"/>
      <c r="J37" s="363"/>
      <c r="K37" s="363"/>
      <c r="L37" s="363"/>
      <c r="M37" s="363"/>
      <c r="N37" s="496"/>
      <c r="O37" s="512"/>
      <c r="R37" s="504"/>
      <c r="S37" s="504"/>
      <c r="T37" s="356"/>
      <c r="U37" s="356"/>
      <c r="V37" s="356"/>
      <c r="W37" s="356"/>
      <c r="X37" s="356"/>
      <c r="Y37" s="356"/>
      <c r="Z37" s="507"/>
      <c r="AA37" s="499"/>
      <c r="AB37" s="499"/>
      <c r="AC37" s="499"/>
      <c r="AD37" s="499"/>
      <c r="AH37" s="366"/>
      <c r="AI37" s="240"/>
      <c r="AJ37" s="567"/>
      <c r="AM37" s="586"/>
      <c r="AN37" s="593"/>
      <c r="AO37" s="593"/>
      <c r="AP37" s="366"/>
      <c r="AS37" s="586"/>
      <c r="AT37" s="586"/>
      <c r="AU37" s="367"/>
      <c r="AV37" s="367"/>
      <c r="AX37" s="639"/>
      <c r="AY37" s="639"/>
      <c r="AZ37" s="639"/>
    </row>
    <row r="38" spans="2:52">
      <c r="B38" s="522" t="s">
        <v>911</v>
      </c>
      <c r="C38" s="364">
        <v>1.9671300000000116</v>
      </c>
      <c r="D38" s="364">
        <v>0</v>
      </c>
      <c r="E38" s="364">
        <v>78.327209999988554</v>
      </c>
      <c r="F38" s="364">
        <v>204.8</v>
      </c>
      <c r="G38" s="364">
        <v>88</v>
      </c>
      <c r="H38" s="364">
        <v>223.9</v>
      </c>
      <c r="I38" s="364">
        <v>381.3</v>
      </c>
      <c r="J38" s="364">
        <v>3903.5</v>
      </c>
      <c r="K38" s="364">
        <v>2415.8000000000002</v>
      </c>
      <c r="L38" s="364">
        <v>5438.5</v>
      </c>
      <c r="M38" s="364">
        <v>5902.1630000000005</v>
      </c>
      <c r="N38" s="501">
        <v>54412.442759999991</v>
      </c>
      <c r="O38" s="506">
        <v>14429.3</v>
      </c>
      <c r="P38" s="503">
        <v>20773.060000000001</v>
      </c>
      <c r="Q38" s="503">
        <v>38763.800000000003</v>
      </c>
      <c r="R38" s="504">
        <v>52761</v>
      </c>
      <c r="S38" s="504">
        <v>64001.4</v>
      </c>
      <c r="T38" s="503">
        <v>51728.89585999999</v>
      </c>
      <c r="U38" s="503">
        <v>46185.057979999983</v>
      </c>
      <c r="V38" s="503">
        <v>49323.391420000014</v>
      </c>
      <c r="W38" s="503">
        <v>52272.400990000024</v>
      </c>
      <c r="X38" s="503">
        <v>75125.40000000014</v>
      </c>
      <c r="Y38" s="503">
        <v>128772.59942000009</v>
      </c>
      <c r="Z38" s="509">
        <v>77607.432060000006</v>
      </c>
      <c r="AA38" s="499">
        <v>104411.98343999992</v>
      </c>
      <c r="AB38" s="499">
        <v>94490.859800000006</v>
      </c>
      <c r="AC38" s="499">
        <v>110002.984</v>
      </c>
      <c r="AD38" s="499">
        <v>89097.230920000002</v>
      </c>
      <c r="AE38" s="240">
        <v>104091.06764999994</v>
      </c>
      <c r="AF38" s="240">
        <v>144980.70000000001</v>
      </c>
      <c r="AG38" s="272">
        <v>111502.26364999994</v>
      </c>
      <c r="AH38" s="366">
        <v>111502.26364999994</v>
      </c>
      <c r="AI38" s="240">
        <v>184665.85451000009</v>
      </c>
      <c r="AJ38" s="567">
        <v>153986.70000000001</v>
      </c>
      <c r="AK38" s="240">
        <v>175081.60000000001</v>
      </c>
      <c r="AL38" s="240">
        <v>131736.79999999999</v>
      </c>
      <c r="AM38" s="586">
        <v>112111.1</v>
      </c>
      <c r="AN38" s="593">
        <v>126660.46723000001</v>
      </c>
      <c r="AO38" s="593">
        <v>314416.21147000004</v>
      </c>
      <c r="AP38" s="366">
        <v>289006.65687000006</v>
      </c>
      <c r="AQ38" s="240">
        <v>347816</v>
      </c>
      <c r="AR38" s="599">
        <v>228931.5</v>
      </c>
      <c r="AS38" s="586">
        <v>327819.84610999998</v>
      </c>
      <c r="AT38" s="586">
        <v>192982.40999240006</v>
      </c>
      <c r="AU38" s="367">
        <v>311167.7</v>
      </c>
      <c r="AV38" s="367">
        <v>235566.9</v>
      </c>
      <c r="AW38" s="240">
        <v>424351.9</v>
      </c>
      <c r="AX38" s="640">
        <v>314380.72141000006</v>
      </c>
      <c r="AY38" s="640">
        <v>351356.6</v>
      </c>
      <c r="AZ38" s="640">
        <v>297613.9087599999</v>
      </c>
    </row>
    <row r="39" spans="2:52">
      <c r="B39" s="522"/>
      <c r="C39" s="364"/>
      <c r="D39" s="364"/>
      <c r="E39" s="364"/>
      <c r="F39" s="364"/>
      <c r="G39" s="364"/>
      <c r="H39" s="364"/>
      <c r="I39" s="364"/>
      <c r="J39" s="364"/>
      <c r="K39" s="364"/>
      <c r="L39" s="364"/>
      <c r="M39" s="364"/>
      <c r="N39" s="501"/>
      <c r="O39" s="506"/>
      <c r="P39" s="503"/>
      <c r="Q39" s="503"/>
      <c r="R39" s="504"/>
      <c r="S39" s="504"/>
      <c r="T39" s="356"/>
      <c r="U39" s="356"/>
      <c r="V39" s="356"/>
      <c r="W39" s="356"/>
      <c r="X39" s="356"/>
      <c r="Y39" s="356"/>
      <c r="Z39" s="513"/>
      <c r="AA39" s="499"/>
      <c r="AB39" s="499"/>
      <c r="AC39" s="499"/>
      <c r="AD39" s="499"/>
      <c r="AH39" s="366"/>
      <c r="AI39" s="240"/>
      <c r="AJ39" s="567"/>
      <c r="AM39" s="586"/>
      <c r="AN39" s="593"/>
      <c r="AO39" s="593"/>
      <c r="AP39" s="366"/>
      <c r="AR39" s="599"/>
      <c r="AS39" s="586"/>
      <c r="AT39" s="586"/>
      <c r="AU39" s="367"/>
      <c r="AV39" s="367"/>
      <c r="AX39" s="639"/>
      <c r="AY39" s="639"/>
      <c r="AZ39" s="639"/>
    </row>
    <row r="40" spans="2:52">
      <c r="B40" s="522" t="s">
        <v>912</v>
      </c>
      <c r="C40" s="364">
        <v>59.72</v>
      </c>
      <c r="D40" s="364">
        <v>8.4829999999999472</v>
      </c>
      <c r="E40" s="364">
        <v>66</v>
      </c>
      <c r="F40" s="364">
        <v>51</v>
      </c>
      <c r="G40" s="364">
        <v>710</v>
      </c>
      <c r="H40" s="364">
        <v>6658.2</v>
      </c>
      <c r="I40" s="364">
        <v>5163.6000000000004</v>
      </c>
      <c r="J40" s="364">
        <v>5107.8999999999996</v>
      </c>
      <c r="K40" s="364">
        <v>5399.6</v>
      </c>
      <c r="L40" s="364">
        <v>6050.3</v>
      </c>
      <c r="M40" s="364">
        <v>14050.292000000001</v>
      </c>
      <c r="N40" s="501">
        <v>9250.1150000000052</v>
      </c>
      <c r="O40" s="506">
        <v>18015</v>
      </c>
      <c r="P40" s="503">
        <v>8800.1299999999901</v>
      </c>
      <c r="Q40" s="503">
        <v>24527.8</v>
      </c>
      <c r="R40" s="504">
        <v>54753.8</v>
      </c>
      <c r="S40" s="504">
        <v>51874.5</v>
      </c>
      <c r="T40" s="503">
        <v>64218.940999999992</v>
      </c>
      <c r="U40" s="503">
        <v>61961.46</v>
      </c>
      <c r="V40" s="503">
        <v>61111.376939999987</v>
      </c>
      <c r="W40" s="503">
        <v>61609.7</v>
      </c>
      <c r="X40" s="503">
        <v>78412.250380000041</v>
      </c>
      <c r="Y40" s="503">
        <v>79693.237000000023</v>
      </c>
      <c r="Z40" s="509">
        <v>53073.501000000018</v>
      </c>
      <c r="AA40" s="499">
        <v>36589.485339999985</v>
      </c>
      <c r="AB40" s="499">
        <v>46058.451000000001</v>
      </c>
      <c r="AC40" s="499">
        <v>42247.4</v>
      </c>
      <c r="AD40" s="499">
        <v>40472.453000000009</v>
      </c>
      <c r="AE40" s="240">
        <v>43665.595000000001</v>
      </c>
      <c r="AF40" s="240">
        <v>40523.300000000003</v>
      </c>
      <c r="AG40" s="272">
        <v>45505.232029999999</v>
      </c>
      <c r="AH40" s="366">
        <v>45505.232029999999</v>
      </c>
      <c r="AI40" s="240">
        <v>48322.841030000003</v>
      </c>
      <c r="AJ40" s="567">
        <v>18182.7</v>
      </c>
      <c r="AK40" s="240">
        <v>10706.1</v>
      </c>
      <c r="AL40" s="240">
        <v>52440.1</v>
      </c>
      <c r="AM40" s="586">
        <v>32663</v>
      </c>
      <c r="AN40" s="593">
        <v>35722.357000000004</v>
      </c>
      <c r="AO40" s="593">
        <v>47602.11</v>
      </c>
      <c r="AP40" s="366">
        <v>41942.506999999998</v>
      </c>
      <c r="AQ40" s="240">
        <v>66248.399999999994</v>
      </c>
      <c r="AR40" s="599">
        <v>31257.599999999999</v>
      </c>
      <c r="AS40" s="586">
        <v>65758</v>
      </c>
      <c r="AT40" s="586">
        <v>64463.756999999991</v>
      </c>
      <c r="AU40" s="367">
        <v>56445.3</v>
      </c>
      <c r="AV40" s="367">
        <v>60561.8</v>
      </c>
      <c r="AW40" s="240">
        <v>46439.3</v>
      </c>
      <c r="AX40" s="640">
        <v>44191.421000000002</v>
      </c>
      <c r="AY40" s="640">
        <v>21339</v>
      </c>
      <c r="AZ40" s="640">
        <v>55713.974000000002</v>
      </c>
    </row>
    <row r="41" spans="2:52" ht="15.6" customHeight="1">
      <c r="B41" s="522"/>
      <c r="C41" s="364"/>
      <c r="D41" s="364"/>
      <c r="E41" s="364"/>
      <c r="F41" s="364"/>
      <c r="G41" s="364"/>
      <c r="H41" s="364"/>
      <c r="I41" s="364"/>
      <c r="J41" s="364"/>
      <c r="K41" s="364"/>
      <c r="L41" s="364"/>
      <c r="M41" s="364"/>
      <c r="N41" s="501"/>
      <c r="O41" s="506"/>
      <c r="P41" s="503"/>
      <c r="Q41" s="503"/>
      <c r="R41" s="504"/>
      <c r="S41" s="504"/>
      <c r="T41" s="356"/>
      <c r="U41" s="356"/>
      <c r="V41" s="356"/>
      <c r="W41" s="356"/>
      <c r="X41" s="356"/>
      <c r="Y41" s="356"/>
      <c r="Z41" s="507"/>
      <c r="AA41" s="499"/>
      <c r="AB41" s="499"/>
      <c r="AC41" s="499"/>
      <c r="AD41" s="499"/>
      <c r="AH41" s="366"/>
      <c r="AI41" s="240"/>
      <c r="AJ41" s="567"/>
      <c r="AM41" s="586"/>
      <c r="AN41" s="593"/>
      <c r="AO41" s="593"/>
      <c r="AP41" s="366"/>
      <c r="AR41" s="599"/>
      <c r="AS41" s="586"/>
      <c r="AT41" s="586"/>
      <c r="AU41" s="367"/>
      <c r="AV41" s="367"/>
      <c r="AX41" s="639"/>
      <c r="AY41" s="639"/>
      <c r="AZ41" s="639"/>
    </row>
    <row r="42" spans="2:52" ht="15.6" customHeight="1">
      <c r="B42" s="522" t="s">
        <v>913</v>
      </c>
      <c r="C42" s="364">
        <v>9.157799701790001E-5</v>
      </c>
      <c r="D42" s="364">
        <v>9.157799701790001E-5</v>
      </c>
      <c r="E42" s="364">
        <v>9.157799701790001E-5</v>
      </c>
      <c r="F42" s="364">
        <v>9.157799701790001E-5</v>
      </c>
      <c r="G42" s="364">
        <v>9.157799701790001E-5</v>
      </c>
      <c r="H42" s="364">
        <v>9.157799701790001E-5</v>
      </c>
      <c r="I42" s="364">
        <v>9.157799701790001E-5</v>
      </c>
      <c r="J42" s="364">
        <v>9.157799701790001E-5</v>
      </c>
      <c r="K42" s="364">
        <v>9.157799701790001E-5</v>
      </c>
      <c r="L42" s="364">
        <v>9.157799701790001E-5</v>
      </c>
      <c r="M42" s="364">
        <v>9.157799701790001E-5</v>
      </c>
      <c r="N42" s="501">
        <v>9.157799701790001E-5</v>
      </c>
      <c r="O42" s="506">
        <v>9.157799701790001E-5</v>
      </c>
      <c r="P42" s="503">
        <v>9.157799701790001E-5</v>
      </c>
      <c r="Q42" s="503">
        <v>9.157799701790001E-5</v>
      </c>
      <c r="R42" s="504">
        <v>0</v>
      </c>
      <c r="S42" s="504">
        <v>0</v>
      </c>
      <c r="T42" s="504">
        <v>9.157799701790001E-5</v>
      </c>
      <c r="U42" s="504">
        <v>9.157799701790001E-5</v>
      </c>
      <c r="V42" s="356">
        <v>9.157799701790001E-5</v>
      </c>
      <c r="W42" s="356">
        <v>9.157799701790001E-5</v>
      </c>
      <c r="X42" s="356">
        <v>9.157799701790001E-5</v>
      </c>
      <c r="Y42" s="356">
        <v>9.157799701790001E-5</v>
      </c>
      <c r="Z42" s="513">
        <v>9.157799701790001E-5</v>
      </c>
      <c r="AA42" s="499"/>
      <c r="AB42" s="499"/>
      <c r="AC42" s="499"/>
      <c r="AD42" s="499"/>
      <c r="AE42" s="240">
        <v>9.157799701790001E-5</v>
      </c>
      <c r="AG42" s="272">
        <v>9.157799701790001E-5</v>
      </c>
      <c r="AH42" s="366">
        <v>9.157799701790001E-5</v>
      </c>
      <c r="AI42" s="240">
        <v>9.157799701790001E-5</v>
      </c>
      <c r="AJ42" s="567"/>
      <c r="AM42" s="586"/>
      <c r="AN42" s="593">
        <v>9.157799701790001E-5</v>
      </c>
      <c r="AO42" s="593"/>
      <c r="AP42" s="366"/>
      <c r="AR42" s="599"/>
      <c r="AS42" s="586">
        <v>9.157799701790001E-5</v>
      </c>
      <c r="AT42" s="586">
        <v>9.157799701790001E-5</v>
      </c>
      <c r="AU42" s="367">
        <v>0</v>
      </c>
      <c r="AV42" s="367"/>
      <c r="AX42" s="641">
        <v>9.157799701790001E-5</v>
      </c>
      <c r="AY42" s="641">
        <v>9.157799701790001E-5</v>
      </c>
      <c r="AZ42" s="641"/>
    </row>
    <row r="43" spans="2:52">
      <c r="B43" s="522"/>
      <c r="C43" s="364"/>
      <c r="D43" s="364"/>
      <c r="E43" s="364"/>
      <c r="F43" s="364"/>
      <c r="G43" s="364"/>
      <c r="H43" s="364"/>
      <c r="I43" s="364"/>
      <c r="J43" s="364"/>
      <c r="K43" s="364"/>
      <c r="L43" s="364"/>
      <c r="M43" s="364"/>
      <c r="N43" s="501"/>
      <c r="O43" s="506"/>
      <c r="P43" s="503"/>
      <c r="Q43" s="503"/>
      <c r="R43" s="504"/>
      <c r="S43" s="504"/>
      <c r="T43" s="356"/>
      <c r="U43" s="356"/>
      <c r="V43" s="356"/>
      <c r="W43" s="356"/>
      <c r="X43" s="356"/>
      <c r="Y43" s="356"/>
      <c r="Z43" s="507"/>
      <c r="AA43" s="499"/>
      <c r="AB43" s="499"/>
      <c r="AC43" s="499"/>
      <c r="AD43" s="499"/>
      <c r="AH43" s="366"/>
      <c r="AI43" s="240"/>
      <c r="AJ43" s="567"/>
      <c r="AM43" s="586"/>
      <c r="AN43" s="593"/>
      <c r="AO43" s="593"/>
      <c r="AP43" s="366"/>
      <c r="AR43" s="599"/>
      <c r="AS43" s="586"/>
      <c r="AT43" s="586"/>
      <c r="AU43" s="367"/>
      <c r="AV43" s="367"/>
      <c r="AX43" s="639"/>
      <c r="AY43" s="639"/>
      <c r="AZ43" s="639"/>
    </row>
    <row r="44" spans="2:52">
      <c r="B44" s="522" t="s">
        <v>914</v>
      </c>
      <c r="C44" s="364">
        <v>0.46516791036729999</v>
      </c>
      <c r="D44" s="364">
        <v>1.0004152877500339E-2</v>
      </c>
      <c r="E44" s="364">
        <v>1.0000018045866144E-2</v>
      </c>
      <c r="F44" s="364">
        <v>1.8319999999998799</v>
      </c>
      <c r="G44" s="364">
        <v>5076.8940000000002</v>
      </c>
      <c r="H44" s="364">
        <v>5922.9330000000009</v>
      </c>
      <c r="I44" s="364">
        <v>6327.0559999999996</v>
      </c>
      <c r="J44" s="364">
        <v>5859.4660000000003</v>
      </c>
      <c r="K44" s="364">
        <v>6702.9050000000007</v>
      </c>
      <c r="L44" s="364">
        <v>7436.0449999999992</v>
      </c>
      <c r="M44" s="364">
        <v>11900.912999999999</v>
      </c>
      <c r="N44" s="501">
        <v>9776.2790000000023</v>
      </c>
      <c r="O44" s="506">
        <v>10947.745457910369</v>
      </c>
      <c r="P44" s="503">
        <v>13831.103004152876</v>
      </c>
      <c r="Q44" s="503">
        <v>14483.538690018053</v>
      </c>
      <c r="R44" s="504">
        <v>19211.7</v>
      </c>
      <c r="S44" s="504">
        <v>26941.599999999999</v>
      </c>
      <c r="T44" s="503">
        <v>36977.21921000001</v>
      </c>
      <c r="U44" s="503">
        <v>41581.447239999994</v>
      </c>
      <c r="V44" s="356">
        <v>53.511230000003707</v>
      </c>
      <c r="W44" s="503">
        <v>42040.941930000001</v>
      </c>
      <c r="X44" s="503">
        <v>55544.822040000014</v>
      </c>
      <c r="Y44" s="503">
        <v>39019.865339999997</v>
      </c>
      <c r="Z44" s="509">
        <v>52544.262999999999</v>
      </c>
      <c r="AA44" s="499">
        <v>70103.329140010159</v>
      </c>
      <c r="AB44" s="499">
        <v>76178.57272415288</v>
      </c>
      <c r="AC44" s="499">
        <v>83028.288110018038</v>
      </c>
      <c r="AD44" s="499">
        <v>85018.808999999979</v>
      </c>
      <c r="AE44" s="240">
        <v>102478.37929</v>
      </c>
      <c r="AF44" s="240">
        <v>77392.2</v>
      </c>
      <c r="AG44" s="272">
        <v>80622.708069999993</v>
      </c>
      <c r="AH44" s="366">
        <v>80622.708069999993</v>
      </c>
      <c r="AI44" s="240">
        <v>93194.774430000019</v>
      </c>
      <c r="AJ44" s="567">
        <v>92971.199999999997</v>
      </c>
      <c r="AK44" s="240">
        <v>123945.9</v>
      </c>
      <c r="AL44" s="240">
        <v>100654.2</v>
      </c>
      <c r="AM44" s="586">
        <v>94158.8</v>
      </c>
      <c r="AN44" s="593">
        <v>115296.23907002264</v>
      </c>
      <c r="AO44" s="593">
        <v>152203.52509001808</v>
      </c>
      <c r="AP44" s="366">
        <v>125863.15834000002</v>
      </c>
      <c r="AQ44" s="240">
        <v>93384.4</v>
      </c>
      <c r="AR44" s="599">
        <v>109663.7</v>
      </c>
      <c r="AS44" s="586">
        <v>156055.24318999995</v>
      </c>
      <c r="AT44" s="586">
        <v>170113.22777</v>
      </c>
      <c r="AU44" s="367">
        <v>172761.3</v>
      </c>
      <c r="AV44" s="367">
        <v>165382.5</v>
      </c>
      <c r="AW44" s="240">
        <v>179493.1</v>
      </c>
      <c r="AX44" s="640">
        <v>184561.18147000001</v>
      </c>
      <c r="AY44" s="640">
        <v>192823.3</v>
      </c>
      <c r="AZ44" s="640">
        <v>194226.71276002267</v>
      </c>
    </row>
    <row r="45" spans="2:52">
      <c r="B45" s="522"/>
      <c r="C45" s="364"/>
      <c r="D45" s="364"/>
      <c r="E45" s="364"/>
      <c r="F45" s="364"/>
      <c r="G45" s="364"/>
      <c r="H45" s="364"/>
      <c r="I45" s="364"/>
      <c r="J45" s="364"/>
      <c r="K45" s="364"/>
      <c r="L45" s="364"/>
      <c r="M45" s="364"/>
      <c r="N45" s="501"/>
      <c r="O45" s="506"/>
      <c r="P45" s="503"/>
      <c r="Q45" s="503"/>
      <c r="R45" s="504"/>
      <c r="S45" s="504"/>
      <c r="T45" s="356"/>
      <c r="U45" s="356"/>
      <c r="V45" s="356"/>
      <c r="W45" s="356"/>
      <c r="X45" s="356"/>
      <c r="Y45" s="356"/>
      <c r="Z45" s="514"/>
      <c r="AA45" s="499"/>
      <c r="AB45" s="499"/>
      <c r="AC45" s="499"/>
      <c r="AD45" s="499"/>
      <c r="AH45" s="366"/>
      <c r="AI45" s="240"/>
      <c r="AJ45" s="567"/>
      <c r="AM45" s="586"/>
      <c r="AN45" s="593"/>
      <c r="AO45" s="593"/>
      <c r="AP45" s="366"/>
      <c r="AR45" s="599"/>
      <c r="AS45" s="586"/>
      <c r="AT45" s="586"/>
      <c r="AU45" s="367"/>
      <c r="AV45" s="367"/>
      <c r="AX45" s="639"/>
      <c r="AY45" s="639"/>
      <c r="AZ45" s="639"/>
    </row>
    <row r="46" spans="2:52">
      <c r="B46" s="522" t="s">
        <v>915</v>
      </c>
      <c r="C46" s="364">
        <v>1.0300000000000001E-3</v>
      </c>
      <c r="D46" s="364">
        <v>2.9999999999999997E-5</v>
      </c>
      <c r="E46" s="364">
        <v>2873.12203</v>
      </c>
      <c r="F46" s="364">
        <v>8.9999999999999993E-3</v>
      </c>
      <c r="G46" s="364">
        <v>1.2E-2</v>
      </c>
      <c r="H46" s="364">
        <v>6.7919999999999998</v>
      </c>
      <c r="I46" s="364">
        <v>0</v>
      </c>
      <c r="J46" s="364">
        <v>0</v>
      </c>
      <c r="K46" s="364">
        <v>0</v>
      </c>
      <c r="L46" s="364">
        <v>0</v>
      </c>
      <c r="M46" s="364">
        <v>0</v>
      </c>
      <c r="N46" s="501">
        <v>1500</v>
      </c>
      <c r="O46" s="506">
        <v>1902.75603</v>
      </c>
      <c r="P46" s="503">
        <v>2502.75603</v>
      </c>
      <c r="Q46" s="503">
        <v>2602.75603</v>
      </c>
      <c r="R46" s="500">
        <v>0</v>
      </c>
      <c r="S46" s="500">
        <v>0</v>
      </c>
      <c r="T46" s="500">
        <v>0</v>
      </c>
      <c r="U46" s="500">
        <v>0</v>
      </c>
      <c r="V46" s="500">
        <v>0</v>
      </c>
      <c r="W46" s="500">
        <v>0</v>
      </c>
      <c r="X46" s="500">
        <v>0</v>
      </c>
      <c r="Y46" s="500">
        <v>0</v>
      </c>
      <c r="Z46" s="516">
        <v>0</v>
      </c>
      <c r="AA46" s="500">
        <v>0</v>
      </c>
      <c r="AB46" s="500">
        <v>0</v>
      </c>
      <c r="AC46" s="500">
        <v>2.9999999999999997E-5</v>
      </c>
      <c r="AD46" s="500">
        <v>0</v>
      </c>
      <c r="AE46" s="240">
        <v>0</v>
      </c>
      <c r="AF46" s="240">
        <v>0</v>
      </c>
      <c r="AG46" s="272">
        <v>0</v>
      </c>
      <c r="AH46" s="366">
        <v>0</v>
      </c>
      <c r="AI46" s="240">
        <v>0</v>
      </c>
      <c r="AJ46" s="567">
        <v>0</v>
      </c>
      <c r="AK46" s="240">
        <v>0</v>
      </c>
      <c r="AM46" s="586"/>
      <c r="AN46" s="593">
        <v>5.9999999999999995E-5</v>
      </c>
      <c r="AO46" s="593">
        <v>2.9999999999999997E-5</v>
      </c>
      <c r="AP46" s="366"/>
      <c r="AR46" s="599"/>
      <c r="AS46" s="586">
        <v>0</v>
      </c>
      <c r="AT46" s="586">
        <v>0</v>
      </c>
      <c r="AU46" s="367"/>
      <c r="AV46" s="367"/>
      <c r="AX46" s="639"/>
      <c r="AY46" s="639"/>
      <c r="AZ46" s="639">
        <v>5.9999999999999995E-5</v>
      </c>
    </row>
    <row r="47" spans="2:52">
      <c r="B47" s="522"/>
      <c r="C47" s="364"/>
      <c r="D47" s="364"/>
      <c r="E47" s="364"/>
      <c r="F47" s="364"/>
      <c r="G47" s="364"/>
      <c r="H47" s="364"/>
      <c r="I47" s="364"/>
      <c r="J47" s="364"/>
      <c r="K47" s="364"/>
      <c r="L47" s="364"/>
      <c r="M47" s="364"/>
      <c r="N47" s="501"/>
      <c r="O47" s="506"/>
      <c r="P47" s="503"/>
      <c r="Q47" s="503"/>
      <c r="R47" s="504"/>
      <c r="S47" s="504"/>
      <c r="T47" s="356"/>
      <c r="U47" s="356"/>
      <c r="V47" s="356"/>
      <c r="W47" s="356"/>
      <c r="X47" s="356"/>
      <c r="Y47" s="356"/>
      <c r="Z47" s="507"/>
      <c r="AA47" s="499"/>
      <c r="AB47" s="499"/>
      <c r="AC47" s="499"/>
      <c r="AD47" s="499"/>
      <c r="AH47" s="366"/>
      <c r="AI47" s="240"/>
      <c r="AJ47" s="567"/>
      <c r="AM47" s="586"/>
      <c r="AN47" s="593"/>
      <c r="AO47" s="593"/>
      <c r="AP47" s="366"/>
      <c r="AR47" s="599"/>
      <c r="AS47" s="586"/>
      <c r="AT47" s="586"/>
      <c r="AU47" s="367"/>
      <c r="AV47" s="367"/>
      <c r="AX47" s="639"/>
      <c r="AY47" s="639"/>
      <c r="AZ47" s="639"/>
    </row>
    <row r="48" spans="2:52">
      <c r="B48" s="522" t="s">
        <v>916</v>
      </c>
      <c r="C48" s="364">
        <v>2.9568494289999994E-4</v>
      </c>
      <c r="D48" s="364">
        <v>1.2218403402E-3</v>
      </c>
      <c r="E48" s="364">
        <v>1.1959795821458101E-3</v>
      </c>
      <c r="F48" s="364">
        <v>2873.1219999999998</v>
      </c>
      <c r="G48" s="364">
        <v>2873.1219999999998</v>
      </c>
      <c r="H48" s="364">
        <v>2873.1219999999998</v>
      </c>
      <c r="I48" s="364">
        <v>10.804</v>
      </c>
      <c r="J48" s="364">
        <v>0</v>
      </c>
      <c r="K48" s="364">
        <v>0</v>
      </c>
      <c r="L48" s="364">
        <v>432.8</v>
      </c>
      <c r="M48" s="364">
        <v>432.8</v>
      </c>
      <c r="N48" s="501">
        <v>6332.8</v>
      </c>
      <c r="O48" s="506">
        <v>6332.8002956849423</v>
      </c>
      <c r="P48" s="503">
        <v>6332.801221840341</v>
      </c>
      <c r="Q48" s="503">
        <v>10141.558995979585</v>
      </c>
      <c r="R48" s="504">
        <v>10141.6</v>
      </c>
      <c r="S48" s="504">
        <v>10141.6</v>
      </c>
      <c r="T48" s="503">
        <v>10141.558800000001</v>
      </c>
      <c r="U48" s="503">
        <v>10141.558800000001</v>
      </c>
      <c r="V48" s="503">
        <v>10141.558800000001</v>
      </c>
      <c r="W48" s="503">
        <v>10141.558800000001</v>
      </c>
      <c r="X48" s="503">
        <v>10141.558800000001</v>
      </c>
      <c r="Y48" s="503">
        <v>10141.558800000001</v>
      </c>
      <c r="Z48" s="509">
        <v>10141.558800000001</v>
      </c>
      <c r="AA48" s="499">
        <v>10141.559021731144</v>
      </c>
      <c r="AB48" s="499">
        <v>10141.5600218403</v>
      </c>
      <c r="AC48" s="499">
        <v>10141.558995979585</v>
      </c>
      <c r="AD48" s="499">
        <v>10141.558800000001</v>
      </c>
      <c r="AE48" s="240">
        <v>10141.558800000001</v>
      </c>
      <c r="AF48" s="240">
        <v>10141.6</v>
      </c>
      <c r="AG48" s="272">
        <v>10141.558800000001</v>
      </c>
      <c r="AH48" s="366">
        <v>10141.558800000001</v>
      </c>
      <c r="AI48" s="240">
        <v>10141.558800000001</v>
      </c>
      <c r="AJ48" s="567">
        <v>10141.6</v>
      </c>
      <c r="AK48" s="240">
        <v>10141.6</v>
      </c>
      <c r="AL48" s="240">
        <v>10141.6</v>
      </c>
      <c r="AM48" s="363">
        <v>10141.6</v>
      </c>
      <c r="AN48" s="593">
        <v>10141.55992493894</v>
      </c>
      <c r="AO48" s="593">
        <v>10141.558995979585</v>
      </c>
      <c r="AP48" s="366">
        <v>10141.558800000001</v>
      </c>
      <c r="AQ48" s="240">
        <v>10141.6</v>
      </c>
      <c r="AR48" s="599">
        <v>10141.6</v>
      </c>
      <c r="AS48" s="586">
        <v>10141.558800000001</v>
      </c>
      <c r="AT48" s="586">
        <v>10141.558800000001</v>
      </c>
      <c r="AU48" s="367">
        <v>10141.6</v>
      </c>
      <c r="AV48" s="367">
        <v>10141.6</v>
      </c>
      <c r="AW48" s="240">
        <v>10141.6</v>
      </c>
      <c r="AX48" s="640">
        <v>10141.558800000001</v>
      </c>
      <c r="AY48" s="640">
        <v>10141.6</v>
      </c>
      <c r="AZ48" s="640">
        <v>10141.55992493894</v>
      </c>
    </row>
    <row r="49" spans="2:63">
      <c r="B49" s="522"/>
      <c r="C49" s="364"/>
      <c r="D49" s="364"/>
      <c r="E49" s="364"/>
      <c r="F49" s="364"/>
      <c r="G49" s="364"/>
      <c r="H49" s="364"/>
      <c r="I49" s="364"/>
      <c r="J49" s="364"/>
      <c r="K49" s="364"/>
      <c r="L49" s="364"/>
      <c r="M49" s="364"/>
      <c r="N49" s="501"/>
      <c r="O49" s="506"/>
      <c r="P49" s="503"/>
      <c r="Q49" s="503"/>
      <c r="R49" s="504"/>
      <c r="S49" s="504"/>
      <c r="T49" s="356"/>
      <c r="U49" s="356"/>
      <c r="V49" s="356"/>
      <c r="W49" s="356"/>
      <c r="X49" s="356"/>
      <c r="Y49" s="356"/>
      <c r="Z49" s="507"/>
      <c r="AA49" s="499"/>
      <c r="AB49" s="499"/>
      <c r="AC49" s="499"/>
      <c r="AD49" s="499"/>
      <c r="AH49" s="366"/>
      <c r="AI49" s="240"/>
      <c r="AJ49" s="567"/>
      <c r="AM49" s="363"/>
      <c r="AN49" s="593"/>
      <c r="AO49" s="593"/>
      <c r="AP49" s="366"/>
      <c r="AR49" s="599"/>
      <c r="AS49" s="586"/>
      <c r="AT49" s="586"/>
      <c r="AU49" s="367"/>
      <c r="AV49" s="367"/>
      <c r="AX49" s="640"/>
      <c r="AY49" s="640"/>
      <c r="AZ49" s="640"/>
    </row>
    <row r="50" spans="2:63">
      <c r="B50" s="522" t="s">
        <v>917</v>
      </c>
      <c r="C50" s="364">
        <v>0</v>
      </c>
      <c r="D50" s="364">
        <v>0</v>
      </c>
      <c r="E50" s="364">
        <v>0</v>
      </c>
      <c r="F50" s="364">
        <v>1.8260000000000001</v>
      </c>
      <c r="G50" s="364">
        <v>3.2890000000000001</v>
      </c>
      <c r="H50" s="364">
        <v>3.2890000000000001</v>
      </c>
      <c r="I50" s="364">
        <v>3.2890000000000001</v>
      </c>
      <c r="J50" s="364">
        <v>3.2890000000000001</v>
      </c>
      <c r="K50" s="364">
        <v>1294.04</v>
      </c>
      <c r="L50" s="364">
        <v>2078.4279999999999</v>
      </c>
      <c r="M50" s="364">
        <v>4195.7</v>
      </c>
      <c r="N50" s="501">
        <v>4887.9260000000004</v>
      </c>
      <c r="O50" s="506">
        <v>2764.895</v>
      </c>
      <c r="P50" s="503">
        <v>4962.7709999999997</v>
      </c>
      <c r="Q50" s="503">
        <v>7489.9210000000003</v>
      </c>
      <c r="R50" s="504">
        <v>8421.6</v>
      </c>
      <c r="S50" s="504">
        <v>9915.7000000000007</v>
      </c>
      <c r="T50" s="503">
        <v>10275.278</v>
      </c>
      <c r="U50" s="503">
        <v>11979.595590000001</v>
      </c>
      <c r="V50" s="503">
        <v>9457.2357999999986</v>
      </c>
      <c r="W50" s="356">
        <v>7954.1894599999996</v>
      </c>
      <c r="X50" s="503">
        <v>8966.5059299999994</v>
      </c>
      <c r="Y50" s="503">
        <v>7818.0320000000002</v>
      </c>
      <c r="Z50" s="509">
        <v>8570.5159999999996</v>
      </c>
      <c r="AA50" s="499">
        <v>2764.895</v>
      </c>
      <c r="AB50" s="499">
        <v>12038.55</v>
      </c>
      <c r="AC50" s="499">
        <v>13131.021000000001</v>
      </c>
      <c r="AD50" s="499">
        <v>14033.035</v>
      </c>
      <c r="AE50" s="240">
        <v>10036.790000000001</v>
      </c>
      <c r="AF50" s="240">
        <v>8608.2999999999993</v>
      </c>
      <c r="AG50" s="272">
        <v>12141.831310000001</v>
      </c>
      <c r="AH50" s="366">
        <v>12141.831310000001</v>
      </c>
      <c r="AI50" s="240">
        <v>13319.721390000001</v>
      </c>
      <c r="AJ50" s="567">
        <v>13634.3</v>
      </c>
      <c r="AK50" s="240">
        <v>11424.3</v>
      </c>
      <c r="AL50" s="240">
        <v>7869</v>
      </c>
      <c r="AM50" s="363">
        <v>9351.9</v>
      </c>
      <c r="AN50" s="593">
        <v>7971.1689999999999</v>
      </c>
      <c r="AO50" s="593">
        <v>5404.0690000000004</v>
      </c>
      <c r="AP50" s="557">
        <v>6217.3919999999998</v>
      </c>
      <c r="AQ50" s="240">
        <v>5995</v>
      </c>
      <c r="AR50" s="599">
        <v>8259.1</v>
      </c>
      <c r="AS50" s="586">
        <v>9770.5059999999994</v>
      </c>
      <c r="AT50" s="586">
        <v>8017.9889999999996</v>
      </c>
      <c r="AU50" s="367">
        <v>8316.7999999999993</v>
      </c>
      <c r="AV50" s="367">
        <v>11324</v>
      </c>
      <c r="AW50" s="240">
        <v>9964.9</v>
      </c>
      <c r="AX50" s="640">
        <v>8973.9150000000009</v>
      </c>
      <c r="AY50" s="640">
        <v>8497.2000000000007</v>
      </c>
      <c r="AZ50" s="640">
        <v>8447.9110000000001</v>
      </c>
    </row>
    <row r="51" spans="2:63">
      <c r="B51" s="522"/>
      <c r="C51" s="364"/>
      <c r="D51" s="364"/>
      <c r="E51" s="364"/>
      <c r="F51" s="364"/>
      <c r="G51" s="364"/>
      <c r="H51" s="364"/>
      <c r="I51" s="364"/>
      <c r="J51" s="364"/>
      <c r="K51" s="364"/>
      <c r="L51" s="364"/>
      <c r="M51" s="364"/>
      <c r="N51" s="501"/>
      <c r="O51" s="506"/>
      <c r="P51" s="503"/>
      <c r="Q51" s="503"/>
      <c r="R51" s="504"/>
      <c r="S51" s="504"/>
      <c r="T51" s="356"/>
      <c r="U51" s="356"/>
      <c r="V51" s="356"/>
      <c r="W51" s="356"/>
      <c r="X51" s="356"/>
      <c r="Y51" s="356"/>
      <c r="Z51" s="507"/>
      <c r="AA51" s="499"/>
      <c r="AB51" s="499"/>
      <c r="AC51" s="499"/>
      <c r="AD51" s="499"/>
      <c r="AH51" s="366"/>
      <c r="AI51" s="240"/>
      <c r="AJ51" s="567"/>
      <c r="AM51" s="363"/>
      <c r="AN51" s="593"/>
      <c r="AO51" s="593"/>
      <c r="AP51" s="503"/>
      <c r="AR51" s="599"/>
      <c r="AS51" s="363"/>
      <c r="AT51" s="363"/>
      <c r="AU51" s="367"/>
      <c r="AV51" s="367"/>
      <c r="AX51" s="639"/>
      <c r="AY51" s="639"/>
      <c r="AZ51" s="639"/>
    </row>
    <row r="52" spans="2:63" s="360" customFormat="1">
      <c r="B52" s="523" t="s">
        <v>1153</v>
      </c>
      <c r="C52" s="365">
        <v>297625.57121488929</v>
      </c>
      <c r="D52" s="365">
        <v>383191.39279967669</v>
      </c>
      <c r="E52" s="365">
        <v>399843.1981317405</v>
      </c>
      <c r="F52" s="365">
        <v>495409.82548873301</v>
      </c>
      <c r="G52" s="365">
        <v>544913.72207873326</v>
      </c>
      <c r="H52" s="365">
        <v>711302.90849873319</v>
      </c>
      <c r="I52" s="365">
        <v>784882.49117873318</v>
      </c>
      <c r="J52" s="365">
        <v>862032.91029873304</v>
      </c>
      <c r="K52" s="365">
        <v>969497.31382873305</v>
      </c>
      <c r="L52" s="365">
        <v>991698.39368873311</v>
      </c>
      <c r="M52" s="365">
        <v>1210198.3422087331</v>
      </c>
      <c r="N52" s="502">
        <v>1381247.219068733</v>
      </c>
      <c r="O52" s="510">
        <f>SUM(O38:O50)</f>
        <v>54392.496875173303</v>
      </c>
      <c r="P52" s="505">
        <f t="shared" ref="P52:Z52" si="6">SUM(P38:P50)</f>
        <v>57202.621347571199</v>
      </c>
      <c r="Q52" s="505">
        <f t="shared" si="6"/>
        <v>98009.374807575659</v>
      </c>
      <c r="R52" s="505">
        <f t="shared" si="6"/>
        <v>145289.70000000001</v>
      </c>
      <c r="S52" s="505">
        <f t="shared" si="6"/>
        <v>162874.80000000002</v>
      </c>
      <c r="T52" s="505">
        <f t="shared" si="6"/>
        <v>173341.89296157798</v>
      </c>
      <c r="U52" s="505">
        <f t="shared" si="6"/>
        <v>171849.11970157796</v>
      </c>
      <c r="V52" s="505">
        <f t="shared" si="6"/>
        <v>130087.074281578</v>
      </c>
      <c r="W52" s="505">
        <f t="shared" si="6"/>
        <v>174018.79127157803</v>
      </c>
      <c r="X52" s="505">
        <f t="shared" si="6"/>
        <v>228190.53724157816</v>
      </c>
      <c r="Y52" s="505">
        <f t="shared" si="6"/>
        <v>265445.29265157809</v>
      </c>
      <c r="Z52" s="511">
        <f t="shared" si="6"/>
        <v>201937.27095157802</v>
      </c>
      <c r="AA52" s="498">
        <f t="shared" ref="AA52:AG52" si="7">SUM(AA38:AA50)</f>
        <v>224011.25194174118</v>
      </c>
      <c r="AB52" s="498">
        <f t="shared" si="7"/>
        <v>238907.99354599317</v>
      </c>
      <c r="AC52" s="498">
        <f t="shared" si="7"/>
        <v>258551.25213599761</v>
      </c>
      <c r="AD52" s="498">
        <f t="shared" si="7"/>
        <v>238763.08671999999</v>
      </c>
      <c r="AE52" s="498">
        <f t="shared" si="7"/>
        <v>270413.39083157794</v>
      </c>
      <c r="AF52" s="498">
        <f t="shared" si="7"/>
        <v>281646.09999999998</v>
      </c>
      <c r="AG52" s="575">
        <f t="shared" si="7"/>
        <v>259913.59395157793</v>
      </c>
      <c r="AH52" s="556">
        <f t="shared" ref="AH52:AZ52" si="8">SUM(AH38:AH50)</f>
        <v>259913.59395157793</v>
      </c>
      <c r="AI52" s="498">
        <f t="shared" si="8"/>
        <v>349644.75025157811</v>
      </c>
      <c r="AJ52" s="568">
        <f t="shared" si="8"/>
        <v>288916.5</v>
      </c>
      <c r="AK52" s="580">
        <f t="shared" si="8"/>
        <v>331299.49999999994</v>
      </c>
      <c r="AL52" s="580">
        <f t="shared" si="8"/>
        <v>302841.69999999995</v>
      </c>
      <c r="AM52" s="588">
        <f t="shared" si="8"/>
        <v>258426.40000000002</v>
      </c>
      <c r="AN52" s="588">
        <f t="shared" si="8"/>
        <v>295791.79237653961</v>
      </c>
      <c r="AO52" s="588">
        <f t="shared" si="8"/>
        <v>529767.47458599776</v>
      </c>
      <c r="AP52" s="588">
        <f t="shared" si="8"/>
        <v>473171.27301000006</v>
      </c>
      <c r="AQ52" s="588">
        <f t="shared" si="8"/>
        <v>523585.4</v>
      </c>
      <c r="AR52" s="599">
        <f t="shared" si="8"/>
        <v>388253.49999999994</v>
      </c>
      <c r="AS52" s="597">
        <f t="shared" si="8"/>
        <v>569545.15419157804</v>
      </c>
      <c r="AT52" s="597">
        <f t="shared" si="8"/>
        <v>445718.94265397807</v>
      </c>
      <c r="AU52" s="602">
        <f t="shared" si="8"/>
        <v>558832.70000000007</v>
      </c>
      <c r="AV52" s="602">
        <f t="shared" si="8"/>
        <v>482976.8</v>
      </c>
      <c r="AW52" s="602">
        <f t="shared" si="8"/>
        <v>670390.80000000005</v>
      </c>
      <c r="AX52" s="637">
        <f t="shared" si="8"/>
        <v>562248.79777157819</v>
      </c>
      <c r="AY52" s="637">
        <f t="shared" si="8"/>
        <v>584157.70009157795</v>
      </c>
      <c r="AZ52" s="637">
        <f t="shared" si="8"/>
        <v>566144.06650496146</v>
      </c>
    </row>
    <row r="53" spans="2:63" s="360" customFormat="1">
      <c r="B53" s="523"/>
      <c r="C53" s="365"/>
      <c r="D53" s="365"/>
      <c r="E53" s="365"/>
      <c r="F53" s="365"/>
      <c r="G53" s="365"/>
      <c r="H53" s="365"/>
      <c r="I53" s="365"/>
      <c r="J53" s="365"/>
      <c r="K53" s="365"/>
      <c r="L53" s="365"/>
      <c r="M53" s="365"/>
      <c r="N53" s="502"/>
      <c r="O53" s="510"/>
      <c r="P53" s="505"/>
      <c r="Q53" s="505"/>
      <c r="R53" s="505"/>
      <c r="S53" s="505"/>
      <c r="T53" s="505"/>
      <c r="U53" s="505"/>
      <c r="V53" s="505"/>
      <c r="W53" s="505"/>
      <c r="X53" s="505"/>
      <c r="Y53" s="505"/>
      <c r="Z53" s="511"/>
      <c r="AA53" s="498"/>
      <c r="AB53" s="498"/>
      <c r="AC53" s="498"/>
      <c r="AD53" s="498"/>
      <c r="AG53" s="578"/>
      <c r="AH53" s="557"/>
      <c r="AJ53" s="569"/>
      <c r="AK53" s="580"/>
      <c r="AL53" s="580"/>
      <c r="AM53" s="588"/>
      <c r="AN53" s="559"/>
      <c r="AO53" s="559"/>
      <c r="AP53" s="505"/>
      <c r="AR53" s="599"/>
      <c r="AS53" s="601"/>
      <c r="AT53" s="601"/>
      <c r="AU53" s="580"/>
      <c r="AV53" s="367"/>
      <c r="AX53" s="642"/>
      <c r="AY53" s="642"/>
      <c r="AZ53" s="642"/>
    </row>
    <row r="54" spans="2:63" s="360" customFormat="1" ht="16.2" thickBot="1">
      <c r="B54" s="523" t="s">
        <v>1154</v>
      </c>
      <c r="C54" s="365"/>
      <c r="D54" s="365"/>
      <c r="E54" s="365"/>
      <c r="F54" s="365"/>
      <c r="G54" s="365"/>
      <c r="H54" s="365"/>
      <c r="I54" s="365"/>
      <c r="J54" s="365"/>
      <c r="K54" s="365"/>
      <c r="L54" s="365"/>
      <c r="M54" s="510">
        <f>+M52+M36+M19</f>
        <v>3348031.2008574661</v>
      </c>
      <c r="N54" s="510">
        <f>+N52+N36+N19</f>
        <v>3708840.7481874661</v>
      </c>
      <c r="O54" s="510">
        <f>+O52+O36+O19</f>
        <v>1407816.5777930133</v>
      </c>
      <c r="P54" s="505">
        <f t="shared" ref="P54:Z54" si="9">+P52+P36+P19</f>
        <v>1546052.2185173298</v>
      </c>
      <c r="Q54" s="505">
        <f t="shared" si="9"/>
        <v>1689300.6540318877</v>
      </c>
      <c r="R54" s="505">
        <f t="shared" si="9"/>
        <v>1752273.0999999999</v>
      </c>
      <c r="S54" s="505">
        <f t="shared" si="9"/>
        <v>1832426.2000000002</v>
      </c>
      <c r="T54" s="505">
        <f t="shared" si="9"/>
        <v>1850575.1955988801</v>
      </c>
      <c r="U54" s="505">
        <f t="shared" si="9"/>
        <v>1917670.3839988797</v>
      </c>
      <c r="V54" s="505">
        <f t="shared" si="9"/>
        <v>2040170.76915888</v>
      </c>
      <c r="W54" s="505">
        <f t="shared" si="9"/>
        <v>2289513.0254988801</v>
      </c>
      <c r="X54" s="505">
        <f t="shared" si="9"/>
        <v>2151521.5055288803</v>
      </c>
      <c r="Y54" s="505">
        <f t="shared" si="9"/>
        <v>2296298.4426870644</v>
      </c>
      <c r="Z54" s="511">
        <f t="shared" si="9"/>
        <v>2327608.2661688803</v>
      </c>
      <c r="AA54" s="498">
        <f t="shared" ref="AA54:AG54" si="10">+AA52+AA36+AA19</f>
        <v>2361941.6192540904</v>
      </c>
      <c r="AB54" s="498">
        <f t="shared" si="10"/>
        <v>2458124.7435271824</v>
      </c>
      <c r="AC54" s="498">
        <f t="shared" si="10"/>
        <v>2578180.3797217403</v>
      </c>
      <c r="AD54" s="498">
        <f t="shared" si="10"/>
        <v>2601000.8478787332</v>
      </c>
      <c r="AE54" s="551">
        <f t="shared" si="10"/>
        <v>2733649.22130888</v>
      </c>
      <c r="AF54" s="551">
        <f t="shared" si="10"/>
        <v>2899723.4</v>
      </c>
      <c r="AG54" s="579">
        <f t="shared" si="10"/>
        <v>2952437.8115588799</v>
      </c>
      <c r="AH54" s="558">
        <f t="shared" ref="AH54:AZ54" si="11">+AH52+AH36+AH19</f>
        <v>2952437.8115588799</v>
      </c>
      <c r="AI54" s="551">
        <f t="shared" si="11"/>
        <v>3029291.0938988803</v>
      </c>
      <c r="AJ54" s="570">
        <f t="shared" si="11"/>
        <v>3053209.9</v>
      </c>
      <c r="AK54" s="551">
        <f t="shared" si="11"/>
        <v>3088576.1</v>
      </c>
      <c r="AL54" s="551">
        <f t="shared" si="11"/>
        <v>3100401.5</v>
      </c>
      <c r="AM54" s="589">
        <f t="shared" si="11"/>
        <v>3145024.4000000004</v>
      </c>
      <c r="AN54" s="589">
        <f t="shared" si="11"/>
        <v>3377567.729016298</v>
      </c>
      <c r="AO54" s="589">
        <f t="shared" si="11"/>
        <v>3438618.5246117404</v>
      </c>
      <c r="AP54" s="589">
        <f t="shared" si="11"/>
        <v>3453755.2482173024</v>
      </c>
      <c r="AQ54" s="589">
        <f t="shared" si="11"/>
        <v>3580185.3</v>
      </c>
      <c r="AR54" s="599">
        <f t="shared" si="11"/>
        <v>3590270.7</v>
      </c>
      <c r="AS54" s="597">
        <f>+AS52+AS36+AS19</f>
        <v>3697560.3799903113</v>
      </c>
      <c r="AT54" s="597">
        <f t="shared" si="11"/>
        <v>3589298.3316506725</v>
      </c>
      <c r="AU54" s="602">
        <f t="shared" si="11"/>
        <v>3728183.3</v>
      </c>
      <c r="AV54" s="602">
        <f t="shared" si="11"/>
        <v>3803963.9000000004</v>
      </c>
      <c r="AW54" s="602">
        <f t="shared" si="11"/>
        <v>3824656.8</v>
      </c>
      <c r="AX54" s="637">
        <f t="shared" si="11"/>
        <v>3886672.1280903113</v>
      </c>
      <c r="AY54" s="637">
        <f t="shared" si="11"/>
        <v>3808395.5000915779</v>
      </c>
      <c r="AZ54" s="637">
        <f t="shared" si="11"/>
        <v>3813616.9328847197</v>
      </c>
    </row>
    <row r="55" spans="2:63" ht="16.8" thickTop="1" thickBot="1">
      <c r="B55" s="524"/>
      <c r="C55" s="525"/>
      <c r="D55" s="525"/>
      <c r="E55" s="525"/>
      <c r="F55" s="525"/>
      <c r="G55" s="525"/>
      <c r="H55" s="525"/>
      <c r="I55" s="526"/>
      <c r="J55" s="526"/>
      <c r="K55" s="526"/>
      <c r="L55" s="526"/>
      <c r="M55" s="526"/>
      <c r="N55" s="527"/>
      <c r="O55" s="517"/>
      <c r="P55" s="518"/>
      <c r="Q55" s="518"/>
      <c r="R55" s="518"/>
      <c r="S55" s="518"/>
      <c r="T55" s="518"/>
      <c r="U55" s="518"/>
      <c r="V55" s="518"/>
      <c r="W55" s="518"/>
      <c r="X55" s="518"/>
      <c r="Y55" s="518"/>
      <c r="Z55" s="519"/>
      <c r="AA55" s="518"/>
      <c r="AB55" s="518"/>
      <c r="AC55" s="518"/>
      <c r="AD55" s="518"/>
      <c r="AU55" s="367"/>
      <c r="AX55" s="639"/>
      <c r="AY55" s="639"/>
      <c r="AZ55" s="639"/>
    </row>
    <row r="56" spans="2:63">
      <c r="Z56" s="366"/>
      <c r="AX56" s="639"/>
      <c r="AY56" s="639"/>
      <c r="AZ56" s="639"/>
    </row>
    <row r="62" spans="2:63">
      <c r="AZ62" s="240" t="s">
        <v>10</v>
      </c>
    </row>
    <row r="64" spans="2:63" ht="16.2" thickBot="1">
      <c r="AX64" s="654"/>
      <c r="AY64" s="654"/>
      <c r="AZ64" s="654">
        <v>83.1</v>
      </c>
      <c r="BA64" s="654"/>
      <c r="BB64" s="654"/>
      <c r="BC64" s="654"/>
      <c r="BD64" s="654"/>
      <c r="BE64" s="654"/>
      <c r="BF64" s="654"/>
      <c r="BG64" s="654"/>
      <c r="BH64" s="654"/>
      <c r="BI64" s="654"/>
      <c r="BJ64" s="654"/>
      <c r="BK64" s="654"/>
    </row>
    <row r="65" spans="50:63" ht="16.2" thickBot="1">
      <c r="AX65" s="655"/>
      <c r="AY65" s="656">
        <v>2012</v>
      </c>
      <c r="AZ65" s="656">
        <v>1855658.6</v>
      </c>
      <c r="BA65" s="670"/>
      <c r="BB65" s="670"/>
      <c r="BC65" s="670"/>
      <c r="BD65" s="670"/>
      <c r="BE65" s="670"/>
      <c r="BF65" s="670"/>
      <c r="BG65" s="670"/>
      <c r="BH65" s="670"/>
      <c r="BI65" s="671"/>
      <c r="BJ65" s="1830">
        <v>2013</v>
      </c>
      <c r="BK65" s="1832"/>
    </row>
    <row r="66" spans="50:63" ht="16.2" thickBot="1">
      <c r="AX66" s="657"/>
      <c r="AY66" s="658" t="s">
        <v>9</v>
      </c>
      <c r="AZ66" s="658">
        <v>70044.399999999994</v>
      </c>
      <c r="BA66" s="658" t="s">
        <v>11</v>
      </c>
      <c r="BB66" s="658" t="s">
        <v>337</v>
      </c>
      <c r="BC66" s="658" t="s">
        <v>346</v>
      </c>
      <c r="BD66" s="658" t="s">
        <v>347</v>
      </c>
      <c r="BE66" s="658" t="s">
        <v>12</v>
      </c>
      <c r="BF66" s="658" t="s">
        <v>13</v>
      </c>
      <c r="BG66" s="658" t="s">
        <v>14</v>
      </c>
      <c r="BH66" s="658" t="s">
        <v>15</v>
      </c>
      <c r="BI66" s="658" t="s">
        <v>16</v>
      </c>
      <c r="BJ66" s="658" t="s">
        <v>8</v>
      </c>
      <c r="BK66" s="658" t="s">
        <v>9</v>
      </c>
    </row>
    <row r="67" spans="50:63">
      <c r="AX67" s="659"/>
      <c r="AY67" s="660"/>
      <c r="AZ67" s="660">
        <v>1925786</v>
      </c>
      <c r="BA67" s="660"/>
      <c r="BB67" s="660"/>
      <c r="BC67" s="660"/>
      <c r="BD67" s="660"/>
      <c r="BE67" s="660"/>
      <c r="BF67" s="660"/>
      <c r="BG67" s="660"/>
      <c r="BH67" s="660"/>
      <c r="BI67" s="660"/>
      <c r="BJ67" s="660"/>
      <c r="BK67" s="660"/>
    </row>
    <row r="68" spans="50:63">
      <c r="AX68" s="659" t="s">
        <v>901</v>
      </c>
      <c r="AY68" s="651">
        <v>84.4</v>
      </c>
      <c r="AZ68" s="651"/>
      <c r="BA68" s="651">
        <v>82.9</v>
      </c>
      <c r="BB68" s="651">
        <v>78.599999999999994</v>
      </c>
      <c r="BC68" s="651">
        <v>79.7</v>
      </c>
      <c r="BD68" s="651">
        <v>80.099999999999994</v>
      </c>
      <c r="BE68" s="651">
        <v>80.900000000000006</v>
      </c>
      <c r="BF68" s="651">
        <v>82.1</v>
      </c>
      <c r="BG68" s="651">
        <v>80.7</v>
      </c>
      <c r="BH68" s="651">
        <v>79.599999999999994</v>
      </c>
      <c r="BI68" s="651">
        <v>80.8</v>
      </c>
      <c r="BJ68" s="651">
        <v>78.599999999999994</v>
      </c>
      <c r="BK68" s="651">
        <v>78.3</v>
      </c>
    </row>
    <row r="69" spans="50:63">
      <c r="AX69" s="659" t="s">
        <v>903</v>
      </c>
      <c r="AY69" s="650">
        <v>1892187.1</v>
      </c>
      <c r="AZ69" s="650">
        <v>154142.29999999999</v>
      </c>
      <c r="BA69" s="650">
        <v>1833486.4</v>
      </c>
      <c r="BB69" s="650">
        <v>1804232.7</v>
      </c>
      <c r="BC69" s="650">
        <v>1815912.3</v>
      </c>
      <c r="BD69" s="650">
        <v>1875149.3</v>
      </c>
      <c r="BE69" s="650">
        <v>1826752.4</v>
      </c>
      <c r="BF69" s="650">
        <v>1869138.7</v>
      </c>
      <c r="BG69" s="650">
        <v>1894495.7</v>
      </c>
      <c r="BH69" s="650">
        <v>1804260.4</v>
      </c>
      <c r="BI69" s="650">
        <v>1981218.7</v>
      </c>
      <c r="BJ69" s="650">
        <v>1924517.4</v>
      </c>
      <c r="BK69" s="650">
        <v>1875465.4</v>
      </c>
    </row>
    <row r="70" spans="50:63">
      <c r="AX70" s="659" t="s">
        <v>904</v>
      </c>
      <c r="AY70" s="650">
        <v>120552.4</v>
      </c>
      <c r="AZ70" s="650">
        <v>131003.7</v>
      </c>
      <c r="BA70" s="650">
        <v>89097.4</v>
      </c>
      <c r="BB70" s="650">
        <v>84715</v>
      </c>
      <c r="BC70" s="650">
        <v>136052.5</v>
      </c>
      <c r="BD70" s="650">
        <v>110779</v>
      </c>
      <c r="BE70" s="650">
        <v>106955.1</v>
      </c>
      <c r="BF70" s="650">
        <v>102471</v>
      </c>
      <c r="BG70" s="650">
        <v>112805.6</v>
      </c>
      <c r="BH70" s="650">
        <v>105260.2</v>
      </c>
      <c r="BI70" s="650">
        <v>108094.7</v>
      </c>
      <c r="BJ70" s="650">
        <v>106935.2</v>
      </c>
      <c r="BK70" s="650">
        <v>102797.7</v>
      </c>
    </row>
    <row r="71" spans="50:63">
      <c r="AX71" s="657" t="s">
        <v>1151</v>
      </c>
      <c r="AY71" s="661">
        <v>2012823.8</v>
      </c>
      <c r="AZ71" s="661">
        <v>48916.5</v>
      </c>
      <c r="BA71" s="653">
        <v>1922666.7</v>
      </c>
      <c r="BB71" s="653">
        <v>1889026.3</v>
      </c>
      <c r="BC71" s="653">
        <v>1952044.5</v>
      </c>
      <c r="BD71" s="653">
        <v>1986008.4</v>
      </c>
      <c r="BE71" s="653">
        <v>1933788.4</v>
      </c>
      <c r="BF71" s="653">
        <v>1971691.8</v>
      </c>
      <c r="BG71" s="653">
        <v>2017382</v>
      </c>
      <c r="BH71" s="653">
        <v>1909600.2</v>
      </c>
      <c r="BI71" s="653">
        <v>2089394.2</v>
      </c>
      <c r="BJ71" s="653">
        <v>2031531.2</v>
      </c>
      <c r="BK71" s="653">
        <v>1978341.3858599998</v>
      </c>
    </row>
    <row r="72" spans="50:63">
      <c r="AX72" s="659"/>
      <c r="AY72" s="651"/>
      <c r="AZ72" s="651">
        <v>471171.9</v>
      </c>
      <c r="BA72" s="651"/>
      <c r="BB72" s="651"/>
      <c r="BC72" s="651"/>
      <c r="BD72" s="651"/>
      <c r="BE72" s="651"/>
      <c r="BF72" s="651"/>
      <c r="BG72" s="651"/>
      <c r="BH72" s="651"/>
      <c r="BI72" s="651"/>
      <c r="BJ72" s="651"/>
      <c r="BK72" s="651"/>
    </row>
    <row r="73" spans="50:63">
      <c r="AX73" s="659" t="s">
        <v>1186</v>
      </c>
      <c r="AY73" s="650">
        <v>163972.9</v>
      </c>
      <c r="AZ73" s="650">
        <v>126730.8</v>
      </c>
      <c r="BA73" s="650">
        <v>167459.29999999999</v>
      </c>
      <c r="BB73" s="650">
        <v>161039.20000000001</v>
      </c>
      <c r="BC73" s="650">
        <v>160170.29999999999</v>
      </c>
      <c r="BD73" s="650">
        <v>162953</v>
      </c>
      <c r="BE73" s="650">
        <v>171279.3</v>
      </c>
      <c r="BF73" s="650">
        <v>189287.9</v>
      </c>
      <c r="BG73" s="650">
        <v>182029</v>
      </c>
      <c r="BH73" s="650">
        <v>288914</v>
      </c>
      <c r="BI73" s="650">
        <v>253471.9</v>
      </c>
      <c r="BJ73" s="650">
        <v>193007.6</v>
      </c>
      <c r="BK73" s="650">
        <v>192683.5</v>
      </c>
    </row>
    <row r="74" spans="50:63">
      <c r="AX74" s="659" t="s">
        <v>905</v>
      </c>
      <c r="AY74" s="650">
        <v>128590.7</v>
      </c>
      <c r="AZ74" s="650">
        <v>51100</v>
      </c>
      <c r="BA74" s="650">
        <v>133025.20000000001</v>
      </c>
      <c r="BB74" s="650">
        <v>156772</v>
      </c>
      <c r="BC74" s="650">
        <v>171972.6</v>
      </c>
      <c r="BD74" s="650">
        <v>168562.6</v>
      </c>
      <c r="BE74" s="650">
        <v>171825</v>
      </c>
      <c r="BF74" s="650">
        <v>176983.1</v>
      </c>
      <c r="BG74" s="650">
        <v>164699</v>
      </c>
      <c r="BH74" s="650">
        <v>163276.1</v>
      </c>
      <c r="BI74" s="650">
        <v>180152.6</v>
      </c>
      <c r="BJ74" s="650">
        <v>159093.70000000001</v>
      </c>
      <c r="BK74" s="650">
        <v>168605.4</v>
      </c>
    </row>
    <row r="75" spans="50:63">
      <c r="AX75" s="659" t="s">
        <v>906</v>
      </c>
      <c r="AY75" s="650">
        <v>49031.3</v>
      </c>
      <c r="AZ75" s="650">
        <v>983065.1</v>
      </c>
      <c r="BA75" s="650">
        <v>46057.1</v>
      </c>
      <c r="BB75" s="650">
        <v>49423.7</v>
      </c>
      <c r="BC75" s="650">
        <v>50001.8</v>
      </c>
      <c r="BD75" s="650">
        <v>51631.199999999997</v>
      </c>
      <c r="BE75" s="650">
        <v>51322.2</v>
      </c>
      <c r="BF75" s="650">
        <v>51747</v>
      </c>
      <c r="BG75" s="650">
        <v>50457</v>
      </c>
      <c r="BH75" s="650">
        <v>55822.7</v>
      </c>
      <c r="BI75" s="650">
        <v>54893.7</v>
      </c>
      <c r="BJ75" s="650">
        <v>55832.5</v>
      </c>
      <c r="BK75" s="650">
        <v>56274.2</v>
      </c>
    </row>
    <row r="76" spans="50:63">
      <c r="AX76" s="659" t="s">
        <v>907</v>
      </c>
      <c r="AY76" s="650">
        <v>568582.5</v>
      </c>
      <c r="AZ76" s="650"/>
      <c r="BA76" s="650">
        <v>522894.7</v>
      </c>
      <c r="BB76" s="650">
        <v>622619</v>
      </c>
      <c r="BC76" s="650">
        <v>706497.8</v>
      </c>
      <c r="BD76" s="650">
        <v>668743.80000000005</v>
      </c>
      <c r="BE76" s="650">
        <v>716241.3</v>
      </c>
      <c r="BF76" s="650">
        <v>648981.9</v>
      </c>
      <c r="BG76" s="650">
        <v>781995.1</v>
      </c>
      <c r="BH76" s="650">
        <v>593873.6</v>
      </c>
      <c r="BI76" s="650">
        <v>613008</v>
      </c>
      <c r="BJ76" s="650">
        <v>632215.69999999995</v>
      </c>
      <c r="BK76" s="650">
        <v>708500.6</v>
      </c>
    </row>
    <row r="77" spans="50:63">
      <c r="AX77" s="659" t="s">
        <v>908</v>
      </c>
      <c r="AY77" s="650">
        <v>77452</v>
      </c>
      <c r="AZ77" s="650">
        <v>314416.2</v>
      </c>
      <c r="BA77" s="650">
        <v>116172</v>
      </c>
      <c r="BB77" s="650">
        <v>100355.4</v>
      </c>
      <c r="BC77" s="650">
        <v>91241.5</v>
      </c>
      <c r="BD77" s="650">
        <v>36431.800000000003</v>
      </c>
      <c r="BE77" s="650">
        <v>39907.300000000003</v>
      </c>
      <c r="BF77" s="650">
        <v>60358.5</v>
      </c>
      <c r="BG77" s="650">
        <v>35887.599999999999</v>
      </c>
      <c r="BH77" s="650">
        <v>69265.100000000006</v>
      </c>
      <c r="BI77" s="650">
        <v>67930.5</v>
      </c>
      <c r="BJ77" s="650">
        <v>91671.2</v>
      </c>
      <c r="BK77" s="650">
        <v>65975.899999999994</v>
      </c>
    </row>
    <row r="78" spans="50:63">
      <c r="AX78" s="659" t="s">
        <v>910</v>
      </c>
      <c r="AY78" s="650">
        <v>81322.600000000006</v>
      </c>
      <c r="AZ78" s="650">
        <v>47602.1</v>
      </c>
      <c r="BA78" s="650">
        <v>72310</v>
      </c>
      <c r="BB78" s="650">
        <v>77364.399999999994</v>
      </c>
      <c r="BC78" s="650">
        <v>70088.7</v>
      </c>
      <c r="BD78" s="650">
        <v>53684.5</v>
      </c>
      <c r="BE78" s="662">
        <v>59216</v>
      </c>
      <c r="BF78" s="650">
        <v>70300.399999999994</v>
      </c>
      <c r="BG78" s="650">
        <v>98536.7</v>
      </c>
      <c r="BH78" s="650">
        <v>73514.3</v>
      </c>
      <c r="BI78" s="650">
        <v>65572.399999999994</v>
      </c>
      <c r="BJ78" s="650">
        <v>60885.9</v>
      </c>
      <c r="BK78" s="650">
        <v>77091.899999999994</v>
      </c>
    </row>
    <row r="79" spans="50:63">
      <c r="AX79" s="657" t="s">
        <v>1152</v>
      </c>
      <c r="AY79" s="661">
        <v>1068952.1000000001</v>
      </c>
      <c r="AZ79" s="661">
        <v>152203.5</v>
      </c>
      <c r="BA79" s="653">
        <v>1057917.3</v>
      </c>
      <c r="BB79" s="653">
        <v>1167573.8</v>
      </c>
      <c r="BC79" s="653">
        <v>1249972.7</v>
      </c>
      <c r="BD79" s="653">
        <v>1142006.8999999999</v>
      </c>
      <c r="BE79" s="663">
        <v>1209791</v>
      </c>
      <c r="BF79" s="653">
        <v>1197658.8</v>
      </c>
      <c r="BG79" s="653">
        <v>1313605.1000000001</v>
      </c>
      <c r="BH79" s="649" t="s">
        <v>1273</v>
      </c>
      <c r="BI79" s="653">
        <v>1235029.1000000001</v>
      </c>
      <c r="BJ79" s="653">
        <v>1192706.6000000001</v>
      </c>
      <c r="BK79" s="653">
        <v>1269131.4805197585</v>
      </c>
    </row>
    <row r="80" spans="50:63">
      <c r="AX80" s="659"/>
      <c r="AY80" s="651"/>
      <c r="AZ80" s="651">
        <v>0</v>
      </c>
      <c r="BA80" s="651"/>
      <c r="BB80" s="651"/>
      <c r="BC80" s="651"/>
      <c r="BD80" s="651"/>
      <c r="BE80" s="651"/>
      <c r="BF80" s="651"/>
      <c r="BG80" s="651"/>
      <c r="BH80" s="651"/>
      <c r="BI80" s="651"/>
      <c r="BJ80" s="651"/>
      <c r="BK80" s="651"/>
    </row>
    <row r="81" spans="50:73">
      <c r="AX81" s="659" t="s">
        <v>911</v>
      </c>
      <c r="AY81" s="650">
        <v>126660.5</v>
      </c>
      <c r="AZ81" s="650">
        <v>10141.6</v>
      </c>
      <c r="BA81" s="650">
        <v>289006.7</v>
      </c>
      <c r="BB81" s="650">
        <v>347816</v>
      </c>
      <c r="BC81" s="650">
        <v>228931.5</v>
      </c>
      <c r="BD81" s="650">
        <v>327819.8</v>
      </c>
      <c r="BE81" s="650">
        <v>192982.39999999999</v>
      </c>
      <c r="BF81" s="650">
        <v>311167.7</v>
      </c>
      <c r="BG81" s="650">
        <v>235566.9</v>
      </c>
      <c r="BH81" s="650">
        <v>424351.9</v>
      </c>
      <c r="BI81" s="650">
        <v>314380.7</v>
      </c>
      <c r="BJ81" s="650">
        <v>351356.6</v>
      </c>
      <c r="BK81" s="650">
        <v>297613.90000000002</v>
      </c>
    </row>
    <row r="82" spans="50:73">
      <c r="AX82" s="659" t="s">
        <v>912</v>
      </c>
      <c r="AY82" s="650">
        <v>35722.400000000001</v>
      </c>
      <c r="AZ82" s="650">
        <v>5404.1</v>
      </c>
      <c r="BA82" s="650">
        <v>41942.5</v>
      </c>
      <c r="BB82" s="650">
        <v>66248.399999999994</v>
      </c>
      <c r="BC82" s="650">
        <v>31257.599999999999</v>
      </c>
      <c r="BD82" s="650">
        <v>65758</v>
      </c>
      <c r="BE82" s="650">
        <v>64463.7</v>
      </c>
      <c r="BF82" s="650">
        <v>56445.3</v>
      </c>
      <c r="BG82" s="651" t="s">
        <v>1274</v>
      </c>
      <c r="BH82" s="650">
        <v>46439.3</v>
      </c>
      <c r="BI82" s="650">
        <v>44191.4</v>
      </c>
      <c r="BJ82" s="650">
        <v>21339</v>
      </c>
      <c r="BK82" s="650">
        <v>55714</v>
      </c>
    </row>
    <row r="83" spans="50:73">
      <c r="AX83" s="659" t="s">
        <v>914</v>
      </c>
      <c r="AY83" s="650">
        <v>115296.2</v>
      </c>
      <c r="AZ83" s="650">
        <v>529767.5</v>
      </c>
      <c r="BA83" s="650">
        <v>125863.2</v>
      </c>
      <c r="BB83" s="650">
        <v>93384.4</v>
      </c>
      <c r="BC83" s="650">
        <v>109663.7</v>
      </c>
      <c r="BD83" s="650">
        <v>156055.20000000001</v>
      </c>
      <c r="BE83" s="650">
        <v>170113.2</v>
      </c>
      <c r="BF83" s="650">
        <v>172761.3</v>
      </c>
      <c r="BG83" s="650">
        <v>165382.5</v>
      </c>
      <c r="BH83" s="650">
        <v>179493.1</v>
      </c>
      <c r="BI83" s="650">
        <v>184561.2</v>
      </c>
      <c r="BJ83" s="650">
        <v>192823.3</v>
      </c>
      <c r="BK83" s="650">
        <v>194226.7</v>
      </c>
    </row>
    <row r="84" spans="50:73">
      <c r="AX84" s="659" t="s">
        <v>915</v>
      </c>
      <c r="AY84" s="651">
        <v>0</v>
      </c>
      <c r="AZ84" s="651">
        <v>3438618.5</v>
      </c>
      <c r="BA84" s="651">
        <v>0</v>
      </c>
      <c r="BB84" s="651">
        <v>0</v>
      </c>
      <c r="BC84" s="651">
        <v>0</v>
      </c>
      <c r="BD84" s="651">
        <v>0</v>
      </c>
      <c r="BE84" s="651">
        <v>0</v>
      </c>
      <c r="BF84" s="651"/>
      <c r="BG84" s="651"/>
      <c r="BH84" s="651"/>
      <c r="BI84" s="651"/>
      <c r="BJ84" s="651"/>
      <c r="BK84" s="651"/>
    </row>
    <row r="85" spans="50:73">
      <c r="AX85" s="659" t="s">
        <v>916</v>
      </c>
      <c r="AY85" s="650">
        <v>10141.6</v>
      </c>
      <c r="AZ85" s="650"/>
      <c r="BA85" s="650">
        <v>10141.6</v>
      </c>
      <c r="BB85" s="650">
        <v>10141.6</v>
      </c>
      <c r="BC85" s="650">
        <v>10141.6</v>
      </c>
      <c r="BD85" s="650">
        <v>10141.6</v>
      </c>
      <c r="BE85" s="650">
        <v>10141.6</v>
      </c>
      <c r="BF85" s="650">
        <v>10141.6</v>
      </c>
      <c r="BG85" s="650">
        <v>10141.6</v>
      </c>
      <c r="BH85" s="650">
        <v>10141.6</v>
      </c>
      <c r="BI85" s="650">
        <v>10141.6</v>
      </c>
      <c r="BJ85" s="650">
        <v>10141.6</v>
      </c>
      <c r="BK85" s="650">
        <v>10141.6</v>
      </c>
    </row>
    <row r="86" spans="50:73">
      <c r="AX86" s="659" t="s">
        <v>917</v>
      </c>
      <c r="AY86" s="650">
        <v>7971.2</v>
      </c>
      <c r="AZ86" s="650"/>
      <c r="BA86" s="650">
        <v>6217.4</v>
      </c>
      <c r="BB86" s="650">
        <v>5995</v>
      </c>
      <c r="BC86" s="650">
        <v>8259.1</v>
      </c>
      <c r="BD86" s="650">
        <v>9770.5</v>
      </c>
      <c r="BE86" s="662">
        <v>8018</v>
      </c>
      <c r="BF86" s="650">
        <v>8316.7999999999993</v>
      </c>
      <c r="BG86" s="650">
        <v>11324</v>
      </c>
      <c r="BH86" s="650">
        <v>9964.9</v>
      </c>
      <c r="BI86" s="650">
        <v>8973.9</v>
      </c>
      <c r="BJ86" s="650">
        <v>8497.2000000000007</v>
      </c>
      <c r="BK86" s="650">
        <v>8447.9</v>
      </c>
    </row>
    <row r="87" spans="50:73">
      <c r="AX87" s="657" t="s">
        <v>1153</v>
      </c>
      <c r="AY87" s="653">
        <v>295791.8</v>
      </c>
      <c r="AZ87" s="653"/>
      <c r="BA87" s="653">
        <v>473171.3</v>
      </c>
      <c r="BB87" s="649" t="s">
        <v>1275</v>
      </c>
      <c r="BC87" s="653">
        <v>388253.5</v>
      </c>
      <c r="BD87" s="653">
        <v>569545.1</v>
      </c>
      <c r="BE87" s="653">
        <v>445718.9</v>
      </c>
      <c r="BF87" s="653">
        <v>558832.69999999995</v>
      </c>
      <c r="BG87" s="653">
        <v>482976.8</v>
      </c>
      <c r="BH87" s="653">
        <v>670390.80000000005</v>
      </c>
      <c r="BI87" s="664">
        <v>562248.80000000005</v>
      </c>
      <c r="BJ87" s="664">
        <v>584157.69999999995</v>
      </c>
      <c r="BK87" s="664">
        <v>566144.06650496146</v>
      </c>
    </row>
    <row r="88" spans="50:73">
      <c r="AX88" s="657" t="s">
        <v>1154</v>
      </c>
      <c r="AY88" s="649" t="s">
        <v>1276</v>
      </c>
      <c r="AZ88" s="649"/>
      <c r="BA88" s="653">
        <v>3453755.3</v>
      </c>
      <c r="BB88" s="653">
        <v>3580185.4</v>
      </c>
      <c r="BC88" s="653">
        <v>3590270.7</v>
      </c>
      <c r="BD88" s="653">
        <v>3697560.4</v>
      </c>
      <c r="BE88" s="653">
        <v>3589298.3</v>
      </c>
      <c r="BF88" s="653">
        <v>3728183.4</v>
      </c>
      <c r="BG88" s="653">
        <v>3813963.8</v>
      </c>
      <c r="BH88" s="653">
        <v>3824656.8</v>
      </c>
      <c r="BI88" s="664">
        <v>3886672.1</v>
      </c>
      <c r="BJ88" s="664">
        <v>3808395.5</v>
      </c>
      <c r="BK88" s="664">
        <v>3808395.5</v>
      </c>
    </row>
    <row r="89" spans="50:73" ht="16.2" thickBot="1">
      <c r="AX89" s="665"/>
      <c r="AY89" s="652"/>
      <c r="AZ89" s="652"/>
      <c r="BA89" s="666"/>
      <c r="BB89" s="666"/>
      <c r="BC89" s="666"/>
      <c r="BD89" s="666"/>
      <c r="BE89" s="666"/>
      <c r="BF89" s="666"/>
      <c r="BG89" s="666"/>
      <c r="BH89" s="666"/>
      <c r="BI89" s="666"/>
      <c r="BJ89" s="666"/>
      <c r="BK89" s="666"/>
    </row>
    <row r="90" spans="50:73">
      <c r="AX90" s="667"/>
      <c r="AY90" s="668"/>
      <c r="AZ90" s="668"/>
      <c r="BA90" s="669"/>
      <c r="BB90" s="669"/>
      <c r="BC90" s="669"/>
      <c r="BD90" s="669"/>
      <c r="BE90" s="669"/>
      <c r="BF90" s="669"/>
      <c r="BG90" s="669"/>
      <c r="BH90" s="669"/>
      <c r="BI90" s="669"/>
      <c r="BJ90" s="669"/>
      <c r="BK90" s="669"/>
    </row>
    <row r="95" spans="50:73" ht="16.2" thickBot="1">
      <c r="BH95" s="654"/>
      <c r="BI95" s="654"/>
      <c r="BJ95" s="654"/>
      <c r="BK95" s="654"/>
      <c r="BL95" s="654"/>
      <c r="BM95" s="654"/>
      <c r="BN95" s="654"/>
      <c r="BO95" s="654"/>
      <c r="BP95" s="654"/>
      <c r="BQ95" s="654"/>
      <c r="BR95" s="654"/>
      <c r="BS95" s="654"/>
      <c r="BT95" s="654"/>
      <c r="BU95" s="654"/>
    </row>
    <row r="96" spans="50:73" ht="16.2" thickBot="1">
      <c r="BH96" s="655"/>
      <c r="BI96" s="1830">
        <v>2012</v>
      </c>
      <c r="BJ96" s="1831"/>
      <c r="BK96" s="1831"/>
      <c r="BL96" s="1831"/>
      <c r="BM96" s="1831"/>
      <c r="BN96" s="1831"/>
      <c r="BO96" s="1831"/>
      <c r="BP96" s="1831"/>
      <c r="BQ96" s="1831"/>
      <c r="BR96" s="1831"/>
      <c r="BS96" s="1832"/>
      <c r="BT96" s="1833">
        <v>2013</v>
      </c>
      <c r="BU96" s="1834"/>
    </row>
    <row r="97" spans="60:73" ht="16.2" thickBot="1">
      <c r="BH97" s="657"/>
      <c r="BI97" s="658" t="s">
        <v>9</v>
      </c>
      <c r="BJ97" s="658" t="s">
        <v>10</v>
      </c>
      <c r="BK97" s="658" t="s">
        <v>11</v>
      </c>
      <c r="BL97" s="658" t="s">
        <v>337</v>
      </c>
      <c r="BM97" s="658" t="s">
        <v>346</v>
      </c>
      <c r="BN97" s="658" t="s">
        <v>347</v>
      </c>
      <c r="BO97" s="658" t="s">
        <v>12</v>
      </c>
      <c r="BP97" s="658" t="s">
        <v>13</v>
      </c>
      <c r="BQ97" s="658" t="s">
        <v>14</v>
      </c>
      <c r="BR97" s="658" t="s">
        <v>15</v>
      </c>
      <c r="BS97" s="658" t="s">
        <v>16</v>
      </c>
      <c r="BT97" s="658" t="s">
        <v>8</v>
      </c>
      <c r="BU97" s="658" t="s">
        <v>9</v>
      </c>
    </row>
    <row r="98" spans="60:73">
      <c r="BH98" s="659"/>
      <c r="BI98" s="660"/>
      <c r="BJ98" s="660"/>
      <c r="BK98" s="660"/>
      <c r="BL98" s="660"/>
      <c r="BM98" s="660"/>
      <c r="BN98" s="660"/>
      <c r="BO98" s="660"/>
      <c r="BP98" s="660"/>
      <c r="BQ98" s="660"/>
      <c r="BR98" s="660"/>
      <c r="BS98" s="660"/>
      <c r="BT98" s="660"/>
      <c r="BU98" s="660"/>
    </row>
    <row r="99" spans="60:73">
      <c r="BH99" s="659" t="s">
        <v>901</v>
      </c>
      <c r="BI99" s="651">
        <v>84.4</v>
      </c>
      <c r="BJ99" s="651">
        <v>83.1</v>
      </c>
      <c r="BK99" s="651">
        <v>82.9</v>
      </c>
      <c r="BL99" s="651">
        <v>78.599999999999994</v>
      </c>
      <c r="BM99" s="651">
        <v>79.7</v>
      </c>
      <c r="BN99" s="651">
        <v>80.099999999999994</v>
      </c>
      <c r="BO99" s="651">
        <v>80.900000000000006</v>
      </c>
      <c r="BP99" s="651">
        <v>82.1</v>
      </c>
      <c r="BQ99" s="651">
        <v>80.7</v>
      </c>
      <c r="BR99" s="651">
        <v>79.599999999999994</v>
      </c>
      <c r="BS99" s="651">
        <v>80.8</v>
      </c>
      <c r="BT99" s="651">
        <v>78.599999999999994</v>
      </c>
      <c r="BU99" s="651">
        <v>78.3</v>
      </c>
    </row>
    <row r="100" spans="60:73">
      <c r="BH100" s="659" t="s">
        <v>903</v>
      </c>
      <c r="BI100" s="650">
        <v>1892187.1</v>
      </c>
      <c r="BJ100" s="650">
        <v>1855658.6</v>
      </c>
      <c r="BK100" s="650">
        <v>1833486.4</v>
      </c>
      <c r="BL100" s="650">
        <v>1804232.7</v>
      </c>
      <c r="BM100" s="650">
        <v>1815912.3</v>
      </c>
      <c r="BN100" s="650">
        <v>1875149.3</v>
      </c>
      <c r="BO100" s="650">
        <v>1826752.4</v>
      </c>
      <c r="BP100" s="650">
        <v>1869138.7</v>
      </c>
      <c r="BQ100" s="650">
        <v>1894495.7</v>
      </c>
      <c r="BR100" s="650">
        <v>1804260.4</v>
      </c>
      <c r="BS100" s="650">
        <v>1981218.7</v>
      </c>
      <c r="BT100" s="650">
        <v>1924517.4</v>
      </c>
      <c r="BU100" s="650">
        <v>1875465.4</v>
      </c>
    </row>
    <row r="101" spans="60:73">
      <c r="BH101" s="659" t="s">
        <v>904</v>
      </c>
      <c r="BI101" s="650">
        <v>120552.4</v>
      </c>
      <c r="BJ101" s="650">
        <v>70044.399999999994</v>
      </c>
      <c r="BK101" s="650">
        <v>89097.4</v>
      </c>
      <c r="BL101" s="650">
        <v>84715</v>
      </c>
      <c r="BM101" s="650">
        <v>136052.5</v>
      </c>
      <c r="BN101" s="650">
        <v>110779</v>
      </c>
      <c r="BO101" s="650">
        <v>106955.1</v>
      </c>
      <c r="BP101" s="650">
        <v>102471</v>
      </c>
      <c r="BQ101" s="650">
        <v>112805.6</v>
      </c>
      <c r="BR101" s="650">
        <v>105260.2</v>
      </c>
      <c r="BS101" s="650">
        <v>108094.7</v>
      </c>
      <c r="BT101" s="650">
        <v>106935.2</v>
      </c>
      <c r="BU101" s="650">
        <v>102797.7</v>
      </c>
    </row>
    <row r="102" spans="60:73">
      <c r="BH102" s="657" t="s">
        <v>1151</v>
      </c>
      <c r="BI102" s="653">
        <v>2012823.8</v>
      </c>
      <c r="BJ102" s="653">
        <v>1925786</v>
      </c>
      <c r="BK102" s="653">
        <v>1922666.7</v>
      </c>
      <c r="BL102" s="653">
        <v>1889026.3</v>
      </c>
      <c r="BM102" s="653">
        <v>1952044.5</v>
      </c>
      <c r="BN102" s="653">
        <v>1986008.4</v>
      </c>
      <c r="BO102" s="653">
        <v>1933788.4</v>
      </c>
      <c r="BP102" s="653">
        <v>1971691.8</v>
      </c>
      <c r="BQ102" s="653">
        <v>2017382</v>
      </c>
      <c r="BR102" s="653">
        <v>1909600.2</v>
      </c>
      <c r="BS102" s="653">
        <v>2089394.2</v>
      </c>
      <c r="BT102" s="653">
        <v>2031531.2</v>
      </c>
      <c r="BU102" s="653">
        <v>1978341.39</v>
      </c>
    </row>
    <row r="103" spans="60:73">
      <c r="BH103" s="659"/>
      <c r="BI103" s="651"/>
      <c r="BJ103" s="651"/>
      <c r="BK103" s="651"/>
      <c r="BL103" s="651"/>
      <c r="BM103" s="651"/>
      <c r="BN103" s="651"/>
      <c r="BO103" s="651"/>
      <c r="BP103" s="651"/>
      <c r="BQ103" s="651"/>
      <c r="BR103" s="651"/>
      <c r="BS103" s="651"/>
      <c r="BT103" s="651"/>
      <c r="BU103" s="651"/>
    </row>
    <row r="104" spans="60:73">
      <c r="BH104" s="659" t="s">
        <v>1186</v>
      </c>
      <c r="BI104" s="650">
        <v>163972.9</v>
      </c>
      <c r="BJ104" s="650">
        <v>154142.29999999999</v>
      </c>
      <c r="BK104" s="650">
        <v>167459.29999999999</v>
      </c>
      <c r="BL104" s="650">
        <v>161039.20000000001</v>
      </c>
      <c r="BM104" s="650">
        <v>160170.29999999999</v>
      </c>
      <c r="BN104" s="650">
        <v>162953</v>
      </c>
      <c r="BO104" s="650">
        <v>171279.3</v>
      </c>
      <c r="BP104" s="650">
        <v>189287.9</v>
      </c>
      <c r="BQ104" s="650">
        <v>182029</v>
      </c>
      <c r="BR104" s="650">
        <v>288914</v>
      </c>
      <c r="BS104" s="650">
        <v>253471.9</v>
      </c>
      <c r="BT104" s="650">
        <v>193007.6</v>
      </c>
      <c r="BU104" s="650">
        <v>192683.5</v>
      </c>
    </row>
    <row r="105" spans="60:73">
      <c r="BH105" s="659" t="s">
        <v>905</v>
      </c>
      <c r="BI105" s="650">
        <v>128590.7</v>
      </c>
      <c r="BJ105" s="650">
        <v>131003.7</v>
      </c>
      <c r="BK105" s="650">
        <v>133025.20000000001</v>
      </c>
      <c r="BL105" s="650">
        <v>156772</v>
      </c>
      <c r="BM105" s="650">
        <v>171972.6</v>
      </c>
      <c r="BN105" s="650">
        <v>168562.6</v>
      </c>
      <c r="BO105" s="650">
        <v>171825</v>
      </c>
      <c r="BP105" s="650">
        <v>176983.1</v>
      </c>
      <c r="BQ105" s="650">
        <v>164699</v>
      </c>
      <c r="BR105" s="650">
        <v>163276.1</v>
      </c>
      <c r="BS105" s="650">
        <v>180152.6</v>
      </c>
      <c r="BT105" s="650">
        <v>159093.70000000001</v>
      </c>
      <c r="BU105" s="650">
        <v>168605.4</v>
      </c>
    </row>
    <row r="106" spans="60:73">
      <c r="BH106" s="659" t="s">
        <v>906</v>
      </c>
      <c r="BI106" s="650">
        <v>49031.3</v>
      </c>
      <c r="BJ106" s="650">
        <v>48916.5</v>
      </c>
      <c r="BK106" s="650">
        <v>46057.1</v>
      </c>
      <c r="BL106" s="650">
        <v>49423.7</v>
      </c>
      <c r="BM106" s="650">
        <v>50001.8</v>
      </c>
      <c r="BN106" s="650">
        <v>51631.199999999997</v>
      </c>
      <c r="BO106" s="650">
        <v>51322.2</v>
      </c>
      <c r="BP106" s="650">
        <v>51747</v>
      </c>
      <c r="BQ106" s="650">
        <v>50457</v>
      </c>
      <c r="BR106" s="650">
        <v>55822.7</v>
      </c>
      <c r="BS106" s="650">
        <v>54893.7</v>
      </c>
      <c r="BT106" s="650">
        <v>55832.5</v>
      </c>
      <c r="BU106" s="650">
        <v>56274.2</v>
      </c>
    </row>
    <row r="107" spans="60:73">
      <c r="BH107" s="659" t="s">
        <v>907</v>
      </c>
      <c r="BI107" s="650">
        <v>568582.5</v>
      </c>
      <c r="BJ107" s="650">
        <v>471171.9</v>
      </c>
      <c r="BK107" s="650">
        <v>522894.7</v>
      </c>
      <c r="BL107" s="650">
        <v>622619</v>
      </c>
      <c r="BM107" s="650">
        <v>706497.8</v>
      </c>
      <c r="BN107" s="650">
        <v>668743.80000000005</v>
      </c>
      <c r="BO107" s="650">
        <v>716241.3</v>
      </c>
      <c r="BP107" s="650">
        <v>648981.9</v>
      </c>
      <c r="BQ107" s="650">
        <v>781995.1</v>
      </c>
      <c r="BR107" s="650">
        <v>593873.6</v>
      </c>
      <c r="BS107" s="650">
        <v>613008</v>
      </c>
      <c r="BT107" s="650">
        <v>632215.69999999995</v>
      </c>
      <c r="BU107" s="650">
        <v>708500.6</v>
      </c>
    </row>
    <row r="108" spans="60:73">
      <c r="BH108" s="659" t="s">
        <v>908</v>
      </c>
      <c r="BI108" s="650">
        <v>77452</v>
      </c>
      <c r="BJ108" s="650">
        <v>126730.8</v>
      </c>
      <c r="BK108" s="650">
        <v>116172</v>
      </c>
      <c r="BL108" s="650">
        <v>100355.4</v>
      </c>
      <c r="BM108" s="650">
        <v>91241.5</v>
      </c>
      <c r="BN108" s="650">
        <v>36431.800000000003</v>
      </c>
      <c r="BO108" s="650">
        <v>39907.300000000003</v>
      </c>
      <c r="BP108" s="650">
        <v>60358.5</v>
      </c>
      <c r="BQ108" s="650">
        <v>35887.599999999999</v>
      </c>
      <c r="BR108" s="650">
        <v>69265.100000000006</v>
      </c>
      <c r="BS108" s="650">
        <v>67930.5</v>
      </c>
      <c r="BT108" s="650">
        <v>91671.2</v>
      </c>
      <c r="BU108" s="650">
        <v>65975.899999999994</v>
      </c>
    </row>
    <row r="109" spans="60:73">
      <c r="BH109" s="659" t="s">
        <v>910</v>
      </c>
      <c r="BI109" s="650">
        <v>81322.600000000006</v>
      </c>
      <c r="BJ109" s="650">
        <v>51100</v>
      </c>
      <c r="BK109" s="650">
        <v>72310</v>
      </c>
      <c r="BL109" s="650">
        <v>77364.399999999994</v>
      </c>
      <c r="BM109" s="650">
        <v>70088.7</v>
      </c>
      <c r="BN109" s="650">
        <v>53684.5</v>
      </c>
      <c r="BO109" s="662">
        <v>59216</v>
      </c>
      <c r="BP109" s="650">
        <v>70300.399999999994</v>
      </c>
      <c r="BQ109" s="650">
        <v>98536.7</v>
      </c>
      <c r="BR109" s="650">
        <v>73514.3</v>
      </c>
      <c r="BS109" s="650">
        <v>65572.399999999994</v>
      </c>
      <c r="BT109" s="650">
        <v>60885.9</v>
      </c>
      <c r="BU109" s="650">
        <v>77091.899999999994</v>
      </c>
    </row>
    <row r="110" spans="60:73">
      <c r="BH110" s="657" t="s">
        <v>1152</v>
      </c>
      <c r="BI110" s="653">
        <v>1068952.1000000001</v>
      </c>
      <c r="BJ110" s="653">
        <v>983065.1</v>
      </c>
      <c r="BK110" s="653">
        <v>1057917.3</v>
      </c>
      <c r="BL110" s="653">
        <v>1167573.8</v>
      </c>
      <c r="BM110" s="653">
        <v>1249972.7</v>
      </c>
      <c r="BN110" s="653">
        <v>1142006.8999999999</v>
      </c>
      <c r="BO110" s="663">
        <v>1209791</v>
      </c>
      <c r="BP110" s="653">
        <v>1197658.8</v>
      </c>
      <c r="BQ110" s="653">
        <v>1313605.1000000001</v>
      </c>
      <c r="BR110" s="649" t="s">
        <v>1273</v>
      </c>
      <c r="BS110" s="653">
        <v>1235029.1000000001</v>
      </c>
      <c r="BT110" s="653">
        <v>1192706.6000000001</v>
      </c>
      <c r="BU110" s="653">
        <v>1269131.48</v>
      </c>
    </row>
    <row r="111" spans="60:73">
      <c r="BH111" s="659"/>
      <c r="BI111" s="651"/>
      <c r="BJ111" s="651"/>
      <c r="BK111" s="651"/>
      <c r="BL111" s="651"/>
      <c r="BM111" s="651"/>
      <c r="BN111" s="651"/>
      <c r="BO111" s="651"/>
      <c r="BP111" s="651"/>
      <c r="BQ111" s="651"/>
      <c r="BR111" s="651"/>
      <c r="BS111" s="651"/>
      <c r="BT111" s="651"/>
      <c r="BU111" s="651"/>
    </row>
    <row r="112" spans="60:73">
      <c r="BH112" s="659" t="s">
        <v>911</v>
      </c>
      <c r="BI112" s="650">
        <v>126660.5</v>
      </c>
      <c r="BJ112" s="650">
        <v>314416.2</v>
      </c>
      <c r="BK112" s="650">
        <v>289006.7</v>
      </c>
      <c r="BL112" s="650">
        <v>347816</v>
      </c>
      <c r="BM112" s="650">
        <v>228931.5</v>
      </c>
      <c r="BN112" s="650">
        <v>327819.8</v>
      </c>
      <c r="BO112" s="650">
        <v>192982.39999999999</v>
      </c>
      <c r="BP112" s="650">
        <v>311167.7</v>
      </c>
      <c r="BQ112" s="650">
        <v>235566.9</v>
      </c>
      <c r="BR112" s="650">
        <v>424351.9</v>
      </c>
      <c r="BS112" s="650">
        <v>314380.7</v>
      </c>
      <c r="BT112" s="650">
        <v>351356.6</v>
      </c>
      <c r="BU112" s="650">
        <v>297613.90000000002</v>
      </c>
    </row>
    <row r="113" spans="60:73">
      <c r="BH113" s="659" t="s">
        <v>912</v>
      </c>
      <c r="BI113" s="650">
        <v>35722.400000000001</v>
      </c>
      <c r="BJ113" s="650">
        <v>47602.1</v>
      </c>
      <c r="BK113" s="650">
        <v>41942.5</v>
      </c>
      <c r="BL113" s="650">
        <v>66248.399999999994</v>
      </c>
      <c r="BM113" s="650">
        <v>31257.599999999999</v>
      </c>
      <c r="BN113" s="650">
        <v>65758</v>
      </c>
      <c r="BO113" s="650">
        <v>64463.7</v>
      </c>
      <c r="BP113" s="650">
        <v>56445.3</v>
      </c>
      <c r="BQ113" s="651" t="s">
        <v>1274</v>
      </c>
      <c r="BR113" s="650">
        <v>46439.3</v>
      </c>
      <c r="BS113" s="650">
        <v>44191.4</v>
      </c>
      <c r="BT113" s="650">
        <v>21339</v>
      </c>
      <c r="BU113" s="650">
        <v>55714</v>
      </c>
    </row>
    <row r="114" spans="60:73">
      <c r="BH114" s="659" t="s">
        <v>914</v>
      </c>
      <c r="BI114" s="650">
        <v>115296.2</v>
      </c>
      <c r="BJ114" s="650">
        <v>152203.5</v>
      </c>
      <c r="BK114" s="650">
        <v>125863.2</v>
      </c>
      <c r="BL114" s="650">
        <v>93384.4</v>
      </c>
      <c r="BM114" s="650">
        <v>109663.7</v>
      </c>
      <c r="BN114" s="650">
        <v>156055.20000000001</v>
      </c>
      <c r="BO114" s="650">
        <v>170113.2</v>
      </c>
      <c r="BP114" s="650">
        <v>172761.3</v>
      </c>
      <c r="BQ114" s="650">
        <v>165382.5</v>
      </c>
      <c r="BR114" s="650">
        <v>179493.1</v>
      </c>
      <c r="BS114" s="650">
        <v>184561.2</v>
      </c>
      <c r="BT114" s="650">
        <v>192823.3</v>
      </c>
      <c r="BU114" s="650">
        <v>194226.7</v>
      </c>
    </row>
    <row r="115" spans="60:73">
      <c r="BH115" s="659" t="s">
        <v>915</v>
      </c>
      <c r="BI115" s="651">
        <v>0</v>
      </c>
      <c r="BJ115" s="659">
        <v>0</v>
      </c>
      <c r="BK115" s="651">
        <v>0</v>
      </c>
      <c r="BL115" s="651">
        <v>0</v>
      </c>
      <c r="BM115" s="651">
        <v>0</v>
      </c>
      <c r="BN115" s="651">
        <v>0</v>
      </c>
      <c r="BO115" s="651">
        <v>0</v>
      </c>
      <c r="BP115" s="651"/>
      <c r="BQ115" s="651"/>
      <c r="BR115" s="651"/>
      <c r="BS115" s="651"/>
      <c r="BT115" s="651"/>
      <c r="BU115" s="651"/>
    </row>
    <row r="116" spans="60:73">
      <c r="BH116" s="659" t="s">
        <v>916</v>
      </c>
      <c r="BI116" s="650">
        <v>10141.6</v>
      </c>
      <c r="BJ116" s="650">
        <v>10141.6</v>
      </c>
      <c r="BK116" s="650">
        <v>10141.6</v>
      </c>
      <c r="BL116" s="650">
        <v>10141.6</v>
      </c>
      <c r="BM116" s="650">
        <v>10141.6</v>
      </c>
      <c r="BN116" s="650">
        <v>10141.6</v>
      </c>
      <c r="BO116" s="650">
        <v>10141.6</v>
      </c>
      <c r="BP116" s="650">
        <v>10141.6</v>
      </c>
      <c r="BQ116" s="650">
        <v>10141.6</v>
      </c>
      <c r="BR116" s="650">
        <v>10141.6</v>
      </c>
      <c r="BS116" s="650">
        <v>10141.6</v>
      </c>
      <c r="BT116" s="650">
        <v>10141.6</v>
      </c>
      <c r="BU116" s="650">
        <v>10141.6</v>
      </c>
    </row>
    <row r="117" spans="60:73">
      <c r="BH117" s="659" t="s">
        <v>917</v>
      </c>
      <c r="BI117" s="650">
        <v>7971.2</v>
      </c>
      <c r="BJ117" s="650">
        <v>5404.1</v>
      </c>
      <c r="BK117" s="650">
        <v>6217.4</v>
      </c>
      <c r="BL117" s="650">
        <v>5995</v>
      </c>
      <c r="BM117" s="650">
        <v>8259.1</v>
      </c>
      <c r="BN117" s="650">
        <v>9770.5</v>
      </c>
      <c r="BO117" s="662">
        <v>8018</v>
      </c>
      <c r="BP117" s="650">
        <v>8316.7999999999993</v>
      </c>
      <c r="BQ117" s="650">
        <v>11324</v>
      </c>
      <c r="BR117" s="650">
        <v>9964.9</v>
      </c>
      <c r="BS117" s="650">
        <v>8973.9</v>
      </c>
      <c r="BT117" s="650">
        <v>8497.2000000000007</v>
      </c>
      <c r="BU117" s="650">
        <v>8447.9</v>
      </c>
    </row>
    <row r="118" spans="60:73">
      <c r="BH118" s="657" t="s">
        <v>1153</v>
      </c>
      <c r="BI118" s="653">
        <v>295791.8</v>
      </c>
      <c r="BJ118" s="653">
        <v>529767.5</v>
      </c>
      <c r="BK118" s="653">
        <v>473171.3</v>
      </c>
      <c r="BL118" s="649" t="s">
        <v>1275</v>
      </c>
      <c r="BM118" s="653">
        <v>388253.5</v>
      </c>
      <c r="BN118" s="653">
        <v>569545.1</v>
      </c>
      <c r="BO118" s="653">
        <v>445718.9</v>
      </c>
      <c r="BP118" s="653">
        <v>558832.69999999995</v>
      </c>
      <c r="BQ118" s="653">
        <v>482976.8</v>
      </c>
      <c r="BR118" s="653">
        <v>670390.80000000005</v>
      </c>
      <c r="BS118" s="664">
        <v>562248.80000000005</v>
      </c>
      <c r="BT118" s="664">
        <v>584157.69999999995</v>
      </c>
      <c r="BU118" s="664">
        <v>566144.06999999995</v>
      </c>
    </row>
    <row r="119" spans="60:73">
      <c r="BH119" s="657" t="s">
        <v>1154</v>
      </c>
      <c r="BI119" s="649" t="s">
        <v>1276</v>
      </c>
      <c r="BJ119" s="653">
        <v>3438618.5</v>
      </c>
      <c r="BK119" s="653">
        <v>3453755.3</v>
      </c>
      <c r="BL119" s="653">
        <v>3580185.4</v>
      </c>
      <c r="BM119" s="653">
        <v>3590270.7</v>
      </c>
      <c r="BN119" s="653">
        <v>3697560.4</v>
      </c>
      <c r="BO119" s="653">
        <v>3589298.3</v>
      </c>
      <c r="BP119" s="653">
        <v>3728183.4</v>
      </c>
      <c r="BQ119" s="653">
        <v>3813963.8</v>
      </c>
      <c r="BR119" s="653">
        <v>3824656.8</v>
      </c>
      <c r="BS119" s="664">
        <v>3886672.1</v>
      </c>
      <c r="BT119" s="664">
        <v>3808395.5</v>
      </c>
      <c r="BU119" s="664">
        <v>3813616.9</v>
      </c>
    </row>
    <row r="120" spans="60:73" ht="16.2" thickBot="1">
      <c r="BH120" s="665"/>
      <c r="BI120" s="652"/>
      <c r="BJ120" s="666"/>
      <c r="BK120" s="666"/>
      <c r="BL120" s="666"/>
      <c r="BM120" s="666"/>
      <c r="BN120" s="666"/>
      <c r="BO120" s="666"/>
      <c r="BP120" s="666"/>
      <c r="BQ120" s="666"/>
      <c r="BR120" s="666"/>
      <c r="BS120" s="666"/>
      <c r="BT120" s="666"/>
      <c r="BU120" s="666"/>
    </row>
    <row r="121" spans="60:73">
      <c r="BH121" s="667"/>
      <c r="BI121" s="668"/>
      <c r="BJ121" s="669"/>
      <c r="BK121" s="669"/>
      <c r="BL121" s="669"/>
      <c r="BM121" s="669"/>
      <c r="BN121" s="669"/>
      <c r="BO121" s="669"/>
      <c r="BP121" s="669"/>
      <c r="BQ121" s="669"/>
      <c r="BR121" s="669"/>
      <c r="BS121" s="669"/>
      <c r="BT121" s="669"/>
      <c r="BU121" s="669"/>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6" customWidth="1"/>
    <col min="2" max="3" width="8.90625" style="616" customWidth="1"/>
    <col min="4" max="4" width="10.81640625" style="616" customWidth="1"/>
    <col min="5" max="5" width="11" style="616" customWidth="1"/>
    <col min="6" max="6" width="13.81640625" style="616" customWidth="1"/>
    <col min="7" max="8" width="12.90625" style="616" customWidth="1"/>
    <col min="9" max="9" width="11.08984375" style="616" customWidth="1"/>
    <col min="10" max="10" width="12.1796875" style="616" bestFit="1" customWidth="1"/>
    <col min="11" max="11" width="15" style="616" customWidth="1"/>
    <col min="12" max="12" width="10.36328125" style="616" customWidth="1"/>
    <col min="13" max="13" width="9.90625" style="616" bestFit="1" customWidth="1"/>
    <col min="14" max="14" width="13" style="616" bestFit="1" customWidth="1"/>
    <col min="15" max="15" width="12.6328125" style="616" bestFit="1" customWidth="1"/>
    <col min="16" max="16" width="17.453125" style="616" bestFit="1" customWidth="1"/>
    <col min="17" max="19" width="11.453125" style="616" customWidth="1"/>
    <col min="20" max="20" width="12.1796875" style="616" customWidth="1"/>
    <col min="21" max="21" width="17.54296875" style="616" customWidth="1"/>
    <col min="22" max="22" width="12.54296875" style="1030" bestFit="1" customWidth="1"/>
    <col min="23" max="23" width="8.90625" style="1031" bestFit="1" customWidth="1"/>
    <col min="24" max="24" width="9.36328125" style="1032" bestFit="1" customWidth="1"/>
    <col min="25" max="16384" width="8.6328125" style="616"/>
  </cols>
  <sheetData>
    <row r="1" spans="1:24" ht="27" customHeight="1">
      <c r="B1" s="1817" t="s">
        <v>1728</v>
      </c>
      <c r="C1" s="1817"/>
      <c r="D1" s="1817"/>
      <c r="E1" s="1817"/>
      <c r="F1" s="1817"/>
      <c r="G1" s="1817"/>
      <c r="H1" s="1817"/>
      <c r="I1" s="1817"/>
      <c r="J1" s="1817"/>
      <c r="K1" s="1817"/>
      <c r="L1" s="1817"/>
      <c r="M1" s="1817"/>
      <c r="N1" s="1817"/>
      <c r="O1" s="1817"/>
      <c r="P1" s="1817"/>
      <c r="Q1" s="1817"/>
      <c r="R1" s="1817"/>
      <c r="S1" s="1817"/>
      <c r="T1" s="1817"/>
    </row>
    <row r="2" spans="1:24" ht="13.95" customHeight="1">
      <c r="A2" s="618"/>
      <c r="B2" s="959"/>
      <c r="C2" s="959"/>
      <c r="D2" s="959"/>
      <c r="E2" s="959"/>
      <c r="F2" s="959"/>
      <c r="G2" s="959"/>
      <c r="H2" s="959"/>
      <c r="I2" s="959"/>
      <c r="J2" s="959"/>
      <c r="K2" s="959"/>
      <c r="L2" s="959"/>
      <c r="M2" s="959"/>
      <c r="N2" s="959"/>
      <c r="O2" s="959"/>
      <c r="P2" s="959"/>
      <c r="Q2" s="959"/>
      <c r="R2" s="959"/>
      <c r="S2" s="959"/>
      <c r="T2" s="959"/>
    </row>
    <row r="3" spans="1:24" ht="19.5" customHeight="1">
      <c r="A3" s="617"/>
      <c r="B3" s="1818" t="s">
        <v>1349</v>
      </c>
      <c r="C3" s="1818"/>
      <c r="D3" s="1818"/>
      <c r="E3" s="1818"/>
      <c r="F3" s="1818"/>
      <c r="G3" s="1818"/>
      <c r="H3" s="1818"/>
      <c r="I3" s="1818"/>
      <c r="J3" s="1818"/>
      <c r="K3" s="1818"/>
      <c r="L3" s="1818"/>
      <c r="M3" s="1818"/>
      <c r="N3" s="1818"/>
      <c r="O3" s="1818"/>
      <c r="P3" s="1818"/>
      <c r="Q3" s="1818"/>
      <c r="R3" s="1818"/>
      <c r="S3" s="1818"/>
      <c r="T3" s="1818"/>
    </row>
    <row r="4" spans="1:24" ht="13.95" customHeight="1" thickBot="1">
      <c r="A4" s="618"/>
      <c r="B4" s="754"/>
      <c r="C4" s="754"/>
      <c r="D4" s="754"/>
      <c r="E4" s="754"/>
      <c r="F4" s="754"/>
      <c r="G4" s="754"/>
      <c r="H4" s="754"/>
      <c r="I4" s="754"/>
      <c r="J4" s="754"/>
      <c r="K4" s="754"/>
      <c r="L4" s="754"/>
      <c r="M4" s="754"/>
      <c r="N4" s="754"/>
      <c r="O4" s="754"/>
      <c r="P4" s="754"/>
      <c r="Q4" s="754"/>
      <c r="R4" s="754"/>
      <c r="S4" s="754"/>
      <c r="T4" s="754"/>
    </row>
    <row r="5" spans="1:24" ht="15" customHeight="1" thickTop="1">
      <c r="B5" s="1033"/>
      <c r="C5" s="1034"/>
      <c r="D5" s="1035"/>
      <c r="E5" s="1036"/>
      <c r="F5" s="1036"/>
      <c r="G5" s="1037"/>
      <c r="H5" s="1036"/>
      <c r="I5" s="1035"/>
      <c r="J5" s="1036"/>
      <c r="K5" s="1036"/>
      <c r="L5" s="1037"/>
      <c r="M5" s="1035"/>
      <c r="N5" s="1036"/>
      <c r="O5" s="1036"/>
      <c r="P5" s="1037"/>
      <c r="Q5" s="1038"/>
      <c r="R5" s="1038"/>
      <c r="S5" s="1038"/>
      <c r="T5" s="1038"/>
    </row>
    <row r="6" spans="1:24" ht="19.5" customHeight="1" thickBot="1">
      <c r="B6" s="1039"/>
      <c r="C6" s="1040"/>
      <c r="D6" s="1819"/>
      <c r="E6" s="1820"/>
      <c r="F6" s="1820"/>
      <c r="G6" s="1821"/>
      <c r="H6" s="1041"/>
      <c r="I6" s="1822"/>
      <c r="J6" s="1823"/>
      <c r="K6" s="1823"/>
      <c r="L6" s="1824"/>
      <c r="M6" s="1044"/>
      <c r="N6" s="1095"/>
      <c r="O6" s="1095"/>
      <c r="P6" s="1048"/>
      <c r="Q6" s="1042"/>
      <c r="R6" s="1042"/>
      <c r="S6" s="1042"/>
      <c r="T6" s="1042"/>
    </row>
    <row r="7" spans="1:24" ht="15" customHeight="1" thickTop="1" thickBot="1">
      <c r="B7" s="1043"/>
      <c r="C7" s="1043"/>
      <c r="D7" s="1042" t="s">
        <v>35</v>
      </c>
      <c r="E7" s="1042"/>
      <c r="F7" s="1042"/>
      <c r="G7" s="1042"/>
      <c r="H7" s="1044"/>
      <c r="I7" s="1827" t="s">
        <v>1694</v>
      </c>
      <c r="J7" s="1828"/>
      <c r="K7" s="1828"/>
      <c r="L7" s="1829"/>
      <c r="M7" s="1828" t="s">
        <v>1695</v>
      </c>
      <c r="N7" s="1828"/>
      <c r="O7" s="1828"/>
      <c r="P7" s="1828"/>
      <c r="Q7" s="1042" t="s">
        <v>1696</v>
      </c>
      <c r="R7" s="1042" t="s">
        <v>1479</v>
      </c>
      <c r="S7" s="1042" t="s">
        <v>1164</v>
      </c>
      <c r="T7" s="1045" t="s">
        <v>287</v>
      </c>
    </row>
    <row r="8" spans="1:24" ht="16.5" customHeight="1" thickTop="1">
      <c r="B8" s="1042" t="s">
        <v>32</v>
      </c>
      <c r="C8" s="1042"/>
      <c r="D8" s="1042" t="s">
        <v>998</v>
      </c>
      <c r="E8" s="1042"/>
      <c r="F8" s="1042"/>
      <c r="G8" s="1042"/>
      <c r="H8" s="1042"/>
      <c r="I8" s="1046"/>
      <c r="J8" s="1047"/>
      <c r="K8" s="1047"/>
      <c r="L8" s="1047"/>
      <c r="M8" s="1042"/>
      <c r="N8" s="1042"/>
      <c r="O8" s="1042"/>
      <c r="P8" s="1042"/>
      <c r="Q8" s="1042"/>
      <c r="R8" s="1042"/>
      <c r="S8" s="1042" t="s">
        <v>1026</v>
      </c>
      <c r="T8" s="1042"/>
    </row>
    <row r="9" spans="1:24" ht="18" customHeight="1">
      <c r="B9" s="1043"/>
      <c r="C9" s="1042" t="s">
        <v>1326</v>
      </c>
      <c r="D9" s="1042" t="s">
        <v>766</v>
      </c>
      <c r="E9" s="1042" t="s">
        <v>999</v>
      </c>
      <c r="F9" s="1042" t="s">
        <v>1697</v>
      </c>
      <c r="G9" s="1042" t="s">
        <v>999</v>
      </c>
      <c r="H9" s="1042" t="s">
        <v>1698</v>
      </c>
      <c r="I9" s="1042"/>
      <c r="J9" s="1048"/>
      <c r="K9" s="1048"/>
      <c r="L9" s="1048"/>
      <c r="M9" s="1042"/>
      <c r="N9" s="1042"/>
      <c r="O9" s="1042"/>
      <c r="P9" s="1042"/>
      <c r="Q9" s="1042"/>
      <c r="R9" s="1042"/>
      <c r="S9" s="1042"/>
      <c r="T9" s="1042"/>
    </row>
    <row r="10" spans="1:24" ht="17.25" customHeight="1">
      <c r="B10" s="1043"/>
      <c r="C10" s="1042" t="s">
        <v>1351</v>
      </c>
      <c r="D10" s="1042" t="s">
        <v>1004</v>
      </c>
      <c r="E10" s="1042" t="s">
        <v>1001</v>
      </c>
      <c r="F10" s="1042" t="s">
        <v>1699</v>
      </c>
      <c r="G10" s="1042" t="s">
        <v>1001</v>
      </c>
      <c r="H10" s="1042" t="s">
        <v>1700</v>
      </c>
      <c r="I10" s="1048" t="s">
        <v>1701</v>
      </c>
      <c r="J10" s="1048" t="s">
        <v>1702</v>
      </c>
      <c r="K10" s="1042" t="s">
        <v>1141</v>
      </c>
      <c r="L10" s="1048" t="s">
        <v>1703</v>
      </c>
      <c r="M10" s="1042" t="s">
        <v>64</v>
      </c>
      <c r="N10" s="1042" t="s">
        <v>1704</v>
      </c>
      <c r="O10" s="1042" t="s">
        <v>1141</v>
      </c>
      <c r="P10" s="1048" t="s">
        <v>1705</v>
      </c>
      <c r="Q10" s="1042"/>
      <c r="R10" s="1042"/>
      <c r="S10" s="1042"/>
      <c r="T10" s="1042"/>
    </row>
    <row r="11" spans="1:24" ht="18.75" customHeight="1" thickBot="1">
      <c r="B11" s="1049"/>
      <c r="C11" s="1050" t="s">
        <v>1324</v>
      </c>
      <c r="D11" s="1051"/>
      <c r="E11" s="1051" t="s">
        <v>1005</v>
      </c>
      <c r="F11" s="1051" t="s">
        <v>1706</v>
      </c>
      <c r="G11" s="1051" t="s">
        <v>1187</v>
      </c>
      <c r="H11" s="1051" t="s">
        <v>1707</v>
      </c>
      <c r="I11" s="1051" t="s">
        <v>1163</v>
      </c>
      <c r="J11" s="1052" t="s">
        <v>1708</v>
      </c>
      <c r="K11" s="1052"/>
      <c r="L11" s="1052"/>
      <c r="M11" s="1051"/>
      <c r="N11" s="1051"/>
      <c r="O11" s="1051"/>
      <c r="P11" s="1051"/>
      <c r="Q11" s="1051"/>
      <c r="R11" s="1051"/>
      <c r="S11" s="1051"/>
      <c r="T11" s="1051"/>
    </row>
    <row r="12" spans="1:24" ht="15" customHeight="1" thickTop="1">
      <c r="B12" s="1053"/>
      <c r="C12" s="1053"/>
      <c r="D12" s="1046"/>
      <c r="E12" s="1042"/>
      <c r="F12" s="1042"/>
      <c r="G12" s="1042"/>
      <c r="H12" s="1042"/>
      <c r="I12" s="1046"/>
      <c r="J12" s="1048"/>
      <c r="K12" s="1048"/>
      <c r="L12" s="1048"/>
      <c r="M12" s="1042"/>
      <c r="N12" s="1042"/>
      <c r="O12" s="1042"/>
      <c r="P12" s="1042"/>
      <c r="Q12" s="1042"/>
      <c r="R12" s="1042"/>
      <c r="S12" s="1042"/>
      <c r="T12" s="1042"/>
      <c r="V12" s="1054" t="s">
        <v>1709</v>
      </c>
    </row>
    <row r="13" spans="1:24" ht="15" customHeight="1">
      <c r="B13" s="1055">
        <v>2015</v>
      </c>
      <c r="C13" s="1055"/>
      <c r="D13" s="1042"/>
      <c r="E13" s="1042"/>
      <c r="F13" s="1042"/>
      <c r="G13" s="1042"/>
      <c r="H13" s="1042"/>
      <c r="I13" s="1042"/>
      <c r="J13" s="1048"/>
      <c r="K13" s="1048"/>
      <c r="L13" s="1048"/>
      <c r="M13" s="1042"/>
      <c r="N13" s="1042"/>
      <c r="O13" s="1042"/>
      <c r="P13" s="1042"/>
      <c r="Q13" s="1042"/>
      <c r="R13" s="1042"/>
      <c r="S13" s="1042"/>
      <c r="T13" s="1042"/>
    </row>
    <row r="14" spans="1:24" ht="15" customHeight="1">
      <c r="B14" s="1056" t="s">
        <v>1170</v>
      </c>
      <c r="C14" s="1137">
        <f>'Input Merchant Assets'!C5</f>
        <v>0</v>
      </c>
      <c r="D14" s="1058">
        <f>'Input Merchant Assets'!AR4/1000000</f>
        <v>0.61831400000000003</v>
      </c>
      <c r="E14" s="1058">
        <f>'Input Merchant Assets'!E4/1000000</f>
        <v>0.25602599999999998</v>
      </c>
      <c r="F14" s="1058">
        <f>('Input Merchant Assets'!J4+'Input Merchant Assets'!U4+'Input Merchant Assets'!AG4+'Input Merchant Assets'!AL4)/1000000</f>
        <v>8.9610000000000002E-3</v>
      </c>
      <c r="G14" s="1058">
        <f>('Input Merchant Assets'!AS4)/1000000</f>
        <v>0.13442000000000001</v>
      </c>
      <c r="H14" s="1059">
        <f>('Input Merchant Assets'!AV4+'Input Merchant Assets'!AW4)/1000000</f>
        <v>0</v>
      </c>
      <c r="I14" s="1059">
        <f>('Input Merchant Assets'!AZ4+'Input Merchant Assets'!BC4+'Input Merchant Assets'!BD4)/1000000</f>
        <v>1.5950899999999999</v>
      </c>
      <c r="J14" s="1060">
        <f>'Input Merchant Assets'!BM4/1000000</f>
        <v>0</v>
      </c>
      <c r="K14" s="1060">
        <f>('Input Merchant Assets'!BU4+'Input Merchant Assets'!BY4)/1000000</f>
        <v>0</v>
      </c>
      <c r="L14" s="1060">
        <f>'Input Merchant Assets'!DG4/1000000</f>
        <v>0</v>
      </c>
      <c r="M14" s="1059">
        <f>'Input Merchant Assets'!BE4/1000000</f>
        <v>0</v>
      </c>
      <c r="N14" s="1059">
        <f>('Input Merchant Assets'!BQ4+'Input Merchant Assets'!BR4)/1000000</f>
        <v>0</v>
      </c>
      <c r="O14" s="1059">
        <f>('Input Merchant Assets'!BZ4+'Input Merchant Assets'!CJ4+'Input Merchant Assets'!CK4+'Input Merchant Assets'!CL4)/1000000</f>
        <v>0</v>
      </c>
      <c r="P14" s="1059">
        <f>('Input Merchant Assets'!DQ4+'Input Merchant Assets'!DU4)/1000000</f>
        <v>78.471627999999995</v>
      </c>
      <c r="Q14" s="1059">
        <f>'Input Merchant Assets'!DZ4/1000000</f>
        <v>8.3443500000000004</v>
      </c>
      <c r="R14" s="1059">
        <f>'Input Merchant Assets'!GB4/1000000</f>
        <v>10.658022000000001</v>
      </c>
      <c r="S14" s="1059">
        <f>'Input Merchant Assets'!FW4/1000000</f>
        <v>23.661401999999999</v>
      </c>
      <c r="T14" s="1061">
        <f>SUM(C14:S14)</f>
        <v>123.74821299999999</v>
      </c>
      <c r="V14" s="1062">
        <f>T14-'Input Merchant Assets'!GF4/1000000</f>
        <v>0</v>
      </c>
      <c r="W14" s="1063">
        <f>+V14/T14</f>
        <v>0</v>
      </c>
      <c r="X14" s="1032">
        <f>+V14*1000000</f>
        <v>0</v>
      </c>
    </row>
    <row r="15" spans="1:24" ht="15" customHeight="1">
      <c r="B15" s="1056" t="s">
        <v>1172</v>
      </c>
      <c r="C15" s="1137">
        <f>'Input Merchant Assets'!C6</f>
        <v>0</v>
      </c>
      <c r="D15" s="1058">
        <f>'Input Merchant Assets'!AR5/1000000</f>
        <v>0.44962200000000002</v>
      </c>
      <c r="E15" s="1058">
        <f>'Input Merchant Assets'!E5/1000000</f>
        <v>0.190881</v>
      </c>
      <c r="F15" s="1058">
        <f>('Input Merchant Assets'!J5+'Input Merchant Assets'!U5+'Input Merchant Assets'!AG5+'Input Merchant Assets'!AL5)/1000000</f>
        <v>8.6352999999999999E-2</v>
      </c>
      <c r="G15" s="1058">
        <f>('Input Merchant Assets'!AS5)/1000000</f>
        <v>0.13983799999999999</v>
      </c>
      <c r="H15" s="1059">
        <f>('Input Merchant Assets'!AV5+'Input Merchant Assets'!AW5)/1000000</f>
        <v>0</v>
      </c>
      <c r="I15" s="1059">
        <f>('Input Merchant Assets'!AZ5+'Input Merchant Assets'!BC5+'Input Merchant Assets'!BD5)/1000000</f>
        <v>1.5950899999999999</v>
      </c>
      <c r="J15" s="1060">
        <f>'Input Merchant Assets'!BM5/1000000</f>
        <v>0</v>
      </c>
      <c r="K15" s="1060">
        <f>('Input Merchant Assets'!BU5+'Input Merchant Assets'!BY5)/1000000</f>
        <v>0</v>
      </c>
      <c r="L15" s="1060">
        <f>'Input Merchant Assets'!DG5/1000000</f>
        <v>0</v>
      </c>
      <c r="M15" s="1059">
        <f>'Input Merchant Assets'!BE5/1000000</f>
        <v>0</v>
      </c>
      <c r="N15" s="1059">
        <f>('Input Merchant Assets'!BQ5+'Input Merchant Assets'!BR5)/1000000</f>
        <v>0</v>
      </c>
      <c r="O15" s="1059">
        <f>('Input Merchant Assets'!BZ5+'Input Merchant Assets'!CJ5+'Input Merchant Assets'!CK5+'Input Merchant Assets'!CL5)/1000000</f>
        <v>0</v>
      </c>
      <c r="P15" s="1059">
        <f>('Input Merchant Assets'!DQ5+'Input Merchant Assets'!DU5)/1000000</f>
        <v>80.283201000000005</v>
      </c>
      <c r="Q15" s="1059">
        <f>'Input Merchant Assets'!DZ5/1000000</f>
        <v>8.3467000000000002</v>
      </c>
      <c r="R15" s="1059">
        <f>'Input Merchant Assets'!GB5/1000000</f>
        <v>10.991795</v>
      </c>
      <c r="S15" s="1059">
        <f>'Input Merchant Assets'!FW5/1000000</f>
        <v>23.578704999999999</v>
      </c>
      <c r="T15" s="1061">
        <f t="shared" ref="T15:T39" si="0">SUM(C15:S15)</f>
        <v>125.66218499999999</v>
      </c>
      <c r="V15" s="1062">
        <f>T15-'Input Merchant Assets'!GF5/1000000</f>
        <v>0</v>
      </c>
      <c r="W15" s="1063">
        <f t="shared" ref="W15:W39" si="1">+V15/T15</f>
        <v>0</v>
      </c>
      <c r="X15" s="1032">
        <f t="shared" ref="X15:X25" si="2">+V15*1000000</f>
        <v>0</v>
      </c>
    </row>
    <row r="16" spans="1:24" ht="15" customHeight="1">
      <c r="B16" s="1056" t="s">
        <v>1173</v>
      </c>
      <c r="C16" s="1137">
        <f>'Input Merchant Assets'!C7</f>
        <v>0</v>
      </c>
      <c r="D16" s="1058">
        <f>'Input Merchant Assets'!AR6/1000000</f>
        <v>0.37140099999999998</v>
      </c>
      <c r="E16" s="1058">
        <f>'Input Merchant Assets'!E6/1000000</f>
        <v>0.14913699999999999</v>
      </c>
      <c r="F16" s="1058">
        <f>('Input Merchant Assets'!J6+'Input Merchant Assets'!U6+'Input Merchant Assets'!AG6+'Input Merchant Assets'!AL6)/1000000</f>
        <v>7.1199999999999996E-4</v>
      </c>
      <c r="G16" s="1058">
        <f>('Input Merchant Assets'!AS6)/1000000</f>
        <v>0.13827999999999999</v>
      </c>
      <c r="H16" s="1059">
        <f>('Input Merchant Assets'!AV6+'Input Merchant Assets'!AW6)/1000000</f>
        <v>0</v>
      </c>
      <c r="I16" s="1059">
        <f>('Input Merchant Assets'!AZ6+'Input Merchant Assets'!BC6+'Input Merchant Assets'!BD6)/1000000</f>
        <v>1.4729239999999999</v>
      </c>
      <c r="J16" s="1060">
        <f>'Input Merchant Assets'!BM6/1000000</f>
        <v>0</v>
      </c>
      <c r="K16" s="1060">
        <f>('Input Merchant Assets'!BU6+'Input Merchant Assets'!BY6)/1000000</f>
        <v>0</v>
      </c>
      <c r="L16" s="1060">
        <f>'Input Merchant Assets'!DG6/1000000</f>
        <v>0</v>
      </c>
      <c r="M16" s="1059">
        <f>'Input Merchant Assets'!BE6/1000000</f>
        <v>0</v>
      </c>
      <c r="N16" s="1059">
        <f>('Input Merchant Assets'!BQ6+'Input Merchant Assets'!BR6)/1000000</f>
        <v>0</v>
      </c>
      <c r="O16" s="1059">
        <f>('Input Merchant Assets'!BZ6+'Input Merchant Assets'!CJ6+'Input Merchant Assets'!CK6+'Input Merchant Assets'!CL6)/1000000</f>
        <v>0</v>
      </c>
      <c r="P16" s="1059">
        <f>('Input Merchant Assets'!DQ6+'Input Merchant Assets'!DU6)/1000000</f>
        <v>80.796128999999993</v>
      </c>
      <c r="Q16" s="1059">
        <f>'Input Merchant Assets'!DZ6/1000000</f>
        <v>8.2471499999999995</v>
      </c>
      <c r="R16" s="1059">
        <f>'Input Merchant Assets'!GB6/1000000</f>
        <v>10.944379</v>
      </c>
      <c r="S16" s="1059">
        <f>'Input Merchant Assets'!FW6/1000000</f>
        <v>23.386596999999998</v>
      </c>
      <c r="T16" s="1061">
        <f t="shared" si="0"/>
        <v>125.50670899999999</v>
      </c>
      <c r="V16" s="1062">
        <f>T16-'Input Merchant Assets'!GF6/1000000</f>
        <v>0</v>
      </c>
      <c r="W16" s="1063">
        <f t="shared" si="1"/>
        <v>0</v>
      </c>
      <c r="X16" s="1032">
        <f t="shared" si="2"/>
        <v>0</v>
      </c>
    </row>
    <row r="17" spans="2:24" ht="15" customHeight="1">
      <c r="B17" s="1056" t="s">
        <v>1174</v>
      </c>
      <c r="C17" s="1137">
        <f>'Input Merchant Assets'!C8</f>
        <v>0</v>
      </c>
      <c r="D17" s="1058">
        <f>'Input Merchant Assets'!AR7/1000000</f>
        <v>0.27882099999999999</v>
      </c>
      <c r="E17" s="1058">
        <f>'Input Merchant Assets'!E7/1000000</f>
        <v>5.3561999999999999E-2</v>
      </c>
      <c r="F17" s="1058">
        <f>('Input Merchant Assets'!J7+'Input Merchant Assets'!U7+'Input Merchant Assets'!AG7+'Input Merchant Assets'!AL7)/1000000</f>
        <v>0</v>
      </c>
      <c r="G17" s="1058">
        <f>('Input Merchant Assets'!AS7)/1000000</f>
        <v>7.0475999999999997E-2</v>
      </c>
      <c r="H17" s="1059">
        <f>('Input Merchant Assets'!AV7+'Input Merchant Assets'!AW7)/1000000</f>
        <v>0</v>
      </c>
      <c r="I17" s="1059">
        <f>('Input Merchant Assets'!AZ7+'Input Merchant Assets'!BC7+'Input Merchant Assets'!BD7)/1000000</f>
        <v>0.17871200000000001</v>
      </c>
      <c r="J17" s="1060">
        <f>'Input Merchant Assets'!BM7/1000000</f>
        <v>0</v>
      </c>
      <c r="K17" s="1060">
        <f>('Input Merchant Assets'!BU7+'Input Merchant Assets'!BY7)/1000000</f>
        <v>0</v>
      </c>
      <c r="L17" s="1060">
        <f>'Input Merchant Assets'!DG7/1000000</f>
        <v>0</v>
      </c>
      <c r="M17" s="1059">
        <f>'Input Merchant Assets'!BE7/1000000</f>
        <v>0</v>
      </c>
      <c r="N17" s="1059">
        <f>('Input Merchant Assets'!BQ7+'Input Merchant Assets'!BR7)/1000000</f>
        <v>0</v>
      </c>
      <c r="O17" s="1059">
        <f>('Input Merchant Assets'!BZ7+'Input Merchant Assets'!CJ7+'Input Merchant Assets'!CK7+'Input Merchant Assets'!CL7)/1000000</f>
        <v>0</v>
      </c>
      <c r="P17" s="1059">
        <f>('Input Merchant Assets'!DQ7+'Input Merchant Assets'!DU7)/1000000</f>
        <v>66.738601000000003</v>
      </c>
      <c r="Q17" s="1059">
        <f>'Input Merchant Assets'!DZ7/1000000</f>
        <v>0</v>
      </c>
      <c r="R17" s="1059">
        <f>'Input Merchant Assets'!GB7/1000000</f>
        <v>10.274229999999999</v>
      </c>
      <c r="S17" s="1059">
        <f>'Input Merchant Assets'!FW7/1000000</f>
        <v>21.298812000000002</v>
      </c>
      <c r="T17" s="1061">
        <f t="shared" si="0"/>
        <v>98.893214</v>
      </c>
      <c r="V17" s="1062">
        <f>T17-'Input Merchant Assets'!GF7/1000000</f>
        <v>0</v>
      </c>
      <c r="W17" s="1063">
        <f t="shared" si="1"/>
        <v>0</v>
      </c>
      <c r="X17" s="1032">
        <f t="shared" si="2"/>
        <v>0</v>
      </c>
    </row>
    <row r="18" spans="2:24" ht="15" customHeight="1">
      <c r="B18" s="1056" t="s">
        <v>1165</v>
      </c>
      <c r="C18" s="1137">
        <f>'Input Merchant Assets'!C9</f>
        <v>0</v>
      </c>
      <c r="D18" s="1058">
        <f>'Input Merchant Assets'!AR8/1000000</f>
        <v>0.43113600000000002</v>
      </c>
      <c r="E18" s="1058">
        <f>'Input Merchant Assets'!E8/1000000</f>
        <v>3.0309999999999998E-3</v>
      </c>
      <c r="F18" s="1058">
        <f>('Input Merchant Assets'!J8+'Input Merchant Assets'!U8+'Input Merchant Assets'!AG8+'Input Merchant Assets'!AL8)/1000000</f>
        <v>0</v>
      </c>
      <c r="G18" s="1058">
        <f>('Input Merchant Assets'!AS8)/1000000</f>
        <v>9.9670000000000002E-3</v>
      </c>
      <c r="H18" s="1059">
        <f>('Input Merchant Assets'!AV8+'Input Merchant Assets'!AW8)/1000000</f>
        <v>0</v>
      </c>
      <c r="I18" s="1059">
        <f>('Input Merchant Assets'!AZ8+'Input Merchant Assets'!BC8+'Input Merchant Assets'!BD8)/1000000</f>
        <v>0.17871200000000001</v>
      </c>
      <c r="J18" s="1060">
        <f>'Input Merchant Assets'!BM8/1000000</f>
        <v>0</v>
      </c>
      <c r="K18" s="1060">
        <f>('Input Merchant Assets'!BU8+'Input Merchant Assets'!BY8)/1000000</f>
        <v>0</v>
      </c>
      <c r="L18" s="1060">
        <f>'Input Merchant Assets'!DG8/1000000</f>
        <v>0</v>
      </c>
      <c r="M18" s="1059">
        <f>'Input Merchant Assets'!BE8/1000000</f>
        <v>0</v>
      </c>
      <c r="N18" s="1059">
        <f>('Input Merchant Assets'!BQ8+'Input Merchant Assets'!BR8)/1000000</f>
        <v>0</v>
      </c>
      <c r="O18" s="1059">
        <f>('Input Merchant Assets'!BZ8+'Input Merchant Assets'!CJ8+'Input Merchant Assets'!CK8+'Input Merchant Assets'!CL8)/1000000</f>
        <v>0</v>
      </c>
      <c r="P18" s="1059">
        <f>('Input Merchant Assets'!DQ8+'Input Merchant Assets'!DU8)/1000000</f>
        <v>67.861046000000002</v>
      </c>
      <c r="Q18" s="1059">
        <f>'Input Merchant Assets'!DZ8/1000000</f>
        <v>0</v>
      </c>
      <c r="R18" s="1059">
        <f>'Input Merchant Assets'!GB8/1000000</f>
        <v>9.5959679999999992</v>
      </c>
      <c r="S18" s="1059">
        <f>'Input Merchant Assets'!FW8/1000000</f>
        <v>21.203555999999999</v>
      </c>
      <c r="T18" s="1061">
        <f t="shared" si="0"/>
        <v>99.283415999999988</v>
      </c>
      <c r="V18" s="1062">
        <f>T18-'Input Merchant Assets'!GF8/1000000</f>
        <v>0</v>
      </c>
      <c r="W18" s="1063">
        <f t="shared" si="1"/>
        <v>0</v>
      </c>
      <c r="X18" s="1032">
        <f t="shared" si="2"/>
        <v>0</v>
      </c>
    </row>
    <row r="19" spans="2:24" ht="15" customHeight="1">
      <c r="B19" s="1056" t="s">
        <v>1175</v>
      </c>
      <c r="C19" s="1137">
        <f>'Input Merchant Assets'!C10</f>
        <v>0</v>
      </c>
      <c r="D19" s="1058">
        <f>'Input Merchant Assets'!AR9/1000000</f>
        <v>0.28321067489377044</v>
      </c>
      <c r="E19" s="1058">
        <f>'Input Merchant Assets'!E9/1000000</f>
        <v>3.0499769999999999E-2</v>
      </c>
      <c r="F19" s="1058">
        <f>('Input Merchant Assets'!J9+'Input Merchant Assets'!U9+'Input Merchant Assets'!AG9+'Input Merchant Assets'!AL9)/1000000</f>
        <v>0</v>
      </c>
      <c r="G19" s="1058">
        <f>('Input Merchant Assets'!AS9)/1000000</f>
        <v>9.9665438174149999E-3</v>
      </c>
      <c r="H19" s="1059">
        <f>('Input Merchant Assets'!AV9+'Input Merchant Assets'!AW9)/1000000</f>
        <v>0</v>
      </c>
      <c r="I19" s="1059">
        <f>('Input Merchant Assets'!AZ9+'Input Merchant Assets'!BC9+'Input Merchant Assets'!BD9)/1000000</f>
        <v>0.17871200000000001</v>
      </c>
      <c r="J19" s="1060">
        <f>'Input Merchant Assets'!BM9/1000000</f>
        <v>0</v>
      </c>
      <c r="K19" s="1060">
        <f>('Input Merchant Assets'!BU9+'Input Merchant Assets'!BY9)/1000000</f>
        <v>0</v>
      </c>
      <c r="L19" s="1060">
        <f>'Input Merchant Assets'!DG9/1000000</f>
        <v>0</v>
      </c>
      <c r="M19" s="1059">
        <f>'Input Merchant Assets'!BE9/1000000</f>
        <v>0</v>
      </c>
      <c r="N19" s="1059">
        <f>('Input Merchant Assets'!BQ9+'Input Merchant Assets'!BR9)/1000000</f>
        <v>0</v>
      </c>
      <c r="O19" s="1059">
        <f>('Input Merchant Assets'!BZ9+'Input Merchant Assets'!CJ9+'Input Merchant Assets'!CK9+'Input Merchant Assets'!CL9)/1000000</f>
        <v>0</v>
      </c>
      <c r="P19" s="1059">
        <f>('Input Merchant Assets'!DQ9+'Input Merchant Assets'!DU9)/1000000</f>
        <v>68.12822527000003</v>
      </c>
      <c r="Q19" s="1059">
        <f>'Input Merchant Assets'!DZ9/1000000</f>
        <v>0</v>
      </c>
      <c r="R19" s="1059">
        <f>'Input Merchant Assets'!GB9/1000000</f>
        <v>9.6960915799999974</v>
      </c>
      <c r="S19" s="1059">
        <f>'Input Merchant Assets'!FW9/1000000</f>
        <v>21.110017310000003</v>
      </c>
      <c r="T19" s="1061">
        <f t="shared" si="0"/>
        <v>99.436723148711224</v>
      </c>
      <c r="V19" s="1062">
        <f>T19-'Input Merchant Assets'!GF9/1000000</f>
        <v>0</v>
      </c>
      <c r="W19" s="1063">
        <f t="shared" si="1"/>
        <v>0</v>
      </c>
      <c r="X19" s="1032">
        <f t="shared" si="2"/>
        <v>0</v>
      </c>
    </row>
    <row r="20" spans="2:24" ht="15" customHeight="1">
      <c r="B20" s="1056" t="s">
        <v>1176</v>
      </c>
      <c r="C20" s="1137">
        <f>'Input Merchant Assets'!C11</f>
        <v>0</v>
      </c>
      <c r="D20" s="1058">
        <f>'Input Merchant Assets'!AR10/1000000</f>
        <v>0.16192400000000001</v>
      </c>
      <c r="E20" s="1058">
        <f>'Input Merchant Assets'!E10/1000000</f>
        <v>1.608276</v>
      </c>
      <c r="F20" s="1058">
        <f>('Input Merchant Assets'!J10+'Input Merchant Assets'!U10+'Input Merchant Assets'!AG10+'Input Merchant Assets'!AL10)/1000000</f>
        <v>0</v>
      </c>
      <c r="G20" s="1058">
        <f>('Input Merchant Assets'!AS10)/1000000</f>
        <v>9.9670000000000002E-3</v>
      </c>
      <c r="H20" s="1059">
        <f>('Input Merchant Assets'!AV10+'Input Merchant Assets'!AW10)/1000000</f>
        <v>0</v>
      </c>
      <c r="I20" s="1059">
        <f>('Input Merchant Assets'!AZ10+'Input Merchant Assets'!BC10+'Input Merchant Assets'!BD10)/1000000</f>
        <v>0.17871200000000001</v>
      </c>
      <c r="J20" s="1060">
        <f>'Input Merchant Assets'!BM10/1000000</f>
        <v>0</v>
      </c>
      <c r="K20" s="1060">
        <f>('Input Merchant Assets'!BU10+'Input Merchant Assets'!BY10)/1000000</f>
        <v>0</v>
      </c>
      <c r="L20" s="1060">
        <f>'Input Merchant Assets'!DG10/1000000</f>
        <v>0</v>
      </c>
      <c r="M20" s="1059">
        <f>'Input Merchant Assets'!BE10/1000000</f>
        <v>0</v>
      </c>
      <c r="N20" s="1059">
        <f>('Input Merchant Assets'!BQ10+'Input Merchant Assets'!BR10)/1000000</f>
        <v>0</v>
      </c>
      <c r="O20" s="1059">
        <f>('Input Merchant Assets'!BZ10+'Input Merchant Assets'!CJ10+'Input Merchant Assets'!CK10+'Input Merchant Assets'!CL10)/1000000</f>
        <v>0</v>
      </c>
      <c r="P20" s="1059">
        <f>('Input Merchant Assets'!DQ10+'Input Merchant Assets'!DU10)/1000000</f>
        <v>67.788295000000005</v>
      </c>
      <c r="Q20" s="1059">
        <f>'Input Merchant Assets'!DZ10/1000000</f>
        <v>0</v>
      </c>
      <c r="R20" s="1059">
        <f>'Input Merchant Assets'!GB10/1000000</f>
        <v>9.2010310000000004</v>
      </c>
      <c r="S20" s="1059">
        <f>'Input Merchant Assets'!FW10/1000000</f>
        <v>21.027277999999999</v>
      </c>
      <c r="T20" s="1061">
        <f t="shared" si="0"/>
        <v>99.975482999999997</v>
      </c>
      <c r="V20" s="1062">
        <f>T20-'Input Merchant Assets'!GF10/1000000</f>
        <v>0</v>
      </c>
      <c r="W20" s="1063">
        <f t="shared" si="1"/>
        <v>0</v>
      </c>
      <c r="X20" s="1032">
        <f t="shared" si="2"/>
        <v>0</v>
      </c>
    </row>
    <row r="21" spans="2:24" ht="15" customHeight="1">
      <c r="B21" s="1056" t="s">
        <v>1177</v>
      </c>
      <c r="C21" s="1137">
        <f>'Input Merchant Assets'!C12</f>
        <v>0</v>
      </c>
      <c r="D21" s="1058">
        <f>'Input Merchant Assets'!AR11/1000000</f>
        <v>7.1240999999999999E-2</v>
      </c>
      <c r="E21" s="1058">
        <f>'Input Merchant Assets'!E11/1000000</f>
        <v>1.7700910000000001</v>
      </c>
      <c r="F21" s="1058">
        <f>('Input Merchant Assets'!J11+'Input Merchant Assets'!U11+'Input Merchant Assets'!AG11+'Input Merchant Assets'!AL11)/1000000</f>
        <v>0</v>
      </c>
      <c r="G21" s="1058">
        <f>('Input Merchant Assets'!AS11)/1000000</f>
        <v>9.9670000000000002E-3</v>
      </c>
      <c r="H21" s="1059">
        <f>('Input Merchant Assets'!AV11+'Input Merchant Assets'!AW11)/1000000</f>
        <v>0</v>
      </c>
      <c r="I21" s="1059">
        <f>('Input Merchant Assets'!AZ11+'Input Merchant Assets'!BC11+'Input Merchant Assets'!BD11)/1000000</f>
        <v>0.17871200000000001</v>
      </c>
      <c r="J21" s="1060">
        <f>'Input Merchant Assets'!BM11/1000000</f>
        <v>0</v>
      </c>
      <c r="K21" s="1060">
        <f>('Input Merchant Assets'!BU11+'Input Merchant Assets'!BY11)/1000000</f>
        <v>0</v>
      </c>
      <c r="L21" s="1060">
        <f>'Input Merchant Assets'!DG11/1000000</f>
        <v>0</v>
      </c>
      <c r="M21" s="1059">
        <f>'Input Merchant Assets'!BE11/1000000</f>
        <v>0</v>
      </c>
      <c r="N21" s="1059">
        <f>('Input Merchant Assets'!BQ11+'Input Merchant Assets'!BR11)/1000000</f>
        <v>0</v>
      </c>
      <c r="O21" s="1059">
        <f>('Input Merchant Assets'!BZ11+'Input Merchant Assets'!CJ11+'Input Merchant Assets'!CK11+'Input Merchant Assets'!CL11)/1000000</f>
        <v>0</v>
      </c>
      <c r="P21" s="1059">
        <f>('Input Merchant Assets'!DQ11+'Input Merchant Assets'!DU11)/1000000</f>
        <v>60.008121000000003</v>
      </c>
      <c r="Q21" s="1059">
        <f>'Input Merchant Assets'!DZ11/1000000</f>
        <v>0</v>
      </c>
      <c r="R21" s="1059">
        <f>'Input Merchant Assets'!GB11/1000000</f>
        <v>9.2684289999999994</v>
      </c>
      <c r="S21" s="1059">
        <f>'Input Merchant Assets'!FW11/1000000</f>
        <v>28.086409</v>
      </c>
      <c r="T21" s="1061">
        <f t="shared" si="0"/>
        <v>99.392970000000005</v>
      </c>
      <c r="V21" s="1062">
        <f>T21-'Input Merchant Assets'!GF11/1000000</f>
        <v>0</v>
      </c>
      <c r="W21" s="1063">
        <f t="shared" si="1"/>
        <v>0</v>
      </c>
      <c r="X21" s="1032">
        <f t="shared" si="2"/>
        <v>0</v>
      </c>
    </row>
    <row r="22" spans="2:24" ht="15" customHeight="1">
      <c r="B22" s="1056" t="s">
        <v>1178</v>
      </c>
      <c r="C22" s="1137">
        <f>'Input Merchant Assets'!C13</f>
        <v>0</v>
      </c>
      <c r="D22" s="1058">
        <f>'Input Merchant Assets'!AR12/1000000</f>
        <v>9.2945E-2</v>
      </c>
      <c r="E22" s="1058">
        <f>'Input Merchant Assets'!E12/1000000</f>
        <v>2.2210540000000001</v>
      </c>
      <c r="F22" s="1058">
        <f>('Input Merchant Assets'!J12+'Input Merchant Assets'!U12+'Input Merchant Assets'!AG12+'Input Merchant Assets'!AL12)/1000000</f>
        <v>0</v>
      </c>
      <c r="G22" s="1058">
        <f>('Input Merchant Assets'!AS12)/1000000</f>
        <v>3.3609999999999998E-3</v>
      </c>
      <c r="H22" s="1059">
        <f>('Input Merchant Assets'!AV12+'Input Merchant Assets'!AW12)/1000000</f>
        <v>0</v>
      </c>
      <c r="I22" s="1059">
        <f>('Input Merchant Assets'!AZ12+'Input Merchant Assets'!BC12+'Input Merchant Assets'!BD12)/1000000</f>
        <v>0.18421599999999999</v>
      </c>
      <c r="J22" s="1060">
        <f>'Input Merchant Assets'!BM12/1000000</f>
        <v>0</v>
      </c>
      <c r="K22" s="1060">
        <f>('Input Merchant Assets'!BU12+'Input Merchant Assets'!BY12)/1000000</f>
        <v>0</v>
      </c>
      <c r="L22" s="1060">
        <f>'Input Merchant Assets'!DG12/1000000</f>
        <v>0</v>
      </c>
      <c r="M22" s="1059">
        <f>'Input Merchant Assets'!BE12/1000000</f>
        <v>0</v>
      </c>
      <c r="N22" s="1059">
        <f>('Input Merchant Assets'!BQ12+'Input Merchant Assets'!BR12)/1000000</f>
        <v>0</v>
      </c>
      <c r="O22" s="1059">
        <f>('Input Merchant Assets'!BZ12+'Input Merchant Assets'!CJ12+'Input Merchant Assets'!CK12+'Input Merchant Assets'!CL12)/1000000</f>
        <v>0</v>
      </c>
      <c r="P22" s="1059">
        <f>('Input Merchant Assets'!DQ12+'Input Merchant Assets'!DU12)/1000000</f>
        <v>59.184587000000001</v>
      </c>
      <c r="Q22" s="1059">
        <f>'Input Merchant Assets'!DZ12/1000000</f>
        <v>0</v>
      </c>
      <c r="R22" s="1059">
        <f>'Input Merchant Assets'!GB12/1000000</f>
        <v>9.2256660000000004</v>
      </c>
      <c r="S22" s="1059">
        <f>'Input Merchant Assets'!FW12/1000000</f>
        <v>27.953848000000001</v>
      </c>
      <c r="T22" s="1061">
        <f t="shared" si="0"/>
        <v>98.865677000000005</v>
      </c>
      <c r="V22" s="1062">
        <f>T22-'Input Merchant Assets'!GF12/1000000</f>
        <v>0</v>
      </c>
      <c r="W22" s="1063">
        <f t="shared" si="1"/>
        <v>0</v>
      </c>
      <c r="X22" s="1032">
        <f t="shared" si="2"/>
        <v>0</v>
      </c>
    </row>
    <row r="23" spans="2:24" ht="15" customHeight="1">
      <c r="B23" s="1056" t="s">
        <v>1179</v>
      </c>
      <c r="C23" s="1137">
        <f>'Input Merchant Assets'!C14</f>
        <v>0</v>
      </c>
      <c r="D23" s="1058">
        <f>'Input Merchant Assets'!AR13/1000000</f>
        <v>0.10014352</v>
      </c>
      <c r="E23" s="1058">
        <f>'Input Merchant Assets'!E13/1000000</f>
        <v>2.1182181400000002</v>
      </c>
      <c r="F23" s="1058">
        <f>('Input Merchant Assets'!J13+'Input Merchant Assets'!U13+'Input Merchant Assets'!AG13+'Input Merchant Assets'!AL13)/1000000</f>
        <v>0</v>
      </c>
      <c r="G23" s="1058">
        <f>('Input Merchant Assets'!AS13)/1000000</f>
        <v>3.3609999999999998E-3</v>
      </c>
      <c r="H23" s="1059">
        <f>('Input Merchant Assets'!AV13+'Input Merchant Assets'!AW13)/1000000</f>
        <v>0</v>
      </c>
      <c r="I23" s="1059">
        <f>('Input Merchant Assets'!AZ13+'Input Merchant Assets'!BC13+'Input Merchant Assets'!BD13)/1000000</f>
        <v>0.18421564999999998</v>
      </c>
      <c r="J23" s="1060">
        <f>'Input Merchant Assets'!BM13/1000000</f>
        <v>0</v>
      </c>
      <c r="K23" s="1060">
        <f>('Input Merchant Assets'!BU13+'Input Merchant Assets'!BY13)/1000000</f>
        <v>0</v>
      </c>
      <c r="L23" s="1060">
        <f>'Input Merchant Assets'!DG13/1000000</f>
        <v>0</v>
      </c>
      <c r="M23" s="1059">
        <f>'Input Merchant Assets'!BE13/1000000</f>
        <v>0</v>
      </c>
      <c r="N23" s="1059">
        <f>('Input Merchant Assets'!BQ13+'Input Merchant Assets'!BR13)/1000000</f>
        <v>0</v>
      </c>
      <c r="O23" s="1059">
        <f>('Input Merchant Assets'!BZ13+'Input Merchant Assets'!CJ13+'Input Merchant Assets'!CK13+'Input Merchant Assets'!CL13)/1000000</f>
        <v>0</v>
      </c>
      <c r="P23" s="1059">
        <f>('Input Merchant Assets'!DQ13+'Input Merchant Assets'!DU13)/1000000</f>
        <v>59.424876564292511</v>
      </c>
      <c r="Q23" s="1059">
        <f>'Input Merchant Assets'!DZ13/1000000</f>
        <v>0</v>
      </c>
      <c r="R23" s="1059">
        <f>'Input Merchant Assets'!GB13/1000000</f>
        <v>9.1012659594999974</v>
      </c>
      <c r="S23" s="1059">
        <f>'Input Merchant Assets'!FW13/1000000</f>
        <v>27.821287290000001</v>
      </c>
      <c r="T23" s="1061">
        <f t="shared" si="0"/>
        <v>98.753368123792512</v>
      </c>
      <c r="V23" s="1062">
        <f>T23-'Input Merchant Assets'!GF13/1000000</f>
        <v>0</v>
      </c>
      <c r="W23" s="1063">
        <f t="shared" si="1"/>
        <v>0</v>
      </c>
      <c r="X23" s="1032">
        <f t="shared" si="2"/>
        <v>0</v>
      </c>
    </row>
    <row r="24" spans="2:24" ht="15" customHeight="1">
      <c r="B24" s="1056" t="s">
        <v>1180</v>
      </c>
      <c r="C24" s="1137">
        <f>'Input Merchant Assets'!C15</f>
        <v>0</v>
      </c>
      <c r="D24" s="1058">
        <f>'Input Merchant Assets'!AR14/1000000</f>
        <v>0.12499459</v>
      </c>
      <c r="E24" s="1058">
        <f>'Input Merchant Assets'!E14/1000000</f>
        <v>2.0431284499999998</v>
      </c>
      <c r="F24" s="1058">
        <f>('Input Merchant Assets'!J14+'Input Merchant Assets'!U14+'Input Merchant Assets'!AG14+'Input Merchant Assets'!AL14)/1000000</f>
        <v>0</v>
      </c>
      <c r="G24" s="1058">
        <f>('Input Merchant Assets'!AS14)/1000000</f>
        <v>3.3609999999999998E-3</v>
      </c>
      <c r="H24" s="1059">
        <f>('Input Merchant Assets'!AV14+'Input Merchant Assets'!AW14)/1000000</f>
        <v>0</v>
      </c>
      <c r="I24" s="1059">
        <f>('Input Merchant Assets'!AZ14+'Input Merchant Assets'!BC14+'Input Merchant Assets'!BD14)/1000000</f>
        <v>0.18421564999999998</v>
      </c>
      <c r="J24" s="1060">
        <f>'Input Merchant Assets'!BM14/1000000</f>
        <v>0</v>
      </c>
      <c r="K24" s="1060">
        <f>('Input Merchant Assets'!BU14+'Input Merchant Assets'!BY14)/1000000</f>
        <v>0</v>
      </c>
      <c r="L24" s="1060">
        <f>'Input Merchant Assets'!DG14/1000000</f>
        <v>0</v>
      </c>
      <c r="M24" s="1059">
        <f>'Input Merchant Assets'!BE14/1000000</f>
        <v>0</v>
      </c>
      <c r="N24" s="1059">
        <f>('Input Merchant Assets'!BQ14+'Input Merchant Assets'!BR14)/1000000</f>
        <v>0</v>
      </c>
      <c r="O24" s="1059">
        <f>('Input Merchant Assets'!BZ14+'Input Merchant Assets'!CJ14+'Input Merchant Assets'!CK14+'Input Merchant Assets'!CL14)/1000000</f>
        <v>0</v>
      </c>
      <c r="P24" s="1059">
        <f>('Input Merchant Assets'!DQ14+'Input Merchant Assets'!DU14)/1000000</f>
        <v>58.530183747297258</v>
      </c>
      <c r="Q24" s="1059">
        <f>'Input Merchant Assets'!DZ14/1000000</f>
        <v>0</v>
      </c>
      <c r="R24" s="1059">
        <f>'Input Merchant Assets'!GB14/1000000</f>
        <v>9.5225268339999989</v>
      </c>
      <c r="S24" s="1059">
        <f>'Input Merchant Assets'!FW14/1000000</f>
        <v>20.59462048</v>
      </c>
      <c r="T24" s="1061">
        <f t="shared" si="0"/>
        <v>91.00303075129726</v>
      </c>
      <c r="V24" s="1062">
        <f>T24-'Input Merchant Assets'!GF14/1000000</f>
        <v>0</v>
      </c>
      <c r="W24" s="1063">
        <f t="shared" si="1"/>
        <v>0</v>
      </c>
      <c r="X24" s="1032">
        <f t="shared" si="2"/>
        <v>0</v>
      </c>
    </row>
    <row r="25" spans="2:24" ht="15" customHeight="1">
      <c r="B25" s="1056" t="s">
        <v>1181</v>
      </c>
      <c r="C25" s="1137">
        <f>'Input Merchant Assets'!C16</f>
        <v>0</v>
      </c>
      <c r="D25" s="1058">
        <f>'Input Merchant Assets'!AR15/1000000</f>
        <v>0.11072637</v>
      </c>
      <c r="E25" s="1058">
        <f>'Input Merchant Assets'!E15/1000000</f>
        <v>1.59123404</v>
      </c>
      <c r="F25" s="1058">
        <f>('Input Merchant Assets'!J15+'Input Merchant Assets'!U15+'Input Merchant Assets'!AG15+'Input Merchant Assets'!AL15)/1000000</f>
        <v>0</v>
      </c>
      <c r="G25" s="1058">
        <f>('Input Merchant Assets'!AS15)/1000000</f>
        <v>2.1245859999999998E-2</v>
      </c>
      <c r="H25" s="1059">
        <f>('Input Merchant Assets'!AV15+'Input Merchant Assets'!AW15)/1000000</f>
        <v>0</v>
      </c>
      <c r="I25" s="1059">
        <f>('Input Merchant Assets'!AZ15+'Input Merchant Assets'!BC15+'Input Merchant Assets'!BD15)/1000000</f>
        <v>0.19139125000000001</v>
      </c>
      <c r="J25" s="1060">
        <f>'Input Merchant Assets'!BM15/1000000</f>
        <v>0</v>
      </c>
      <c r="K25" s="1060">
        <f>('Input Merchant Assets'!BU15+'Input Merchant Assets'!BY15)/1000000</f>
        <v>0</v>
      </c>
      <c r="L25" s="1060">
        <f>'Input Merchant Assets'!DG15/1000000</f>
        <v>0</v>
      </c>
      <c r="M25" s="1059">
        <f>'Input Merchant Assets'!BE15/1000000</f>
        <v>0</v>
      </c>
      <c r="N25" s="1059">
        <f>('Input Merchant Assets'!BQ15+'Input Merchant Assets'!BR15)/1000000</f>
        <v>0</v>
      </c>
      <c r="O25" s="1059">
        <f>('Input Merchant Assets'!BZ15+'Input Merchant Assets'!CJ15+'Input Merchant Assets'!CK15+'Input Merchant Assets'!CL15)/1000000</f>
        <v>0</v>
      </c>
      <c r="P25" s="1059">
        <f>('Input Merchant Assets'!DQ15+'Input Merchant Assets'!DU15)/1000000</f>
        <v>59.829207695590526</v>
      </c>
      <c r="Q25" s="1059">
        <f>'Input Merchant Assets'!DZ15/1000000</f>
        <v>0</v>
      </c>
      <c r="R25" s="1059">
        <f>'Input Merchant Assets'!GB15/1000000</f>
        <v>9.3588664334999994</v>
      </c>
      <c r="S25" s="1059">
        <f>'Input Merchant Assets'!FW15/1000000</f>
        <v>20.462059299999996</v>
      </c>
      <c r="T25" s="1061">
        <f t="shared" si="0"/>
        <v>91.564730949090517</v>
      </c>
      <c r="V25" s="1062">
        <f>T25-'Input Merchant Assets'!GF15/1000000</f>
        <v>0</v>
      </c>
      <c r="W25" s="1063">
        <f t="shared" si="1"/>
        <v>0</v>
      </c>
      <c r="X25" s="1032">
        <f t="shared" si="2"/>
        <v>0</v>
      </c>
    </row>
    <row r="26" spans="2:24" ht="15" customHeight="1">
      <c r="B26" s="1064"/>
      <c r="C26" s="1137"/>
      <c r="D26" s="1058"/>
      <c r="E26" s="1058"/>
      <c r="F26" s="1058"/>
      <c r="G26" s="1058"/>
      <c r="H26" s="1059"/>
      <c r="I26" s="1059"/>
      <c r="J26" s="1060"/>
      <c r="K26" s="1060"/>
      <c r="L26" s="1060"/>
      <c r="M26" s="1059"/>
      <c r="N26" s="1059"/>
      <c r="O26" s="1059"/>
      <c r="P26" s="1059"/>
      <c r="Q26" s="1059"/>
      <c r="R26" s="1059"/>
      <c r="S26" s="1059"/>
      <c r="T26" s="1061"/>
      <c r="V26" s="1062">
        <f>T26-'Input Merchant Assets'!GF16/1000000</f>
        <v>0</v>
      </c>
      <c r="W26" s="1063"/>
    </row>
    <row r="27" spans="2:24" ht="15" customHeight="1">
      <c r="B27" s="1055">
        <v>2016</v>
      </c>
      <c r="C27" s="1137"/>
      <c r="D27" s="1058"/>
      <c r="E27" s="1058"/>
      <c r="F27" s="1058"/>
      <c r="G27" s="1058"/>
      <c r="H27" s="1059"/>
      <c r="I27" s="1059"/>
      <c r="J27" s="1060"/>
      <c r="K27" s="1060"/>
      <c r="L27" s="1060"/>
      <c r="M27" s="1059"/>
      <c r="N27" s="1059"/>
      <c r="O27" s="1059"/>
      <c r="P27" s="1059"/>
      <c r="Q27" s="1059"/>
      <c r="R27" s="1059"/>
      <c r="S27" s="1059"/>
      <c r="T27" s="1061"/>
      <c r="V27" s="1062">
        <f>T27-'Input Merchant Assets'!GF17/1000000</f>
        <v>0</v>
      </c>
      <c r="W27" s="1063"/>
    </row>
    <row r="28" spans="2:24" ht="15" customHeight="1">
      <c r="B28" s="1065" t="s">
        <v>345</v>
      </c>
      <c r="C28" s="1137">
        <f>'Input Merchant Assets'!C19</f>
        <v>0</v>
      </c>
      <c r="D28" s="1058">
        <f>'Input Merchant Assets'!AR18/1000000</f>
        <v>9.5282510000000015E-2</v>
      </c>
      <c r="E28" s="1058">
        <f>'Input Merchant Assets'!E18/1000000</f>
        <v>1.8912177999999999</v>
      </c>
      <c r="F28" s="1058">
        <f>('Input Merchant Assets'!J18+'Input Merchant Assets'!U18+'Input Merchant Assets'!AG18+'Input Merchant Assets'!AL18)/1000000</f>
        <v>0</v>
      </c>
      <c r="G28" s="1058">
        <f>('Input Merchant Assets'!AS18)/1000000</f>
        <v>2.3245400000000003E-2</v>
      </c>
      <c r="H28" s="1059">
        <f>('Input Merchant Assets'!AV18+'Input Merchant Assets'!AW18)/1000000</f>
        <v>0</v>
      </c>
      <c r="I28" s="1059">
        <f>('Input Merchant Assets'!AZ18+'Input Merchant Assets'!BC18+'Input Merchant Assets'!BD18)/1000000</f>
        <v>0.19139125000000001</v>
      </c>
      <c r="J28" s="1060">
        <f>'Input Merchant Assets'!BM18/1000000</f>
        <v>0</v>
      </c>
      <c r="K28" s="1060">
        <f>('Input Merchant Assets'!BU18+'Input Merchant Assets'!BY18)/1000000</f>
        <v>0</v>
      </c>
      <c r="L28" s="1060">
        <f>'Input Merchant Assets'!DG18/1000000</f>
        <v>0</v>
      </c>
      <c r="M28" s="1059">
        <f>'Input Merchant Assets'!BE18/1000000</f>
        <v>0</v>
      </c>
      <c r="N28" s="1059">
        <f>('Input Merchant Assets'!BQ18+'Input Merchant Assets'!BR18)/1000000</f>
        <v>0</v>
      </c>
      <c r="O28" s="1059">
        <f>('Input Merchant Assets'!BZ18+'Input Merchant Assets'!CJ18+'Input Merchant Assets'!CK18+'Input Merchant Assets'!CL18)/1000000</f>
        <v>0</v>
      </c>
      <c r="P28" s="1059">
        <f>('Input Merchant Assets'!DQ18+'Input Merchant Assets'!DU18)/1000000</f>
        <v>60.702096905645952</v>
      </c>
      <c r="Q28" s="1059">
        <f>'Input Merchant Assets'!DZ18/1000000</f>
        <v>0</v>
      </c>
      <c r="R28" s="1059">
        <f>'Input Merchant Assets'!GB18/1000000</f>
        <v>9.3020357294999982</v>
      </c>
      <c r="S28" s="1059">
        <f>'Input Merchant Assets'!FW18/1000000</f>
        <v>20.329498119999993</v>
      </c>
      <c r="T28" s="1061">
        <f t="shared" si="0"/>
        <v>92.534767715145946</v>
      </c>
      <c r="V28" s="1062">
        <f>T28-'Input Merchant Assets'!GF18/1000000</f>
        <v>0</v>
      </c>
      <c r="W28" s="1063">
        <f t="shared" si="1"/>
        <v>0</v>
      </c>
      <c r="X28" s="1032">
        <f t="shared" ref="X28:X39" si="3">+V28*1000000</f>
        <v>0</v>
      </c>
    </row>
    <row r="29" spans="2:24" ht="15" customHeight="1">
      <c r="B29" s="1056" t="s">
        <v>334</v>
      </c>
      <c r="C29" s="1137">
        <f>'Input Merchant Assets'!C20</f>
        <v>0</v>
      </c>
      <c r="D29" s="1058">
        <f>'Input Merchant Assets'!AR19/1000000</f>
        <v>0.13820716999999999</v>
      </c>
      <c r="E29" s="1058">
        <f>'Input Merchant Assets'!E19/1000000</f>
        <v>0.85270372999999999</v>
      </c>
      <c r="F29" s="1058">
        <f>('Input Merchant Assets'!J19+'Input Merchant Assets'!U19+'Input Merchant Assets'!AG19+'Input Merchant Assets'!AL19)/1000000</f>
        <v>1.1000000000000001</v>
      </c>
      <c r="G29" s="1058">
        <f>('Input Merchant Assets'!AS19)/1000000</f>
        <v>2.3245400000000003E-2</v>
      </c>
      <c r="H29" s="1059">
        <f>('Input Merchant Assets'!AV19+'Input Merchant Assets'!AW19)/1000000</f>
        <v>0</v>
      </c>
      <c r="I29" s="1059">
        <f>('Input Merchant Assets'!AZ19+'Input Merchant Assets'!BC19+'Input Merchant Assets'!BD19)/1000000</f>
        <v>0.19139125000000001</v>
      </c>
      <c r="J29" s="1060">
        <f>'Input Merchant Assets'!BM19/1000000</f>
        <v>0</v>
      </c>
      <c r="K29" s="1060">
        <f>('Input Merchant Assets'!BU19+'Input Merchant Assets'!BY19)/1000000</f>
        <v>0</v>
      </c>
      <c r="L29" s="1060">
        <f>'Input Merchant Assets'!DG19/1000000</f>
        <v>0</v>
      </c>
      <c r="M29" s="1059">
        <f>'Input Merchant Assets'!BE19/1000000</f>
        <v>0</v>
      </c>
      <c r="N29" s="1059">
        <f>('Input Merchant Assets'!BQ19+'Input Merchant Assets'!BR19)/1000000</f>
        <v>0</v>
      </c>
      <c r="O29" s="1059">
        <f>('Input Merchant Assets'!BZ19+'Input Merchant Assets'!CJ19+'Input Merchant Assets'!CK19+'Input Merchant Assets'!CL19)/1000000</f>
        <v>0</v>
      </c>
      <c r="P29" s="1059">
        <f>('Input Merchant Assets'!DQ19+'Input Merchant Assets'!DU19)/1000000</f>
        <v>61.552196046605403</v>
      </c>
      <c r="Q29" s="1059">
        <f>'Input Merchant Assets'!DZ19/1000000</f>
        <v>0</v>
      </c>
      <c r="R29" s="1059">
        <f>'Input Merchant Assets'!GB19/1000000</f>
        <v>9.1519841489499996</v>
      </c>
      <c r="S29" s="1059">
        <f>'Input Merchant Assets'!FW19/1000000</f>
        <v>20.196936939999993</v>
      </c>
      <c r="T29" s="1061">
        <f t="shared" si="0"/>
        <v>93.20666468555541</v>
      </c>
      <c r="V29" s="1062">
        <f>T29-'Input Merchant Assets'!GF19/1000000</f>
        <v>0</v>
      </c>
      <c r="W29" s="1063">
        <f t="shared" si="1"/>
        <v>0</v>
      </c>
      <c r="X29" s="1032">
        <f t="shared" si="3"/>
        <v>0</v>
      </c>
    </row>
    <row r="30" spans="2:24" ht="15" customHeight="1">
      <c r="B30" s="1056" t="s">
        <v>335</v>
      </c>
      <c r="C30" s="1137">
        <f>'Input Merchant Assets'!C21</f>
        <v>0</v>
      </c>
      <c r="D30" s="1058">
        <f>'Input Merchant Assets'!AR20/1000000</f>
        <v>0.1298948</v>
      </c>
      <c r="E30" s="1058">
        <f>'Input Merchant Assets'!E20/1000000</f>
        <v>1.9422299299999999</v>
      </c>
      <c r="F30" s="1058">
        <f>('Input Merchant Assets'!J20+'Input Merchant Assets'!U20+'Input Merchant Assets'!AG20+'Input Merchant Assets'!AL20)/1000000</f>
        <v>0</v>
      </c>
      <c r="G30" s="1058">
        <f>('Input Merchant Assets'!AS20)/1000000</f>
        <v>2.3245400000000003E-2</v>
      </c>
      <c r="H30" s="1059">
        <f>('Input Merchant Assets'!AV20+'Input Merchant Assets'!AW20)/1000000</f>
        <v>0</v>
      </c>
      <c r="I30" s="1059">
        <f>('Input Merchant Assets'!AZ20+'Input Merchant Assets'!BC20+'Input Merchant Assets'!BD20)/1000000</f>
        <v>0.19139125000000001</v>
      </c>
      <c r="J30" s="1060">
        <f>'Input Merchant Assets'!BM20/1000000</f>
        <v>0</v>
      </c>
      <c r="K30" s="1060">
        <f>('Input Merchant Assets'!BU20+'Input Merchant Assets'!BY20)/1000000</f>
        <v>0</v>
      </c>
      <c r="L30" s="1060">
        <f>'Input Merchant Assets'!DG20/1000000</f>
        <v>0</v>
      </c>
      <c r="M30" s="1059">
        <f>'Input Merchant Assets'!BE20/1000000</f>
        <v>0</v>
      </c>
      <c r="N30" s="1059">
        <f>('Input Merchant Assets'!BQ20+'Input Merchant Assets'!BR20)/1000000</f>
        <v>0</v>
      </c>
      <c r="O30" s="1059">
        <f>('Input Merchant Assets'!BZ20+'Input Merchant Assets'!CJ20+'Input Merchant Assets'!CK20+'Input Merchant Assets'!CL20)/1000000</f>
        <v>0</v>
      </c>
      <c r="P30" s="1059">
        <f>('Input Merchant Assets'!DQ20+'Input Merchant Assets'!DU20)/1000000</f>
        <v>61.951078196605401</v>
      </c>
      <c r="Q30" s="1059">
        <f>'Input Merchant Assets'!DZ20/1000000</f>
        <v>0</v>
      </c>
      <c r="R30" s="1059">
        <f>'Input Merchant Assets'!GB20/1000000</f>
        <v>9.2611868489500004</v>
      </c>
      <c r="S30" s="1059">
        <f>'Input Merchant Assets'!FW20/1000000</f>
        <v>20.064375759999994</v>
      </c>
      <c r="T30" s="1061">
        <f t="shared" si="0"/>
        <v>93.56340218555539</v>
      </c>
      <c r="V30" s="1062">
        <f>T30-'Input Merchant Assets'!GF20/1000000</f>
        <v>0</v>
      </c>
      <c r="W30" s="1063">
        <f t="shared" si="1"/>
        <v>0</v>
      </c>
      <c r="X30" s="1032">
        <f t="shared" si="3"/>
        <v>0</v>
      </c>
    </row>
    <row r="31" spans="2:24" ht="15" customHeight="1">
      <c r="B31" s="1056" t="s">
        <v>336</v>
      </c>
      <c r="C31" s="1137">
        <f>'Input Merchant Assets'!C22</f>
        <v>0</v>
      </c>
      <c r="D31" s="1058">
        <f>'Input Merchant Assets'!AR21/1000000</f>
        <v>0.17344599999999999</v>
      </c>
      <c r="E31" s="1058">
        <f>'Input Merchant Assets'!E21/1000000</f>
        <v>0.74827500000000002</v>
      </c>
      <c r="F31" s="1058">
        <f>('Input Merchant Assets'!J21+'Input Merchant Assets'!U21+'Input Merchant Assets'!AG21+'Input Merchant Assets'!AL21)/1000000</f>
        <v>1.1000000000000001</v>
      </c>
      <c r="G31" s="1058">
        <f>('Input Merchant Assets'!AS21)/1000000</f>
        <v>2.3245400000000003E-2</v>
      </c>
      <c r="H31" s="1059">
        <f>('Input Merchant Assets'!AV21+'Input Merchant Assets'!AW21)/1000000</f>
        <v>0</v>
      </c>
      <c r="I31" s="1059">
        <f>('Input Merchant Assets'!AZ21+'Input Merchant Assets'!BC21+'Input Merchant Assets'!BD21)/1000000</f>
        <v>0.19139125000000001</v>
      </c>
      <c r="J31" s="1060">
        <f>'Input Merchant Assets'!BM21/1000000</f>
        <v>0</v>
      </c>
      <c r="K31" s="1060">
        <f>('Input Merchant Assets'!BU21+'Input Merchant Assets'!BY21)/1000000</f>
        <v>0</v>
      </c>
      <c r="L31" s="1060">
        <f>'Input Merchant Assets'!DG21/1000000</f>
        <v>0</v>
      </c>
      <c r="M31" s="1059">
        <f>'Input Merchant Assets'!BE21/1000000</f>
        <v>0</v>
      </c>
      <c r="N31" s="1059">
        <f>('Input Merchant Assets'!BQ21+'Input Merchant Assets'!BR21)/1000000</f>
        <v>0</v>
      </c>
      <c r="O31" s="1059">
        <f>('Input Merchant Assets'!BZ21+'Input Merchant Assets'!CJ21+'Input Merchant Assets'!CK21+'Input Merchant Assets'!CL21)/1000000</f>
        <v>0</v>
      </c>
      <c r="P31" s="1059">
        <f>('Input Merchant Assets'!DQ21+'Input Merchant Assets'!DU21)/1000000</f>
        <v>62.294302000000002</v>
      </c>
      <c r="Q31" s="1059">
        <f>'Input Merchant Assets'!DZ21/1000000</f>
        <v>0</v>
      </c>
      <c r="R31" s="1059">
        <f>'Input Merchant Assets'!GB21/1000000</f>
        <v>9.3702729999999992</v>
      </c>
      <c r="S31" s="1059">
        <f>'Input Merchant Assets'!FW21/1000000</f>
        <v>19.931813999999999</v>
      </c>
      <c r="T31" s="1061">
        <f t="shared" si="0"/>
        <v>93.832746650000004</v>
      </c>
      <c r="V31" s="1062">
        <f>T31-'Input Merchant Assets'!GF21/1000000</f>
        <v>0</v>
      </c>
      <c r="W31" s="1063">
        <f t="shared" si="1"/>
        <v>0</v>
      </c>
      <c r="X31" s="1032">
        <f t="shared" si="3"/>
        <v>0</v>
      </c>
    </row>
    <row r="32" spans="2:24" ht="15" customHeight="1">
      <c r="B32" s="1056" t="s">
        <v>337</v>
      </c>
      <c r="C32" s="1137">
        <f>'Input Merchant Assets'!C23</f>
        <v>0</v>
      </c>
      <c r="D32" s="1058">
        <f>'Input Merchant Assets'!AR22/1000000</f>
        <v>0.10586357</v>
      </c>
      <c r="E32" s="1058">
        <f>'Input Merchant Assets'!E22/1000000</f>
        <v>0.87296980000000002</v>
      </c>
      <c r="F32" s="1058">
        <f>('Input Merchant Assets'!J22+'Input Merchant Assets'!U22+'Input Merchant Assets'!AG22+'Input Merchant Assets'!AL22)/1000000</f>
        <v>1.2</v>
      </c>
      <c r="G32" s="1058">
        <f>('Input Merchant Assets'!AS22)/1000000</f>
        <v>2.3245400000000003E-2</v>
      </c>
      <c r="H32" s="1059">
        <f>('Input Merchant Assets'!AV22+'Input Merchant Assets'!AW22)/1000000</f>
        <v>0</v>
      </c>
      <c r="I32" s="1059">
        <f>('Input Merchant Assets'!AZ22+'Input Merchant Assets'!BC22+'Input Merchant Assets'!BD22)/1000000</f>
        <v>0.19139125000000001</v>
      </c>
      <c r="J32" s="1060">
        <f>'Input Merchant Assets'!BM22/1000000</f>
        <v>0</v>
      </c>
      <c r="K32" s="1060">
        <f>('Input Merchant Assets'!BU22+'Input Merchant Assets'!BY22)/1000000</f>
        <v>0</v>
      </c>
      <c r="L32" s="1060">
        <f>'Input Merchant Assets'!DG22/1000000</f>
        <v>0</v>
      </c>
      <c r="M32" s="1059">
        <f>'Input Merchant Assets'!BE22/1000000</f>
        <v>0</v>
      </c>
      <c r="N32" s="1059">
        <f>('Input Merchant Assets'!BQ22+'Input Merchant Assets'!BR22)/1000000</f>
        <v>0</v>
      </c>
      <c r="O32" s="1059">
        <f>('Input Merchant Assets'!BZ22+'Input Merchant Assets'!CJ22+'Input Merchant Assets'!CK22+'Input Merchant Assets'!CL22)/1000000</f>
        <v>0</v>
      </c>
      <c r="P32" s="1059">
        <f>('Input Merchant Assets'!DQ22+'Input Merchant Assets'!DU22)/1000000</f>
        <v>62.676402776605393</v>
      </c>
      <c r="Q32" s="1059">
        <f>'Input Merchant Assets'!DZ22/1000000</f>
        <v>0</v>
      </c>
      <c r="R32" s="1059">
        <f>'Input Merchant Assets'!GB22/1000000</f>
        <v>9.3002948594499983</v>
      </c>
      <c r="S32" s="1059">
        <f>'Input Merchant Assets'!FW22/1000000</f>
        <v>19.799253399999991</v>
      </c>
      <c r="T32" s="1061">
        <f t="shared" si="0"/>
        <v>94.169421056055398</v>
      </c>
      <c r="V32" s="1062">
        <f>T32-'Input Merchant Assets'!GF22/1000000</f>
        <v>0</v>
      </c>
      <c r="W32" s="1063">
        <f t="shared" si="1"/>
        <v>0</v>
      </c>
      <c r="X32" s="1032">
        <f t="shared" si="3"/>
        <v>0</v>
      </c>
    </row>
    <row r="33" spans="2:24" ht="15" customHeight="1">
      <c r="B33" s="1056" t="s">
        <v>338</v>
      </c>
      <c r="C33" s="1137">
        <f>'Input Merchant Assets'!C24</f>
        <v>0</v>
      </c>
      <c r="D33" s="1058">
        <f>'Input Merchant Assets'!AR23/1000000</f>
        <v>0.10586357</v>
      </c>
      <c r="E33" s="1058">
        <f>'Input Merchant Assets'!E23/1000000</f>
        <v>0.87296980000000002</v>
      </c>
      <c r="F33" s="1058">
        <f>('Input Merchant Assets'!J23+'Input Merchant Assets'!U23+'Input Merchant Assets'!AG23+'Input Merchant Assets'!AL23)/1000000</f>
        <v>1.2</v>
      </c>
      <c r="G33" s="1058">
        <f>('Input Merchant Assets'!AS23)/1000000</f>
        <v>2.3245400000000003E-2</v>
      </c>
      <c r="H33" s="1059">
        <f>('Input Merchant Assets'!AV23+'Input Merchant Assets'!AW23)/1000000</f>
        <v>0</v>
      </c>
      <c r="I33" s="1059">
        <f>('Input Merchant Assets'!AZ23+'Input Merchant Assets'!BC23+'Input Merchant Assets'!BD23)/1000000</f>
        <v>0.19139125000000001</v>
      </c>
      <c r="J33" s="1060">
        <f>'Input Merchant Assets'!BM23/1000000</f>
        <v>0</v>
      </c>
      <c r="K33" s="1060">
        <f>('Input Merchant Assets'!BU23+'Input Merchant Assets'!BY23)/1000000</f>
        <v>0</v>
      </c>
      <c r="L33" s="1060">
        <f>'Input Merchant Assets'!DG23/1000000</f>
        <v>0</v>
      </c>
      <c r="M33" s="1059">
        <f>'Input Merchant Assets'!BE23/1000000</f>
        <v>0</v>
      </c>
      <c r="N33" s="1059">
        <f>('Input Merchant Assets'!BQ23+'Input Merchant Assets'!BR23)/1000000</f>
        <v>0</v>
      </c>
      <c r="O33" s="1059">
        <f>('Input Merchant Assets'!BZ23+'Input Merchant Assets'!CJ23+'Input Merchant Assets'!CK23+'Input Merchant Assets'!CL23)/1000000</f>
        <v>0</v>
      </c>
      <c r="P33" s="1059">
        <f>('Input Merchant Assets'!DQ23+'Input Merchant Assets'!DU23)/1000000</f>
        <v>62.676402776605393</v>
      </c>
      <c r="Q33" s="1059">
        <f>'Input Merchant Assets'!DZ23/1000000</f>
        <v>0</v>
      </c>
      <c r="R33" s="1059">
        <f>'Input Merchant Assets'!GB23/1000000</f>
        <v>9.3002948594499983</v>
      </c>
      <c r="S33" s="1059">
        <f>'Input Merchant Assets'!FW23/1000000</f>
        <v>19.799253399999991</v>
      </c>
      <c r="T33" s="1061">
        <f t="shared" si="0"/>
        <v>94.169421056055398</v>
      </c>
      <c r="V33" s="1062">
        <f>T33-'Input Merchant Assets'!GF23/1000000</f>
        <v>0</v>
      </c>
      <c r="W33" s="1063">
        <f t="shared" si="1"/>
        <v>0</v>
      </c>
      <c r="X33" s="1032">
        <f t="shared" si="3"/>
        <v>0</v>
      </c>
    </row>
    <row r="34" spans="2:24" ht="15" customHeight="1">
      <c r="B34" s="1056" t="s">
        <v>339</v>
      </c>
      <c r="C34" s="1137">
        <f>'Input Merchant Assets'!C25</f>
        <v>0</v>
      </c>
      <c r="D34" s="1058">
        <f>'Input Merchant Assets'!AR24/1000000</f>
        <v>6.2841010000000003E-2</v>
      </c>
      <c r="E34" s="1058">
        <f>'Input Merchant Assets'!E24/1000000</f>
        <v>1.8212961600000002</v>
      </c>
      <c r="F34" s="1058">
        <f>('Input Merchant Assets'!J24+'Input Merchant Assets'!U24+'Input Merchant Assets'!AG24+'Input Merchant Assets'!AL24)/1000000</f>
        <v>0.6</v>
      </c>
      <c r="G34" s="1058">
        <f>('Input Merchant Assets'!AS24)/1000000</f>
        <v>2.3245400000000003E-2</v>
      </c>
      <c r="H34" s="1059">
        <f>('Input Merchant Assets'!AV24+'Input Merchant Assets'!AW24)/1000000</f>
        <v>0</v>
      </c>
      <c r="I34" s="1059">
        <f>('Input Merchant Assets'!AZ24+'Input Merchant Assets'!BC24+'Input Merchant Assets'!BD24)/1000000</f>
        <v>0.19139125000000001</v>
      </c>
      <c r="J34" s="1060">
        <f>'Input Merchant Assets'!BM24/1000000</f>
        <v>0</v>
      </c>
      <c r="K34" s="1060">
        <f>('Input Merchant Assets'!BU24+'Input Merchant Assets'!BY24)/1000000</f>
        <v>0</v>
      </c>
      <c r="L34" s="1060">
        <f>'Input Merchant Assets'!DG24/1000000</f>
        <v>0</v>
      </c>
      <c r="M34" s="1059">
        <f>'Input Merchant Assets'!BE24/1000000</f>
        <v>0</v>
      </c>
      <c r="N34" s="1059">
        <f>('Input Merchant Assets'!BQ24+'Input Merchant Assets'!BR24)/1000000</f>
        <v>0</v>
      </c>
      <c r="O34" s="1059">
        <f>('Input Merchant Assets'!BZ24+'Input Merchant Assets'!CJ24+'Input Merchant Assets'!CK24+'Input Merchant Assets'!CL24)/1000000</f>
        <v>0</v>
      </c>
      <c r="P34" s="1059">
        <f>('Input Merchant Assets'!DQ24+'Input Merchant Assets'!DU24)/1000000</f>
        <v>63.362616530096211</v>
      </c>
      <c r="Q34" s="1059">
        <f>'Input Merchant Assets'!DZ24/1000000</f>
        <v>0</v>
      </c>
      <c r="R34" s="1059">
        <f>'Input Merchant Assets'!GB24/1000000</f>
        <v>9.2076472509499983</v>
      </c>
      <c r="S34" s="1059">
        <f>'Input Merchant Assets'!FW24/1000000</f>
        <v>19.838131039999986</v>
      </c>
      <c r="T34" s="1061">
        <f t="shared" si="0"/>
        <v>95.107168641046201</v>
      </c>
      <c r="V34" s="1062">
        <f>T34-'Input Merchant Assets'!GF24/1000000</f>
        <v>0</v>
      </c>
      <c r="W34" s="1063">
        <f t="shared" si="1"/>
        <v>0</v>
      </c>
      <c r="X34" s="1032">
        <f t="shared" si="3"/>
        <v>0</v>
      </c>
    </row>
    <row r="35" spans="2:24" ht="15" customHeight="1">
      <c r="B35" s="1056" t="s">
        <v>340</v>
      </c>
      <c r="C35" s="1137">
        <f>'Input Merchant Assets'!C26</f>
        <v>0</v>
      </c>
      <c r="D35" s="1058">
        <f>'Input Merchant Assets'!AR25/1000000</f>
        <v>7.7645000000000006E-2</v>
      </c>
      <c r="E35" s="1058">
        <f>'Input Merchant Assets'!E25/1000000</f>
        <v>1.7427029999999999</v>
      </c>
      <c r="F35" s="1058">
        <f>('Input Merchant Assets'!J25+'Input Merchant Assets'!U25+'Input Merchant Assets'!AG25+'Input Merchant Assets'!AL25)/1000000</f>
        <v>0.6</v>
      </c>
      <c r="G35" s="1058">
        <f>('Input Merchant Assets'!AS25)/1000000</f>
        <v>4.7399999999999997E-4</v>
      </c>
      <c r="H35" s="1059">
        <f>('Input Merchant Assets'!AV25+'Input Merchant Assets'!AW25)/1000000</f>
        <v>0</v>
      </c>
      <c r="I35" s="1059">
        <f>('Input Merchant Assets'!AZ25+'Input Merchant Assets'!BC25+'Input Merchant Assets'!BD25)/1000000</f>
        <v>0.19139125000000001</v>
      </c>
      <c r="J35" s="1060">
        <f>'Input Merchant Assets'!BM25/1000000</f>
        <v>0</v>
      </c>
      <c r="K35" s="1060">
        <f>('Input Merchant Assets'!BU25+'Input Merchant Assets'!BY25)/1000000</f>
        <v>0</v>
      </c>
      <c r="L35" s="1060">
        <f>'Input Merchant Assets'!DG25/1000000</f>
        <v>0</v>
      </c>
      <c r="M35" s="1059">
        <f>'Input Merchant Assets'!BE25/1000000</f>
        <v>0</v>
      </c>
      <c r="N35" s="1059">
        <f>('Input Merchant Assets'!BQ25+'Input Merchant Assets'!BR25)/1000000</f>
        <v>0</v>
      </c>
      <c r="O35" s="1059">
        <f>('Input Merchant Assets'!BZ25+'Input Merchant Assets'!CJ25+'Input Merchant Assets'!CK25+'Input Merchant Assets'!CL25)/1000000</f>
        <v>0</v>
      </c>
      <c r="P35" s="1059">
        <f>('Input Merchant Assets'!DQ25+'Input Merchant Assets'!DU25)/1000000</f>
        <v>63.567872000000001</v>
      </c>
      <c r="Q35" s="1059">
        <f>'Input Merchant Assets'!DZ25/1000000</f>
        <v>0</v>
      </c>
      <c r="R35" s="1059">
        <f>'Input Merchant Assets'!GB25/1000000</f>
        <v>9.2864819999999995</v>
      </c>
      <c r="S35" s="1059">
        <f>'Input Merchant Assets'!FW25/1000000</f>
        <v>19.705570999999999</v>
      </c>
      <c r="T35" s="1061">
        <f t="shared" si="0"/>
        <v>95.172138249999989</v>
      </c>
      <c r="V35" s="1062">
        <f>T35-'Input Merchant Assets'!GF25/1000000</f>
        <v>0</v>
      </c>
      <c r="W35" s="1063">
        <f t="shared" si="1"/>
        <v>0</v>
      </c>
      <c r="X35" s="1032">
        <f t="shared" si="3"/>
        <v>0</v>
      </c>
    </row>
    <row r="36" spans="2:24" ht="15" customHeight="1">
      <c r="B36" s="1056" t="s">
        <v>341</v>
      </c>
      <c r="C36" s="1137">
        <f>'Input Merchant Assets'!C27</f>
        <v>0</v>
      </c>
      <c r="D36" s="1058">
        <f>'Input Merchant Assets'!AR26/1000000</f>
        <v>5.4306E-2</v>
      </c>
      <c r="E36" s="1058">
        <f>'Input Merchant Assets'!E26/1000000</f>
        <v>1.719678</v>
      </c>
      <c r="F36" s="1058">
        <f>('Input Merchant Assets'!J26+'Input Merchant Assets'!U26+'Input Merchant Assets'!AG26+'Input Merchant Assets'!AL26)/1000000</f>
        <v>0.6</v>
      </c>
      <c r="G36" s="1058">
        <f>('Input Merchant Assets'!AS26)/1000000</f>
        <v>4.7399999999999997E-4</v>
      </c>
      <c r="H36" s="1059">
        <f>('Input Merchant Assets'!AV26+'Input Merchant Assets'!AW26)/1000000</f>
        <v>0</v>
      </c>
      <c r="I36" s="1059">
        <f>('Input Merchant Assets'!AZ26+'Input Merchant Assets'!BC26+'Input Merchant Assets'!BD26)/1000000</f>
        <v>0.19139125000000001</v>
      </c>
      <c r="J36" s="1060">
        <f>'Input Merchant Assets'!BM26/1000000</f>
        <v>0</v>
      </c>
      <c r="K36" s="1060">
        <f>('Input Merchant Assets'!BU26+'Input Merchant Assets'!BY26)/1000000</f>
        <v>0</v>
      </c>
      <c r="L36" s="1060">
        <f>'Input Merchant Assets'!DG26/1000000</f>
        <v>0</v>
      </c>
      <c r="M36" s="1059">
        <f>'Input Merchant Assets'!BE26/1000000</f>
        <v>0</v>
      </c>
      <c r="N36" s="1059">
        <f>('Input Merchant Assets'!BQ26+'Input Merchant Assets'!BR26)/1000000</f>
        <v>0</v>
      </c>
      <c r="O36" s="1059">
        <f>('Input Merchant Assets'!BZ26+'Input Merchant Assets'!CJ26+'Input Merchant Assets'!CK26+'Input Merchant Assets'!CL26)/1000000</f>
        <v>0</v>
      </c>
      <c r="P36" s="1059">
        <f>('Input Merchant Assets'!DQ26+'Input Merchant Assets'!DU26)/1000000</f>
        <v>63.934961999999999</v>
      </c>
      <c r="Q36" s="1059">
        <f>'Input Merchant Assets'!DZ26/1000000</f>
        <v>0</v>
      </c>
      <c r="R36" s="1059">
        <f>'Input Merchant Assets'!GB26/1000000</f>
        <v>9.4333570000000009</v>
      </c>
      <c r="S36" s="1059">
        <f>'Input Merchant Assets'!FW26/1000000</f>
        <v>19.573008999999999</v>
      </c>
      <c r="T36" s="1061">
        <f t="shared" si="0"/>
        <v>95.507177249999998</v>
      </c>
      <c r="V36" s="1062">
        <f>T36-'Input Merchant Assets'!GF26/1000000</f>
        <v>0</v>
      </c>
      <c r="W36" s="1063">
        <f t="shared" si="1"/>
        <v>0</v>
      </c>
      <c r="X36" s="1032">
        <f t="shared" si="3"/>
        <v>0</v>
      </c>
    </row>
    <row r="37" spans="2:24" ht="15" customHeight="1">
      <c r="B37" s="1056" t="s">
        <v>342</v>
      </c>
      <c r="C37" s="1137">
        <f>'Input Merchant Assets'!C28</f>
        <v>0</v>
      </c>
      <c r="D37" s="1058">
        <f>'Input Merchant Assets'!AR27/1000000</f>
        <v>5.4306E-2</v>
      </c>
      <c r="E37" s="1058">
        <f>'Input Merchant Assets'!E27/1000000</f>
        <v>1.119678</v>
      </c>
      <c r="F37" s="1058">
        <f>('Input Merchant Assets'!J27+'Input Merchant Assets'!U27+'Input Merchant Assets'!AG27+'Input Merchant Assets'!AL27)/1000000</f>
        <v>0.6</v>
      </c>
      <c r="G37" s="1058">
        <f>('Input Merchant Assets'!AS27)/1000000</f>
        <v>4.7399999999999997E-4</v>
      </c>
      <c r="H37" s="1059">
        <f>('Input Merchant Assets'!AV27+'Input Merchant Assets'!AW27)/1000000</f>
        <v>0</v>
      </c>
      <c r="I37" s="1059">
        <f>('Input Merchant Assets'!AZ27+'Input Merchant Assets'!BC27+'Input Merchant Assets'!BD27)/1000000</f>
        <v>0.19139125000000001</v>
      </c>
      <c r="J37" s="1060">
        <f>'Input Merchant Assets'!BM27/1000000</f>
        <v>0</v>
      </c>
      <c r="K37" s="1060">
        <f>('Input Merchant Assets'!BU27+'Input Merchant Assets'!BY27)/1000000</f>
        <v>0</v>
      </c>
      <c r="L37" s="1060">
        <f>'Input Merchant Assets'!DG27/1000000</f>
        <v>0</v>
      </c>
      <c r="M37" s="1059">
        <f>'Input Merchant Assets'!BE27/1000000</f>
        <v>0</v>
      </c>
      <c r="N37" s="1059">
        <f>('Input Merchant Assets'!BQ27+'Input Merchant Assets'!BR27)/1000000</f>
        <v>0</v>
      </c>
      <c r="O37" s="1059">
        <f>('Input Merchant Assets'!BZ27+'Input Merchant Assets'!CJ27+'Input Merchant Assets'!CK27+'Input Merchant Assets'!CL27)/1000000</f>
        <v>0</v>
      </c>
      <c r="P37" s="1059">
        <f>('Input Merchant Assets'!DQ27+'Input Merchant Assets'!DU27)/1000000</f>
        <v>64.534961999999993</v>
      </c>
      <c r="Q37" s="1059">
        <f>'Input Merchant Assets'!DZ27/1000000</f>
        <v>0</v>
      </c>
      <c r="R37" s="1059">
        <f>'Input Merchant Assets'!GB27/1000000</f>
        <v>9.4333570000000009</v>
      </c>
      <c r="S37" s="1059">
        <f>'Input Merchant Assets'!FW27/1000000</f>
        <v>19.573008999999999</v>
      </c>
      <c r="T37" s="1061">
        <f t="shared" si="0"/>
        <v>95.507177249999998</v>
      </c>
      <c r="V37" s="1062">
        <f>T37-'Input Merchant Assets'!GF27/1000000</f>
        <v>0</v>
      </c>
      <c r="W37" s="1063">
        <f t="shared" si="1"/>
        <v>0</v>
      </c>
      <c r="X37" s="1032">
        <f t="shared" si="3"/>
        <v>0</v>
      </c>
    </row>
    <row r="38" spans="2:24" ht="15" customHeight="1">
      <c r="B38" s="1056" t="s">
        <v>343</v>
      </c>
      <c r="C38" s="1137">
        <f>'Input Merchant Assets'!C29</f>
        <v>0</v>
      </c>
      <c r="D38" s="1058">
        <f>'Input Merchant Assets'!AR28/1000000</f>
        <v>1.5200000000000001E-3</v>
      </c>
      <c r="E38" s="1058">
        <f>'Input Merchant Assets'!E28/1000000</f>
        <v>1.7196783899999999</v>
      </c>
      <c r="F38" s="1058">
        <f>('Input Merchant Assets'!J28+'Input Merchant Assets'!U28+'Input Merchant Assets'!AG28+'Input Merchant Assets'!AL28)/1000000</f>
        <v>0.65278614000000001</v>
      </c>
      <c r="G38" s="1058">
        <f>('Input Merchant Assets'!AS28)/1000000</f>
        <v>4.7399999999999997E-4</v>
      </c>
      <c r="H38" s="1059">
        <f>('Input Merchant Assets'!AV28+'Input Merchant Assets'!AW28)/1000000</f>
        <v>0</v>
      </c>
      <c r="I38" s="1059">
        <f>('Input Merchant Assets'!AZ28+'Input Merchant Assets'!BC28+'Input Merchant Assets'!BD28)/1000000</f>
        <v>0.19139125000000001</v>
      </c>
      <c r="J38" s="1060">
        <f>'Input Merchant Assets'!BM28/1000000</f>
        <v>0</v>
      </c>
      <c r="K38" s="1060">
        <f>('Input Merchant Assets'!BU28+'Input Merchant Assets'!BY28)/1000000</f>
        <v>0</v>
      </c>
      <c r="L38" s="1060">
        <f>'Input Merchant Assets'!DG28/1000000</f>
        <v>0</v>
      </c>
      <c r="M38" s="1059">
        <f>'Input Merchant Assets'!BE28/1000000</f>
        <v>0</v>
      </c>
      <c r="N38" s="1059">
        <f>('Input Merchant Assets'!BQ28+'Input Merchant Assets'!BR28)/1000000</f>
        <v>0</v>
      </c>
      <c r="O38" s="1059">
        <f>('Input Merchant Assets'!BZ28+'Input Merchant Assets'!CJ28+'Input Merchant Assets'!CK28+'Input Merchant Assets'!CL28)/1000000</f>
        <v>0</v>
      </c>
      <c r="P38" s="1059">
        <f>('Input Merchant Assets'!DQ28+'Input Merchant Assets'!DU28)/1000000</f>
        <v>63.934961590096215</v>
      </c>
      <c r="Q38" s="1059">
        <f>'Input Merchant Assets'!DZ28/1000000</f>
        <v>0</v>
      </c>
      <c r="R38" s="1059">
        <f>'Input Merchant Assets'!GB28/1000000</f>
        <v>9.5056452414500008</v>
      </c>
      <c r="S38" s="1059">
        <f>'Input Merchant Assets'!FW28/1000000</f>
        <v>19.57300867999999</v>
      </c>
      <c r="T38" s="1061">
        <f t="shared" si="0"/>
        <v>95.5794652915462</v>
      </c>
      <c r="V38" s="1062">
        <f>T38-'Input Merchant Assets'!GF28/1000000</f>
        <v>0</v>
      </c>
      <c r="W38" s="1063">
        <f t="shared" si="1"/>
        <v>0</v>
      </c>
      <c r="X38" s="1032">
        <f t="shared" si="3"/>
        <v>0</v>
      </c>
    </row>
    <row r="39" spans="2:24" ht="15" customHeight="1">
      <c r="B39" s="1056" t="s">
        <v>344</v>
      </c>
      <c r="C39" s="1137">
        <f>'Input Merchant Assets'!C30</f>
        <v>0</v>
      </c>
      <c r="D39" s="1058">
        <f>'Input Merchant Assets'!AR29/1000000</f>
        <v>0.11072637</v>
      </c>
      <c r="E39" s="1058">
        <f>'Input Merchant Assets'!E29/1000000</f>
        <v>1.59123404</v>
      </c>
      <c r="F39" s="1058">
        <f>('Input Merchant Assets'!J29+'Input Merchant Assets'!U29+'Input Merchant Assets'!AG29+'Input Merchant Assets'!AL29)/1000000</f>
        <v>0</v>
      </c>
      <c r="G39" s="1058">
        <f>('Input Merchant Assets'!AS29)/1000000</f>
        <v>2.1245859999999998E-2</v>
      </c>
      <c r="H39" s="1059">
        <f>('Input Merchant Assets'!AV29+'Input Merchant Assets'!AW29)/1000000</f>
        <v>0</v>
      </c>
      <c r="I39" s="1059">
        <f>('Input Merchant Assets'!AZ29+'Input Merchant Assets'!BC29+'Input Merchant Assets'!BD29)/1000000</f>
        <v>0.19139125000000001</v>
      </c>
      <c r="J39" s="1060">
        <f>'Input Merchant Assets'!BM29/1000000</f>
        <v>0</v>
      </c>
      <c r="K39" s="1060">
        <f>('Input Merchant Assets'!BU29+'Input Merchant Assets'!BY29)/1000000</f>
        <v>0</v>
      </c>
      <c r="L39" s="1060">
        <f>'Input Merchant Assets'!DG29/1000000</f>
        <v>0</v>
      </c>
      <c r="M39" s="1059">
        <f>'Input Merchant Assets'!BE29/1000000</f>
        <v>0</v>
      </c>
      <c r="N39" s="1059">
        <f>('Input Merchant Assets'!BQ29+'Input Merchant Assets'!BR29)/1000000</f>
        <v>0</v>
      </c>
      <c r="O39" s="1059">
        <f>('Input Merchant Assets'!BZ29+'Input Merchant Assets'!CJ29+'Input Merchant Assets'!CK29+'Input Merchant Assets'!CL29)/1000000</f>
        <v>0</v>
      </c>
      <c r="P39" s="1059">
        <f>('Input Merchant Assets'!DQ29+'Input Merchant Assets'!DU29)/1000000</f>
        <v>59.829207695590526</v>
      </c>
      <c r="Q39" s="1059">
        <f>'Input Merchant Assets'!DZ29/1000000</f>
        <v>0</v>
      </c>
      <c r="R39" s="1059">
        <f>'Input Merchant Assets'!GB29/1000000</f>
        <v>9.3588664334999994</v>
      </c>
      <c r="S39" s="1059">
        <f>'Input Merchant Assets'!FW29/1000000</f>
        <v>20.462059299999996</v>
      </c>
      <c r="T39" s="1061">
        <f t="shared" si="0"/>
        <v>91.564730949090517</v>
      </c>
      <c r="V39" s="1062">
        <f>T39-'Input Merchant Assets'!GF29/1000000</f>
        <v>0</v>
      </c>
      <c r="W39" s="1063">
        <f t="shared" si="1"/>
        <v>0</v>
      </c>
      <c r="X39" s="1032">
        <f t="shared" si="3"/>
        <v>0</v>
      </c>
    </row>
    <row r="40" spans="2:24" ht="15" customHeight="1">
      <c r="B40" s="1059"/>
      <c r="C40" s="1137"/>
      <c r="D40" s="1058"/>
      <c r="E40" s="1058"/>
      <c r="F40" s="1058"/>
      <c r="G40" s="1058"/>
      <c r="H40" s="1059"/>
      <c r="I40" s="1059"/>
      <c r="J40" s="1060"/>
      <c r="K40" s="1060"/>
      <c r="L40" s="1060"/>
      <c r="M40" s="1059"/>
      <c r="N40" s="1059"/>
      <c r="O40" s="1059"/>
      <c r="P40" s="1059"/>
      <c r="Q40" s="1059"/>
      <c r="R40" s="1059"/>
      <c r="S40" s="1059"/>
      <c r="T40" s="1061"/>
      <c r="V40" s="1062"/>
      <c r="W40" s="1063"/>
    </row>
    <row r="41" spans="2:24" ht="15" customHeight="1">
      <c r="B41" s="1066">
        <v>2017</v>
      </c>
      <c r="C41" s="1138"/>
      <c r="D41" s="1059"/>
      <c r="E41" s="1059"/>
      <c r="F41" s="1059"/>
      <c r="G41" s="1059"/>
      <c r="H41" s="1059"/>
      <c r="I41" s="1059"/>
      <c r="J41" s="1059"/>
      <c r="K41" s="1059"/>
      <c r="L41" s="1059"/>
      <c r="M41" s="1059"/>
      <c r="N41" s="1059"/>
      <c r="O41" s="1059"/>
      <c r="P41" s="1059"/>
      <c r="Q41" s="1059"/>
      <c r="R41" s="1059"/>
      <c r="S41" s="1059"/>
      <c r="T41" s="1061"/>
    </row>
    <row r="42" spans="2:24" ht="15" customHeight="1">
      <c r="B42" s="1059" t="s">
        <v>345</v>
      </c>
      <c r="C42" s="1137">
        <f>'Input Merchant Assets'!C33</f>
        <v>0</v>
      </c>
      <c r="D42" s="1058">
        <f>'Input Merchant Assets'!AR32/1000000</f>
        <v>1.2821399999999922E-3</v>
      </c>
      <c r="E42" s="1058">
        <f>'Input Merchant Assets'!E32/1000000</f>
        <v>2.1279287299999998</v>
      </c>
      <c r="F42" s="1058">
        <f>('Input Merchant Assets'!J32+'Input Merchant Assets'!U32+'Input Merchant Assets'!AG32+'Input Merchant Assets'!AL32)/1000000</f>
        <v>5.3024000000000002E-2</v>
      </c>
      <c r="G42" s="1058">
        <f>('Input Merchant Assets'!AS32)/1000000</f>
        <v>4.7422000000000002E-4</v>
      </c>
      <c r="H42" s="1059">
        <f>('Input Merchant Assets'!AV32+'Input Merchant Assets'!AW32)/1000000</f>
        <v>0</v>
      </c>
      <c r="I42" s="1059">
        <f>('Input Merchant Assets'!AZ32+'Input Merchant Assets'!BC32+'Input Merchant Assets'!BD32)/1000000</f>
        <v>0.19139125000000001</v>
      </c>
      <c r="J42" s="1060">
        <f>'Input Merchant Assets'!BM32/1000000</f>
        <v>0</v>
      </c>
      <c r="K42" s="1060">
        <f>('Input Merchant Assets'!BU32+'Input Merchant Assets'!BY32)/1000000</f>
        <v>0</v>
      </c>
      <c r="L42" s="1060">
        <f>'Input Merchant Assets'!DG32/1000000</f>
        <v>0</v>
      </c>
      <c r="M42" s="1059">
        <f>'Input Merchant Assets'!BE32/1000000</f>
        <v>0</v>
      </c>
      <c r="N42" s="1059">
        <f>('Input Merchant Assets'!BQ32+'Input Merchant Assets'!BR32)/1000000</f>
        <v>0</v>
      </c>
      <c r="O42" s="1059">
        <f>('Input Merchant Assets'!BZ32+'Input Merchant Assets'!CJ32+'Input Merchant Assets'!CK32+'Input Merchant Assets'!CL32)/1000000</f>
        <v>0</v>
      </c>
      <c r="P42" s="1059">
        <f>('Input Merchant Assets'!DQ32+'Input Merchant Assets'!DU32)/1000000</f>
        <v>64.534961590096216</v>
      </c>
      <c r="Q42" s="1059">
        <f>'Input Merchant Assets'!DZ32/1000000</f>
        <v>0</v>
      </c>
      <c r="R42" s="1059">
        <f>'Input Merchant Assets'!GB32/1000000</f>
        <v>9.8819862414500008</v>
      </c>
      <c r="S42" s="1059">
        <f>'Input Merchant Assets'!FW32/1000000</f>
        <v>19.04850211999997</v>
      </c>
      <c r="T42" s="1061">
        <f>SUM(C42:S42)</f>
        <v>95.839550291546175</v>
      </c>
      <c r="V42" s="1062">
        <f>T42-'Input Merchant Assets'!GF32/1000000</f>
        <v>0</v>
      </c>
      <c r="W42" s="1063">
        <f>+V42/T42</f>
        <v>0</v>
      </c>
      <c r="X42" s="1032">
        <f>+V42*1000000</f>
        <v>0</v>
      </c>
    </row>
    <row r="43" spans="2:24" ht="15" customHeight="1">
      <c r="B43" s="1059" t="s">
        <v>334</v>
      </c>
      <c r="C43" s="1137">
        <f>'Input Merchant Assets'!C34</f>
        <v>0</v>
      </c>
      <c r="D43" s="1058">
        <f>'Input Merchant Assets'!AR33/1000000</f>
        <v>1.2821399999999922E-3</v>
      </c>
      <c r="E43" s="1058">
        <f>'Input Merchant Assets'!E33/1000000</f>
        <v>2.0412340000000002</v>
      </c>
      <c r="F43" s="1058">
        <f>('Input Merchant Assets'!J33+'Input Merchant Assets'!U33+'Input Merchant Assets'!AG33+'Input Merchant Assets'!AL33)/1000000</f>
        <v>5.3024000000000002E-2</v>
      </c>
      <c r="G43" s="1058">
        <f>('Input Merchant Assets'!AS33)/1000000</f>
        <v>4.7422000000000002E-4</v>
      </c>
      <c r="H43" s="1059">
        <f>('Input Merchant Assets'!AV33+'Input Merchant Assets'!AW33)/1000000</f>
        <v>0</v>
      </c>
      <c r="I43" s="1059">
        <f>('Input Merchant Assets'!AZ33+'Input Merchant Assets'!BC33+'Input Merchant Assets'!BD33)/1000000</f>
        <v>0.19139125000000001</v>
      </c>
      <c r="J43" s="1060">
        <f>'Input Merchant Assets'!BM33/1000000</f>
        <v>0</v>
      </c>
      <c r="K43" s="1060">
        <f>('Input Merchant Assets'!BU33+'Input Merchant Assets'!BY33)/1000000</f>
        <v>0</v>
      </c>
      <c r="L43" s="1060">
        <f>'Input Merchant Assets'!DG33/1000000</f>
        <v>0</v>
      </c>
      <c r="M43" s="1059">
        <f>'Input Merchant Assets'!BE33/1000000</f>
        <v>0</v>
      </c>
      <c r="N43" s="1059">
        <f>('Input Merchant Assets'!BQ33+'Input Merchant Assets'!BR33)/1000000</f>
        <v>0</v>
      </c>
      <c r="O43" s="1059">
        <f>('Input Merchant Assets'!BZ33+'Input Merchant Assets'!CJ33+'Input Merchant Assets'!CK33+'Input Merchant Assets'!CL33)/1000000</f>
        <v>0</v>
      </c>
      <c r="P43" s="1059">
        <f>('Input Merchant Assets'!DQ33+'Input Merchant Assets'!DU33)/1000000</f>
        <v>64.534961590096216</v>
      </c>
      <c r="Q43" s="1059">
        <f>'Input Merchant Assets'!DZ33/1000000</f>
        <v>0</v>
      </c>
      <c r="R43" s="1059">
        <f>'Input Merchant Assets'!GB33/1000000</f>
        <v>9.8819862414500008</v>
      </c>
      <c r="S43" s="1059">
        <f>'Input Merchant Assets'!FW33/1000000</f>
        <v>19.04850211999997</v>
      </c>
      <c r="T43" s="1061">
        <f>SUM(C43:S43)</f>
        <v>95.75285556154617</v>
      </c>
      <c r="V43" s="1062">
        <f>T43-'Input Merchant Assets'!GF33/1000000</f>
        <v>0</v>
      </c>
      <c r="W43" s="1063">
        <f>+V43/T43</f>
        <v>0</v>
      </c>
      <c r="X43" s="1032">
        <f>+V43*1000000</f>
        <v>0</v>
      </c>
    </row>
    <row r="44" spans="2:24" ht="15" customHeight="1" thickBot="1">
      <c r="B44" s="1067"/>
      <c r="C44" s="1067"/>
      <c r="D44" s="1068"/>
      <c r="E44" s="1068"/>
      <c r="F44" s="1068"/>
      <c r="G44" s="1068"/>
      <c r="H44" s="1068"/>
      <c r="I44" s="1068"/>
      <c r="J44" s="1068"/>
      <c r="K44" s="1068"/>
      <c r="L44" s="1068"/>
      <c r="M44" s="1069"/>
      <c r="N44" s="1068"/>
      <c r="O44" s="1069"/>
      <c r="P44" s="1068"/>
      <c r="Q44" s="1068"/>
      <c r="R44" s="1068"/>
      <c r="S44" s="1068"/>
      <c r="T44" s="1070"/>
    </row>
    <row r="45" spans="2:24" ht="10.8" thickTop="1"/>
    <row r="46" spans="2:24" ht="16.8">
      <c r="B46" s="965" t="s">
        <v>1360</v>
      </c>
      <c r="C46" s="928"/>
      <c r="D46" s="928"/>
      <c r="E46" s="1071"/>
      <c r="F46" s="1071"/>
      <c r="G46" s="1071"/>
      <c r="H46" s="1071"/>
      <c r="I46" s="1071"/>
      <c r="J46" s="1071"/>
      <c r="K46" s="1071"/>
      <c r="L46" s="1071"/>
      <c r="M46" s="1071"/>
      <c r="N46" s="1071"/>
      <c r="O46" s="1071"/>
      <c r="P46" s="1071"/>
      <c r="Q46" s="1071"/>
      <c r="R46" s="1071"/>
      <c r="S46" s="1071"/>
      <c r="T46" s="1071"/>
      <c r="U46" s="1072"/>
    </row>
    <row r="47" spans="2:24">
      <c r="D47" s="1071"/>
      <c r="E47" s="1071"/>
      <c r="F47" s="1071"/>
      <c r="G47" s="1071"/>
      <c r="H47" s="1071"/>
      <c r="I47" s="1071"/>
      <c r="J47" s="1071"/>
      <c r="K47" s="1071"/>
      <c r="L47" s="1071"/>
      <c r="M47" s="1071"/>
      <c r="N47" s="1071"/>
      <c r="O47" s="1071"/>
      <c r="P47" s="1071"/>
      <c r="Q47" s="1071"/>
      <c r="R47" s="1071"/>
      <c r="S47" s="1071"/>
      <c r="T47" s="1071"/>
      <c r="U47" s="1072"/>
    </row>
    <row r="48" spans="2:24" ht="15.6">
      <c r="B48" s="239" t="s">
        <v>998</v>
      </c>
    </row>
    <row r="49" spans="2:24" s="923" customFormat="1" ht="13.8">
      <c r="B49" s="1073">
        <v>1</v>
      </c>
      <c r="C49" s="923" t="s">
        <v>1710</v>
      </c>
      <c r="V49" s="1074"/>
      <c r="W49" s="1075"/>
      <c r="X49" s="1076"/>
    </row>
    <row r="50" spans="2:24" s="923" customFormat="1" ht="13.8">
      <c r="B50" s="1073">
        <v>2</v>
      </c>
      <c r="C50" s="923" t="s">
        <v>1711</v>
      </c>
      <c r="V50" s="1074"/>
      <c r="W50" s="1075"/>
      <c r="X50" s="1076"/>
    </row>
    <row r="51" spans="2:24" s="923" customFormat="1" ht="13.8">
      <c r="B51" s="1073">
        <v>3</v>
      </c>
      <c r="C51" s="923" t="s">
        <v>1712</v>
      </c>
      <c r="V51" s="1074"/>
      <c r="W51" s="1075"/>
      <c r="X51" s="1076"/>
    </row>
    <row r="52" spans="2:24" s="923" customFormat="1" ht="13.8">
      <c r="V52" s="1074"/>
      <c r="W52" s="1075"/>
      <c r="X52" s="1076"/>
    </row>
    <row r="53" spans="2:24" s="923" customFormat="1" ht="13.8">
      <c r="V53" s="1074"/>
      <c r="W53" s="1075"/>
      <c r="X53" s="1076"/>
    </row>
    <row r="54" spans="2:24" s="923" customFormat="1" ht="13.8">
      <c r="V54" s="1074"/>
      <c r="W54" s="1075"/>
      <c r="X54" s="1076"/>
    </row>
    <row r="55" spans="2:24" s="923" customFormat="1" ht="13.8">
      <c r="V55" s="1074"/>
      <c r="W55" s="1075"/>
      <c r="X55" s="1076"/>
    </row>
    <row r="56" spans="2:24" s="923" customFormat="1" ht="13.8">
      <c r="V56" s="1074"/>
      <c r="W56" s="1075"/>
      <c r="X56" s="1076"/>
    </row>
    <row r="57" spans="2:24" s="923" customFormat="1" ht="13.8">
      <c r="V57" s="1074"/>
      <c r="W57" s="1075"/>
      <c r="X57" s="1076"/>
    </row>
    <row r="58" spans="2:24" s="923" customFormat="1" ht="13.8">
      <c r="V58" s="1074"/>
      <c r="W58" s="1075"/>
      <c r="X58" s="1076"/>
    </row>
    <row r="59" spans="2:24" s="923" customFormat="1" ht="13.8">
      <c r="V59" s="1074"/>
      <c r="W59" s="1075"/>
      <c r="X59" s="1076"/>
    </row>
    <row r="60" spans="2:24" s="923" customFormat="1" ht="13.8">
      <c r="V60" s="1074"/>
      <c r="W60" s="1075"/>
      <c r="X60" s="1076"/>
    </row>
    <row r="61" spans="2:24" s="923" customFormat="1" ht="13.8">
      <c r="V61" s="1074"/>
      <c r="W61" s="1075"/>
      <c r="X61" s="1076"/>
    </row>
    <row r="62" spans="2:24" s="923" customFormat="1" ht="13.8">
      <c r="V62" s="1074"/>
      <c r="W62" s="1075"/>
      <c r="X62" s="1076"/>
    </row>
    <row r="63" spans="2:24" s="923" customFormat="1" ht="13.8">
      <c r="V63" s="1074"/>
      <c r="W63" s="1075"/>
      <c r="X63" s="1076"/>
    </row>
    <row r="64" spans="2:24" s="923" customFormat="1" ht="13.8">
      <c r="V64" s="1074"/>
      <c r="W64" s="1075"/>
      <c r="X64" s="1076"/>
    </row>
    <row r="65" spans="22:24" s="923" customFormat="1" ht="13.8">
      <c r="V65" s="1074"/>
      <c r="W65" s="1075"/>
      <c r="X65" s="1076"/>
    </row>
    <row r="66" spans="22:24" s="923" customFormat="1" ht="13.8">
      <c r="V66" s="1074"/>
      <c r="W66" s="1075"/>
      <c r="X66" s="1076"/>
    </row>
    <row r="67" spans="22:24" s="923" customFormat="1" ht="13.8">
      <c r="V67" s="1074"/>
      <c r="W67" s="1075"/>
      <c r="X67" s="1076"/>
    </row>
    <row r="68" spans="22:24" s="923" customFormat="1" ht="13.8">
      <c r="V68" s="1074"/>
      <c r="W68" s="1075"/>
      <c r="X68" s="1076"/>
    </row>
    <row r="69" spans="22:24" s="923" customFormat="1" ht="13.8">
      <c r="V69" s="1074"/>
      <c r="W69" s="1075"/>
      <c r="X69" s="1076"/>
    </row>
    <row r="70" spans="22:24" s="923" customFormat="1" ht="13.8">
      <c r="V70" s="1074"/>
      <c r="W70" s="1075"/>
      <c r="X70" s="1076"/>
    </row>
    <row r="71" spans="22:24" s="923" customFormat="1" ht="13.8">
      <c r="V71" s="1074"/>
      <c r="W71" s="1075"/>
      <c r="X71" s="1076"/>
    </row>
    <row r="72" spans="22:24" s="923" customFormat="1" ht="13.8">
      <c r="V72" s="1074"/>
      <c r="W72" s="1075"/>
      <c r="X72" s="1076"/>
    </row>
    <row r="73" spans="22:24" s="923" customFormat="1" ht="13.8">
      <c r="V73" s="1074"/>
      <c r="W73" s="1075"/>
      <c r="X73" s="1076"/>
    </row>
    <row r="74" spans="22:24" s="923" customFormat="1" ht="13.8">
      <c r="V74" s="1074"/>
      <c r="W74" s="1075"/>
      <c r="X74" s="1076"/>
    </row>
    <row r="75" spans="22:24" s="923" customFormat="1" ht="13.8">
      <c r="V75" s="1074"/>
      <c r="W75" s="1075"/>
      <c r="X75" s="1076"/>
    </row>
    <row r="76" spans="22:24" s="923" customFormat="1" ht="13.8">
      <c r="V76" s="1074"/>
      <c r="W76" s="1075"/>
      <c r="X76" s="1076"/>
    </row>
    <row r="77" spans="22:24" s="923" customFormat="1" ht="13.8">
      <c r="V77" s="1074"/>
      <c r="W77" s="1075"/>
      <c r="X77" s="1076"/>
    </row>
    <row r="78" spans="22:24" s="923" customFormat="1" ht="13.8">
      <c r="V78" s="1074"/>
      <c r="W78" s="1075"/>
      <c r="X78" s="1076"/>
    </row>
    <row r="79" spans="22:24" s="923" customFormat="1" ht="13.8">
      <c r="V79" s="1074"/>
      <c r="W79" s="1075"/>
      <c r="X79" s="1076"/>
    </row>
    <row r="80" spans="22:24" s="923" customFormat="1" ht="13.8">
      <c r="V80" s="1074"/>
      <c r="W80" s="1075"/>
      <c r="X80" s="1076"/>
    </row>
    <row r="81" spans="22:24" s="923" customFormat="1" ht="13.8">
      <c r="V81" s="1074"/>
      <c r="W81" s="1075"/>
      <c r="X81" s="1076"/>
    </row>
    <row r="82" spans="22:24" s="923" customFormat="1" ht="13.8">
      <c r="V82" s="1074"/>
      <c r="W82" s="1075"/>
      <c r="X82" s="1076"/>
    </row>
    <row r="83" spans="22:24" s="923" customFormat="1" ht="13.8">
      <c r="V83" s="1074"/>
      <c r="W83" s="1075"/>
      <c r="X83" s="1076"/>
    </row>
    <row r="84" spans="22:24" s="923" customFormat="1" ht="13.8">
      <c r="V84" s="1074"/>
      <c r="W84" s="1075"/>
      <c r="X84" s="1076"/>
    </row>
    <row r="85" spans="22:24" s="923" customFormat="1" ht="13.8">
      <c r="V85" s="1074"/>
      <c r="W85" s="1075"/>
      <c r="X85" s="1076"/>
    </row>
    <row r="86" spans="22:24" s="923" customFormat="1" ht="13.8">
      <c r="V86" s="1074"/>
      <c r="W86" s="1075"/>
      <c r="X86" s="1076"/>
    </row>
    <row r="87" spans="22:24" s="923" customFormat="1" ht="13.8">
      <c r="V87" s="1074"/>
      <c r="W87" s="1075"/>
      <c r="X87" s="1076"/>
    </row>
    <row r="88" spans="22:24" s="923" customFormat="1" ht="13.8">
      <c r="V88" s="1074"/>
      <c r="W88" s="1075"/>
      <c r="X88" s="1076"/>
    </row>
    <row r="89" spans="22:24" s="923" customFormat="1" ht="13.8">
      <c r="V89" s="1074"/>
      <c r="W89" s="1075"/>
      <c r="X89" s="1076"/>
    </row>
    <row r="90" spans="22:24" s="923" customFormat="1" ht="13.8">
      <c r="V90" s="1074"/>
      <c r="W90" s="1075"/>
      <c r="X90" s="1076"/>
    </row>
    <row r="91" spans="22:24" s="923" customFormat="1" ht="13.8">
      <c r="V91" s="1074"/>
      <c r="W91" s="1075"/>
      <c r="X91" s="1076"/>
    </row>
    <row r="92" spans="22:24" s="923" customFormat="1" ht="13.8">
      <c r="V92" s="1074"/>
      <c r="W92" s="1075"/>
      <c r="X92" s="1076"/>
    </row>
    <row r="93" spans="22:24" s="923" customFormat="1" ht="13.8">
      <c r="V93" s="1074"/>
      <c r="W93" s="1075"/>
      <c r="X93" s="1076"/>
    </row>
    <row r="94" spans="22:24" s="923" customFormat="1" ht="13.8">
      <c r="V94" s="1074"/>
      <c r="W94" s="1075"/>
      <c r="X94" s="1076"/>
    </row>
    <row r="95" spans="22:24" s="923" customFormat="1" ht="13.8">
      <c r="V95" s="1074"/>
      <c r="W95" s="1075"/>
      <c r="X95" s="1076"/>
    </row>
    <row r="96" spans="22:24" s="923" customFormat="1" ht="13.8">
      <c r="V96" s="1074"/>
      <c r="W96" s="1075"/>
      <c r="X96" s="1076"/>
    </row>
    <row r="97" spans="22:24" s="923" customFormat="1" ht="13.8">
      <c r="V97" s="1074"/>
      <c r="W97" s="1075"/>
      <c r="X97" s="1076"/>
    </row>
    <row r="98" spans="22:24" s="923" customFormat="1" ht="13.8">
      <c r="V98" s="1074"/>
      <c r="W98" s="1075"/>
      <c r="X98" s="1076"/>
    </row>
    <row r="99" spans="22:24" s="923" customFormat="1" ht="13.8">
      <c r="V99" s="1074"/>
      <c r="W99" s="1075"/>
      <c r="X99" s="1076"/>
    </row>
    <row r="100" spans="22:24" s="923" customFormat="1" ht="13.8">
      <c r="V100" s="1074"/>
      <c r="W100" s="1075"/>
      <c r="X100" s="1076"/>
    </row>
    <row r="101" spans="22:24" s="923" customFormat="1" ht="13.8">
      <c r="V101" s="1074"/>
      <c r="W101" s="1075"/>
      <c r="X101" s="1076"/>
    </row>
    <row r="102" spans="22:24" s="923" customFormat="1" ht="13.8">
      <c r="V102" s="1074"/>
      <c r="W102" s="1075"/>
      <c r="X102" s="1076"/>
    </row>
    <row r="103" spans="22:24" s="923" customFormat="1" ht="13.8">
      <c r="V103" s="1074"/>
      <c r="W103" s="1075"/>
      <c r="X103" s="1076"/>
    </row>
    <row r="104" spans="22:24" s="923" customFormat="1" ht="13.8">
      <c r="V104" s="1074"/>
      <c r="W104" s="1075"/>
      <c r="X104" s="1076"/>
    </row>
    <row r="105" spans="22:24" s="923" customFormat="1" ht="13.8">
      <c r="V105" s="1074"/>
      <c r="W105" s="1075"/>
      <c r="X105" s="1076"/>
    </row>
    <row r="106" spans="22:24" s="923" customFormat="1" ht="13.8">
      <c r="V106" s="1074"/>
      <c r="W106" s="1075"/>
      <c r="X106" s="1076"/>
    </row>
    <row r="107" spans="22:24" s="923" customFormat="1" ht="13.8">
      <c r="V107" s="1074"/>
      <c r="W107" s="1075"/>
      <c r="X107" s="1076"/>
    </row>
    <row r="108" spans="22:24" s="923" customFormat="1" ht="13.8">
      <c r="V108" s="1074"/>
      <c r="W108" s="1075"/>
      <c r="X108" s="1076"/>
    </row>
    <row r="109" spans="22:24" s="923" customFormat="1" ht="13.8">
      <c r="V109" s="1074"/>
      <c r="W109" s="1075"/>
      <c r="X109" s="1076"/>
    </row>
    <row r="110" spans="22:24" s="923" customFormat="1" ht="13.8">
      <c r="V110" s="1074"/>
      <c r="W110" s="1075"/>
      <c r="X110" s="1076"/>
    </row>
    <row r="111" spans="22:24" s="923" customFormat="1" ht="13.8">
      <c r="V111" s="1074"/>
      <c r="W111" s="1075"/>
      <c r="X111" s="1076"/>
    </row>
    <row r="112" spans="22:24" s="923" customFormat="1" ht="13.8">
      <c r="V112" s="1074"/>
      <c r="W112" s="1075"/>
      <c r="X112" s="1076"/>
    </row>
    <row r="113" spans="22:24" s="923" customFormat="1" ht="13.8">
      <c r="V113" s="1074"/>
      <c r="W113" s="1075"/>
      <c r="X113" s="1076"/>
    </row>
    <row r="114" spans="22:24" s="923" customFormat="1" ht="13.8">
      <c r="V114" s="1074"/>
      <c r="W114" s="1075"/>
      <c r="X114" s="1076"/>
    </row>
    <row r="115" spans="22:24" s="923" customFormat="1" ht="13.8">
      <c r="V115" s="1074"/>
      <c r="W115" s="1075"/>
      <c r="X115" s="1076"/>
    </row>
    <row r="116" spans="22:24" s="923" customFormat="1" ht="13.8">
      <c r="V116" s="1074"/>
      <c r="W116" s="1075"/>
      <c r="X116" s="1076"/>
    </row>
    <row r="117" spans="22:24" s="923" customFormat="1" ht="13.8">
      <c r="V117" s="1074"/>
      <c r="W117" s="1075"/>
      <c r="X117" s="1076"/>
    </row>
    <row r="118" spans="22:24" s="923" customFormat="1" ht="13.8">
      <c r="V118" s="1074"/>
      <c r="W118" s="1075"/>
      <c r="X118" s="1076"/>
    </row>
    <row r="119" spans="22:24" s="923" customFormat="1" ht="13.8">
      <c r="V119" s="1074"/>
      <c r="W119" s="1075"/>
      <c r="X119" s="1076"/>
    </row>
    <row r="120" spans="22:24" s="923" customFormat="1" ht="13.8">
      <c r="V120" s="1074"/>
      <c r="W120" s="1075"/>
      <c r="X120" s="1076"/>
    </row>
    <row r="121" spans="22:24" s="923" customFormat="1" ht="13.8">
      <c r="V121" s="1074"/>
      <c r="W121" s="1075"/>
      <c r="X121" s="1076"/>
    </row>
    <row r="122" spans="22:24" s="923" customFormat="1" ht="13.8">
      <c r="V122" s="1074"/>
      <c r="W122" s="1075"/>
      <c r="X122" s="1076"/>
    </row>
    <row r="123" spans="22:24" s="923" customFormat="1" ht="13.8">
      <c r="V123" s="1074"/>
      <c r="W123" s="1075"/>
      <c r="X123" s="1076"/>
    </row>
    <row r="124" spans="22:24" s="923" customFormat="1" ht="13.8">
      <c r="V124" s="1074"/>
      <c r="W124" s="1075"/>
      <c r="X124" s="1076"/>
    </row>
    <row r="125" spans="22:24" s="923" customFormat="1" ht="13.8">
      <c r="V125" s="1074"/>
      <c r="W125" s="1075"/>
      <c r="X125" s="1076"/>
    </row>
    <row r="126" spans="22:24" s="923" customFormat="1" ht="13.8">
      <c r="V126" s="1074"/>
      <c r="W126" s="1075"/>
      <c r="X126" s="1076"/>
    </row>
    <row r="127" spans="22:24" s="923" customFormat="1" ht="13.8">
      <c r="V127" s="1074"/>
      <c r="W127" s="1075"/>
      <c r="X127" s="1076"/>
    </row>
    <row r="128" spans="22:24" s="923" customFormat="1" ht="13.8">
      <c r="V128" s="1074"/>
      <c r="W128" s="1075"/>
      <c r="X128" s="1076"/>
    </row>
    <row r="129" spans="22:24" s="923" customFormat="1" ht="13.8">
      <c r="V129" s="1074"/>
      <c r="W129" s="1075"/>
      <c r="X129" s="1076"/>
    </row>
    <row r="130" spans="22:24" s="923" customFormat="1" ht="13.8">
      <c r="V130" s="1074"/>
      <c r="W130" s="1075"/>
      <c r="X130" s="1076"/>
    </row>
    <row r="131" spans="22:24" s="923" customFormat="1" ht="13.8">
      <c r="V131" s="1074"/>
      <c r="W131" s="1075"/>
      <c r="X131" s="1076"/>
    </row>
    <row r="132" spans="22:24" s="923" customFormat="1" ht="13.8">
      <c r="V132" s="1074"/>
      <c r="W132" s="1075"/>
      <c r="X132" s="1076"/>
    </row>
    <row r="133" spans="22:24" s="923" customFormat="1" ht="13.8">
      <c r="V133" s="1074"/>
      <c r="W133" s="1075"/>
      <c r="X133" s="1076"/>
    </row>
    <row r="134" spans="22:24" s="923" customFormat="1" ht="13.8">
      <c r="V134" s="1074"/>
      <c r="W134" s="1075"/>
      <c r="X134" s="1076"/>
    </row>
    <row r="135" spans="22:24" s="923" customFormat="1" ht="13.8">
      <c r="V135" s="1074"/>
      <c r="W135" s="1075"/>
      <c r="X135" s="1076"/>
    </row>
    <row r="136" spans="22:24" s="923" customFormat="1" ht="13.8">
      <c r="V136" s="1074"/>
      <c r="W136" s="1075"/>
      <c r="X136" s="1076"/>
    </row>
    <row r="137" spans="22:24" s="923" customFormat="1" ht="13.8">
      <c r="V137" s="1074"/>
      <c r="W137" s="1075"/>
      <c r="X137" s="1076"/>
    </row>
    <row r="138" spans="22:24" s="923" customFormat="1" ht="13.8">
      <c r="V138" s="1074"/>
      <c r="W138" s="1075"/>
      <c r="X138" s="1076"/>
    </row>
    <row r="139" spans="22:24" s="923" customFormat="1" ht="13.8">
      <c r="V139" s="1074"/>
      <c r="W139" s="1075"/>
      <c r="X139" s="1076"/>
    </row>
    <row r="140" spans="22:24" s="923" customFormat="1" ht="13.8">
      <c r="V140" s="1074"/>
      <c r="W140" s="1075"/>
      <c r="X140" s="1076"/>
    </row>
    <row r="141" spans="22:24" s="923" customFormat="1" ht="13.8">
      <c r="V141" s="1074"/>
      <c r="W141" s="1075"/>
      <c r="X141" s="1076"/>
    </row>
    <row r="142" spans="22:24" s="923" customFormat="1" ht="13.8">
      <c r="V142" s="1074"/>
      <c r="W142" s="1075"/>
      <c r="X142" s="1076"/>
    </row>
    <row r="143" spans="22:24" s="923" customFormat="1" ht="13.8">
      <c r="V143" s="1074"/>
      <c r="W143" s="1075"/>
      <c r="X143" s="1076"/>
    </row>
    <row r="144" spans="22:24" s="923" customFormat="1" ht="13.8">
      <c r="V144" s="1074"/>
      <c r="W144" s="1075"/>
      <c r="X144" s="1076"/>
    </row>
    <row r="145" spans="22:24" s="923" customFormat="1" ht="13.8">
      <c r="V145" s="1074"/>
      <c r="W145" s="1075"/>
      <c r="X145" s="1076"/>
    </row>
    <row r="146" spans="22:24" s="923" customFormat="1" ht="13.8">
      <c r="V146" s="1074"/>
      <c r="W146" s="1075"/>
      <c r="X146" s="1076"/>
    </row>
    <row r="147" spans="22:24" s="923" customFormat="1" ht="13.8">
      <c r="V147" s="1074"/>
      <c r="W147" s="1075"/>
      <c r="X147" s="1076"/>
    </row>
    <row r="148" spans="22:24" s="923" customFormat="1" ht="13.8">
      <c r="V148" s="1074"/>
      <c r="W148" s="1075"/>
      <c r="X148" s="1076"/>
    </row>
    <row r="149" spans="22:24" s="923" customFormat="1" ht="13.8">
      <c r="V149" s="1074"/>
      <c r="W149" s="1075"/>
      <c r="X149" s="1076"/>
    </row>
    <row r="150" spans="22:24" s="923" customFormat="1" ht="13.8">
      <c r="V150" s="1074"/>
      <c r="W150" s="1075"/>
      <c r="X150" s="1076"/>
    </row>
    <row r="151" spans="22:24" s="923" customFormat="1" ht="13.8">
      <c r="V151" s="1074"/>
      <c r="W151" s="1075"/>
      <c r="X151" s="1076"/>
    </row>
    <row r="152" spans="22:24" s="923" customFormat="1" ht="13.8">
      <c r="V152" s="1074"/>
      <c r="W152" s="1075"/>
      <c r="X152" s="1076"/>
    </row>
    <row r="153" spans="22:24" s="923" customFormat="1" ht="13.8">
      <c r="V153" s="1074"/>
      <c r="W153" s="1075"/>
      <c r="X153" s="1076"/>
    </row>
    <row r="154" spans="22:24" s="923" customFormat="1" ht="13.8">
      <c r="V154" s="1074"/>
      <c r="W154" s="1075"/>
      <c r="X154" s="1076"/>
    </row>
    <row r="155" spans="22:24" s="923" customFormat="1" ht="13.8">
      <c r="V155" s="1074"/>
      <c r="W155" s="1075"/>
      <c r="X155" s="1076"/>
    </row>
    <row r="156" spans="22:24" s="923" customFormat="1" ht="13.8">
      <c r="V156" s="1074"/>
      <c r="W156" s="1075"/>
      <c r="X156" s="1076"/>
    </row>
    <row r="157" spans="22:24" s="923" customFormat="1" ht="13.8">
      <c r="V157" s="1074"/>
      <c r="W157" s="1075"/>
      <c r="X157" s="1076"/>
    </row>
    <row r="158" spans="22:24" s="923" customFormat="1" ht="13.8">
      <c r="V158" s="1074"/>
      <c r="W158" s="1075"/>
      <c r="X158" s="1076"/>
    </row>
    <row r="159" spans="22:24" s="923" customFormat="1" ht="13.8">
      <c r="V159" s="1074"/>
      <c r="W159" s="1075"/>
      <c r="X159" s="1076"/>
    </row>
    <row r="160" spans="22:24" s="923" customFormat="1" ht="13.8">
      <c r="V160" s="1074"/>
      <c r="W160" s="1075"/>
      <c r="X160" s="1076"/>
    </row>
    <row r="161" spans="22:24" s="923" customFormat="1" ht="13.8">
      <c r="V161" s="1074"/>
      <c r="W161" s="1075"/>
      <c r="X161" s="1076"/>
    </row>
    <row r="162" spans="22:24" s="923" customFormat="1" ht="13.8">
      <c r="V162" s="1074"/>
      <c r="W162" s="1075"/>
      <c r="X162" s="1076"/>
    </row>
    <row r="163" spans="22:24" s="923" customFormat="1" ht="13.8">
      <c r="V163" s="1074"/>
      <c r="W163" s="1075"/>
      <c r="X163" s="1076"/>
    </row>
    <row r="164" spans="22:24" s="923" customFormat="1" ht="13.8">
      <c r="V164" s="1074"/>
      <c r="W164" s="1075"/>
      <c r="X164" s="1076"/>
    </row>
    <row r="165" spans="22:24" s="923" customFormat="1" ht="13.8">
      <c r="V165" s="1074"/>
      <c r="W165" s="1075"/>
      <c r="X165" s="1076"/>
    </row>
    <row r="166" spans="22:24" s="923" customFormat="1" ht="13.8">
      <c r="V166" s="1074"/>
      <c r="W166" s="1075"/>
      <c r="X166" s="1076"/>
    </row>
    <row r="167" spans="22:24" s="923" customFormat="1" ht="13.8">
      <c r="V167" s="1074"/>
      <c r="W167" s="1075"/>
      <c r="X167" s="1076"/>
    </row>
    <row r="168" spans="22:24" s="923" customFormat="1" ht="13.8">
      <c r="V168" s="1074"/>
      <c r="W168" s="1075"/>
      <c r="X168" s="1076"/>
    </row>
    <row r="169" spans="22:24" s="923" customFormat="1" ht="13.8">
      <c r="V169" s="1074"/>
      <c r="W169" s="1075"/>
      <c r="X169" s="1076"/>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7"/>
    <col min="3" max="3" width="10.54296875" style="1077" customWidth="1"/>
    <col min="4" max="4" width="11.81640625" style="1077" customWidth="1"/>
    <col min="5" max="5" width="12.90625" style="1077" customWidth="1"/>
    <col min="6" max="6" width="17.1796875" style="1077" hidden="1" customWidth="1"/>
    <col min="7" max="7" width="17.1796875" style="1077" customWidth="1"/>
    <col min="8" max="8" width="17.1796875" style="1079" customWidth="1"/>
    <col min="9" max="9" width="17.1796875" style="1077" customWidth="1"/>
    <col min="10" max="10" width="11.90625" style="1077" customWidth="1"/>
    <col min="11" max="11" width="10.54296875" style="1079" customWidth="1"/>
    <col min="12" max="12" width="12.08984375" style="1077" bestFit="1" customWidth="1"/>
    <col min="13" max="13" width="15.90625" style="1077" customWidth="1"/>
    <col min="14" max="14" width="13.36328125" style="1077" customWidth="1"/>
    <col min="15" max="15" width="12.81640625" style="1077" bestFit="1" customWidth="1"/>
    <col min="16" max="16" width="10.54296875" style="1077" bestFit="1" customWidth="1"/>
    <col min="17" max="17" width="11" style="1077" customWidth="1"/>
    <col min="18" max="18" width="11.08984375" style="1077" customWidth="1"/>
    <col min="19" max="19" width="11.54296875" style="1077" customWidth="1"/>
    <col min="20" max="20" width="13.90625" style="1079" customWidth="1"/>
    <col min="21" max="21" width="14.6328125" style="1077" customWidth="1"/>
    <col min="22" max="22" width="18.90625" style="1080" customWidth="1"/>
    <col min="23" max="23" width="11.54296875" style="1140" customWidth="1"/>
    <col min="24" max="16384" width="8.90625" style="1077"/>
  </cols>
  <sheetData>
    <row r="4" spans="4:24" ht="13.8">
      <c r="D4" s="1817" t="s">
        <v>1729</v>
      </c>
      <c r="E4" s="1817"/>
      <c r="F4" s="1817"/>
      <c r="G4" s="1817"/>
      <c r="H4" s="1817"/>
      <c r="I4" s="1817"/>
      <c r="J4" s="1817"/>
      <c r="K4" s="1817"/>
      <c r="L4" s="1817"/>
      <c r="M4" s="1817"/>
      <c r="N4" s="1817"/>
      <c r="O4" s="1817"/>
      <c r="P4" s="1817"/>
      <c r="Q4" s="1817"/>
      <c r="R4" s="1817"/>
      <c r="S4" s="1817"/>
      <c r="T4" s="1817"/>
      <c r="U4" s="1817"/>
      <c r="V4" s="1817"/>
      <c r="W4" s="1139"/>
      <c r="X4" s="755"/>
    </row>
    <row r="5" spans="4:24" ht="13.8" thickBot="1"/>
    <row r="6" spans="4:24" ht="13.8" thickTop="1">
      <c r="D6" s="1033"/>
      <c r="E6" s="1081"/>
      <c r="F6" s="1082"/>
      <c r="G6" s="1082"/>
      <c r="H6" s="1141"/>
      <c r="I6" s="1082"/>
      <c r="J6" s="1082"/>
      <c r="K6" s="1084"/>
      <c r="L6" s="1085"/>
      <c r="M6" s="1086"/>
      <c r="N6" s="1081"/>
      <c r="O6" s="1082"/>
      <c r="P6" s="1085"/>
      <c r="Q6" s="1086"/>
      <c r="R6" s="1086"/>
      <c r="S6" s="1086"/>
      <c r="T6" s="1087"/>
    </row>
    <row r="7" spans="4:24" ht="14.4" thickBot="1">
      <c r="D7" s="1088"/>
      <c r="E7" s="1825" t="s">
        <v>38</v>
      </c>
      <c r="F7" s="1826"/>
      <c r="G7" s="1826"/>
      <c r="H7" s="1826"/>
      <c r="I7" s="1826"/>
      <c r="J7" s="1826"/>
      <c r="K7" s="1843"/>
      <c r="L7" s="1089" t="s">
        <v>1694</v>
      </c>
      <c r="M7" s="1089" t="s">
        <v>1169</v>
      </c>
      <c r="N7" s="1825" t="s">
        <v>1166</v>
      </c>
      <c r="O7" s="1826"/>
      <c r="P7" s="1843"/>
      <c r="Q7" s="1045" t="s">
        <v>39</v>
      </c>
      <c r="R7" s="1045" t="s">
        <v>997</v>
      </c>
      <c r="S7" s="1045" t="s">
        <v>31</v>
      </c>
      <c r="T7" s="1045" t="s">
        <v>37</v>
      </c>
    </row>
    <row r="8" spans="4:24" ht="15" thickTop="1" thickBot="1">
      <c r="D8" s="1090"/>
      <c r="E8" s="1091"/>
      <c r="F8" s="1041"/>
      <c r="G8" s="1041"/>
      <c r="H8" s="1142"/>
      <c r="I8" s="1041"/>
      <c r="J8" s="1041"/>
      <c r="K8" s="1093"/>
      <c r="L8" s="1048"/>
      <c r="M8" s="1042"/>
      <c r="N8" s="1044"/>
      <c r="O8" s="1041"/>
      <c r="P8" s="1052"/>
      <c r="Q8" s="1045" t="s">
        <v>45</v>
      </c>
      <c r="R8" s="1045" t="s">
        <v>1167</v>
      </c>
      <c r="S8" s="1045" t="s">
        <v>1167</v>
      </c>
      <c r="T8" s="1045"/>
    </row>
    <row r="9" spans="4:24" ht="14.4" thickTop="1">
      <c r="D9" s="1094" t="s">
        <v>32</v>
      </c>
      <c r="E9" s="1094" t="s">
        <v>1168</v>
      </c>
      <c r="F9" s="1042" t="s">
        <v>1007</v>
      </c>
      <c r="G9" s="1042" t="s">
        <v>1713</v>
      </c>
      <c r="H9" s="1099" t="s">
        <v>1714</v>
      </c>
      <c r="I9" s="1095" t="s">
        <v>1715</v>
      </c>
      <c r="J9" s="1042" t="s">
        <v>1716</v>
      </c>
      <c r="K9" s="1045" t="s">
        <v>37</v>
      </c>
      <c r="L9" s="1042"/>
      <c r="M9" s="1042"/>
      <c r="N9" s="1046" t="s">
        <v>1005</v>
      </c>
      <c r="O9" s="1046" t="s">
        <v>1699</v>
      </c>
      <c r="P9" s="1042" t="s">
        <v>1717</v>
      </c>
      <c r="Q9" s="1045" t="s">
        <v>1008</v>
      </c>
      <c r="R9" s="1042"/>
      <c r="S9" s="1042"/>
      <c r="T9" s="1045"/>
    </row>
    <row r="10" spans="4:24" ht="13.8">
      <c r="D10" s="1090"/>
      <c r="E10" s="1094"/>
      <c r="F10" s="1042"/>
      <c r="G10" s="1042"/>
      <c r="H10" s="1099" t="s">
        <v>1718</v>
      </c>
      <c r="I10" s="1042" t="s">
        <v>1706</v>
      </c>
      <c r="J10" s="1042"/>
      <c r="K10" s="1045"/>
      <c r="L10" s="1042"/>
      <c r="M10" s="1042"/>
      <c r="N10" s="1042"/>
      <c r="O10" s="1042" t="s">
        <v>1719</v>
      </c>
      <c r="P10" s="1042" t="s">
        <v>1719</v>
      </c>
      <c r="Q10" s="1042"/>
      <c r="R10" s="1042"/>
      <c r="S10" s="1042"/>
      <c r="T10" s="1045"/>
    </row>
    <row r="11" spans="4:24" ht="13.8">
      <c r="D11" s="1090"/>
      <c r="E11" s="1094"/>
      <c r="F11" s="1042"/>
      <c r="G11" s="1042"/>
      <c r="H11" s="1099"/>
      <c r="I11" s="1042"/>
      <c r="J11" s="1042"/>
      <c r="K11" s="1045"/>
      <c r="L11" s="1042"/>
      <c r="M11" s="1042"/>
      <c r="N11" s="1042"/>
      <c r="O11" s="1042"/>
      <c r="P11" s="1042"/>
      <c r="Q11" s="1042"/>
      <c r="R11" s="1042"/>
      <c r="S11" s="1042"/>
      <c r="T11" s="1045"/>
    </row>
    <row r="12" spans="4:24" ht="14.4" thickBot="1">
      <c r="D12" s="1090"/>
      <c r="E12" s="1096"/>
      <c r="F12" s="1051"/>
      <c r="G12" s="1051"/>
      <c r="H12" s="1143"/>
      <c r="I12" s="1051"/>
      <c r="J12" s="1051"/>
      <c r="K12" s="1097"/>
      <c r="L12" s="1051"/>
      <c r="M12" s="1051"/>
      <c r="N12" s="1051"/>
      <c r="O12" s="1051"/>
      <c r="P12" s="1051"/>
      <c r="Q12" s="1051"/>
      <c r="R12" s="1051"/>
      <c r="S12" s="1051"/>
      <c r="T12" s="1097"/>
    </row>
    <row r="13" spans="4:24" ht="14.4" thickTop="1">
      <c r="D13" s="1098"/>
      <c r="E13" s="1090"/>
      <c r="F13" s="1043"/>
      <c r="G13" s="1043"/>
      <c r="H13" s="1099"/>
      <c r="I13" s="1043"/>
      <c r="J13" s="1043"/>
      <c r="K13" s="1099"/>
      <c r="L13" s="1043"/>
      <c r="M13" s="1043"/>
      <c r="N13" s="1043"/>
      <c r="O13" s="1043"/>
      <c r="P13" s="1043"/>
      <c r="Q13" s="1043"/>
      <c r="R13" s="1043"/>
      <c r="S13" s="1043"/>
      <c r="T13" s="1099"/>
      <c r="V13" s="1100" t="s">
        <v>1720</v>
      </c>
      <c r="W13" s="1144"/>
    </row>
    <row r="14" spans="4:24" ht="13.8">
      <c r="D14" s="1101">
        <v>2015</v>
      </c>
      <c r="E14" s="1090"/>
      <c r="F14" s="1043"/>
      <c r="G14" s="1043"/>
      <c r="H14" s="1099"/>
      <c r="I14" s="1043"/>
      <c r="J14" s="1043"/>
      <c r="K14" s="1099"/>
      <c r="L14" s="1043"/>
      <c r="M14" s="1043"/>
      <c r="N14" s="1043"/>
      <c r="O14" s="1043"/>
      <c r="P14" s="1043"/>
      <c r="Q14" s="1043"/>
      <c r="R14" s="1043"/>
      <c r="S14" s="1043"/>
      <c r="T14" s="1043"/>
      <c r="V14" s="1102"/>
      <c r="W14" s="1140" t="e">
        <f>+V15/#REF!</f>
        <v>#REF!</v>
      </c>
    </row>
    <row r="15" spans="4:24" ht="13.8">
      <c r="D15" s="1104" t="s">
        <v>1170</v>
      </c>
      <c r="E15" s="1105">
        <f>('Input Merchant Liabilities'!C5-'Input Merchant Liabilities'!I5-'Input Merchant Liabilities'!J5-'Input Merchant Liabilities'!L5)/1000000</f>
        <v>39.049663000000002</v>
      </c>
      <c r="F15" s="1059"/>
      <c r="G15" s="1059">
        <f>('Input Merchant Liabilities'!Q5-'Input Merchant Liabilities'!AI5-'Input Merchant Liabilities'!AM5-'Input Merchant Liabilities'!AU5)/1000000</f>
        <v>40.928156999999999</v>
      </c>
      <c r="H15" s="1136">
        <f>SUM(E15:G15)</f>
        <v>79.977820000000008</v>
      </c>
      <c r="I15" s="1061">
        <f>('Input Merchant Liabilities'!I5+'Input Merchant Liabilities'!J5+'Input Merchant Liabilities'!AI5+'Input Merchant Liabilities'!AM5)/1000000</f>
        <v>0</v>
      </c>
      <c r="J15" s="1059">
        <f>('Input Merchant Liabilities'!L5+'Input Merchant Liabilities'!AU5)/1000000</f>
        <v>0</v>
      </c>
      <c r="K15" s="1061">
        <f>SUM(H15:J15)</f>
        <v>79.977820000000008</v>
      </c>
      <c r="L15" s="1059">
        <f>'Input Merchant Liabilities'!CI5/1000000</f>
        <v>0</v>
      </c>
      <c r="M15" s="1059">
        <f>'Input Merchant Liabilities'!DR5/1000000</f>
        <v>11.698987000000001</v>
      </c>
      <c r="N15" s="1059">
        <f>'Input Merchant Liabilities'!CO5/1000000</f>
        <v>0</v>
      </c>
      <c r="O15" s="1059">
        <f>('Input Merchant Liabilities'!CT5+'Input Merchant Liabilities'!DE5)/1000000</f>
        <v>0</v>
      </c>
      <c r="P15" s="1059">
        <f>'Input Merchant Liabilities'!DP5/1000000</f>
        <v>0</v>
      </c>
      <c r="Q15" s="1059">
        <f>'Input Merchant Liabilities'!ES5/1000000</f>
        <v>-46.995024000000001</v>
      </c>
      <c r="R15" s="1059">
        <f>'Input Merchant Liabilities'!EF5/1000000</f>
        <v>8.3443500000000004</v>
      </c>
      <c r="S15" s="1059">
        <f>('Input Merchant Liabilities'!EQ5+'Input Merchant Liabilities'!FF5)/1000000</f>
        <v>70.722080000000005</v>
      </c>
      <c r="T15" s="1106">
        <f>SUM(K15:S15)</f>
        <v>123.74821300000002</v>
      </c>
      <c r="V15" s="1107">
        <f>T15-'Input Merchant Liabilities'!FL5/1000000</f>
        <v>0</v>
      </c>
      <c r="W15" s="1140">
        <f>+V15*1000000</f>
        <v>0</v>
      </c>
    </row>
    <row r="16" spans="4:24" ht="13.8">
      <c r="D16" s="1104" t="s">
        <v>1172</v>
      </c>
      <c r="E16" s="1105">
        <f>('Input Merchant Liabilities'!C6-'Input Merchant Liabilities'!I6-'Input Merchant Liabilities'!J6-'Input Merchant Liabilities'!L6)/1000000</f>
        <v>38.382454000000003</v>
      </c>
      <c r="F16" s="1059"/>
      <c r="G16" s="1059">
        <f>('Input Merchant Liabilities'!Q6-'Input Merchant Liabilities'!AI6-'Input Merchant Liabilities'!AM6-'Input Merchant Liabilities'!AU6)/1000000</f>
        <v>40.362222000000003</v>
      </c>
      <c r="H16" s="1136">
        <f t="shared" ref="H16:H40" si="0">SUM(E16:G16)</f>
        <v>78.744675999999998</v>
      </c>
      <c r="I16" s="1061">
        <f>('Input Merchant Liabilities'!I6+'Input Merchant Liabilities'!J6+'Input Merchant Liabilities'!AI6+'Input Merchant Liabilities'!AM6)/1000000</f>
        <v>0</v>
      </c>
      <c r="J16" s="1059">
        <f>('Input Merchant Liabilities'!L6+'Input Merchant Liabilities'!AU6)/1000000</f>
        <v>0</v>
      </c>
      <c r="K16" s="1061">
        <f t="shared" ref="K16:K40" si="1">SUM(H16:J16)</f>
        <v>78.744675999999998</v>
      </c>
      <c r="L16" s="1059">
        <f>'Input Merchant Liabilities'!CI6/1000000</f>
        <v>0</v>
      </c>
      <c r="M16" s="1059">
        <f>'Input Merchant Liabilities'!DR6/1000000</f>
        <v>11.698987000000001</v>
      </c>
      <c r="N16" s="1059">
        <f>'Input Merchant Liabilities'!CO6/1000000</f>
        <v>0</v>
      </c>
      <c r="O16" s="1059">
        <f>('Input Merchant Liabilities'!CT6+'Input Merchant Liabilities'!DE6)/1000000</f>
        <v>0</v>
      </c>
      <c r="P16" s="1059">
        <f>'Input Merchant Liabilities'!DP6/1000000</f>
        <v>0</v>
      </c>
      <c r="Q16" s="1059">
        <f>'Input Merchant Liabilities'!ES6/1000000</f>
        <v>-48.678825000000003</v>
      </c>
      <c r="R16" s="1059">
        <f>'Input Merchant Liabilities'!EF6/1000000</f>
        <v>8.3467000000000002</v>
      </c>
      <c r="S16" s="1059">
        <f>('Input Merchant Liabilities'!EQ6+'Input Merchant Liabilities'!FF6)/1000000</f>
        <v>75.550646999999998</v>
      </c>
      <c r="T16" s="1106">
        <f t="shared" ref="T16:T40" si="2">SUM(K16:S16)</f>
        <v>125.66218499999999</v>
      </c>
      <c r="V16" s="1107">
        <f>T16-'Input Merchant Liabilities'!FL6/1000000</f>
        <v>0</v>
      </c>
      <c r="W16" s="1140">
        <f t="shared" ref="W16:W40" si="3">+V16*1000000</f>
        <v>0</v>
      </c>
    </row>
    <row r="17" spans="4:23" ht="13.8">
      <c r="D17" s="1104" t="s">
        <v>1173</v>
      </c>
      <c r="E17" s="1105">
        <f>('Input Merchant Liabilities'!C7-'Input Merchant Liabilities'!I7-'Input Merchant Liabilities'!J7-'Input Merchant Liabilities'!L7)/1000000</f>
        <v>68.611063000000001</v>
      </c>
      <c r="F17" s="1059"/>
      <c r="G17" s="1059">
        <f>('Input Merchant Liabilities'!Q7-'Input Merchant Liabilities'!AI7-'Input Merchant Liabilities'!AM7-'Input Merchant Liabilities'!AU7)/1000000</f>
        <v>12.132368</v>
      </c>
      <c r="H17" s="1158">
        <f t="shared" si="0"/>
        <v>80.743431000000001</v>
      </c>
      <c r="I17" s="1061">
        <f>('Input Merchant Liabilities'!I7+'Input Merchant Liabilities'!J7+'Input Merchant Liabilities'!AI7+'Input Merchant Liabilities'!AM7)/1000000</f>
        <v>6.2269999999999999E-3</v>
      </c>
      <c r="J17" s="1059">
        <f>('Input Merchant Liabilities'!L7+'Input Merchant Liabilities'!AU7)/1000000</f>
        <v>0</v>
      </c>
      <c r="K17" s="1061">
        <f t="shared" si="1"/>
        <v>80.749657999999997</v>
      </c>
      <c r="L17" s="1059">
        <f>'Input Merchant Liabilities'!CI7/1000000</f>
        <v>0</v>
      </c>
      <c r="M17" s="1059">
        <f>'Input Merchant Liabilities'!DR7/1000000</f>
        <v>11.990997999999999</v>
      </c>
      <c r="N17" s="1059">
        <f>'Input Merchant Liabilities'!CO7/1000000</f>
        <v>0</v>
      </c>
      <c r="O17" s="1059">
        <f>('Input Merchant Liabilities'!CT7+'Input Merchant Liabilities'!DE7)/1000000</f>
        <v>0</v>
      </c>
      <c r="P17" s="1059">
        <f>'Input Merchant Liabilities'!DP7/1000000</f>
        <v>0</v>
      </c>
      <c r="Q17" s="1059">
        <f>'Input Merchant Liabilities'!ES7/1000000</f>
        <v>-50.685930999999997</v>
      </c>
      <c r="R17" s="1059">
        <f>'Input Merchant Liabilities'!EF7/1000000</f>
        <v>8.2471499999999995</v>
      </c>
      <c r="S17" s="1059">
        <f>('Input Merchant Liabilities'!EQ7+'Input Merchant Liabilities'!FF7)/1000000</f>
        <v>75.204834000000005</v>
      </c>
      <c r="T17" s="1106">
        <f t="shared" si="2"/>
        <v>125.506709</v>
      </c>
      <c r="V17" s="1107">
        <f>T17-'Input Merchant Liabilities'!FL7/1000000</f>
        <v>0</v>
      </c>
      <c r="W17" s="1140">
        <f t="shared" si="3"/>
        <v>0</v>
      </c>
    </row>
    <row r="18" spans="4:23" ht="13.8">
      <c r="D18" s="1104" t="s">
        <v>1174</v>
      </c>
      <c r="E18" s="1105">
        <f>('Input Merchant Liabilities'!C8-'Input Merchant Liabilities'!I8-'Input Merchant Liabilities'!J8-'Input Merchant Liabilities'!L8)/1000000</f>
        <v>63.934982729999994</v>
      </c>
      <c r="F18" s="1059"/>
      <c r="G18" s="1059">
        <f>('Input Merchant Liabilities'!Q8-'Input Merchant Liabilities'!AI8-'Input Merchant Liabilities'!AM8-'Input Merchant Liabilities'!AU8)/1000000</f>
        <v>0</v>
      </c>
      <c r="H18" s="1136">
        <f t="shared" si="0"/>
        <v>63.934982729999994</v>
      </c>
      <c r="I18" s="1061">
        <f>('Input Merchant Liabilities'!I8+'Input Merchant Liabilities'!J8+'Input Merchant Liabilities'!AI8+'Input Merchant Liabilities'!AM8)/1000000</f>
        <v>0</v>
      </c>
      <c r="J18" s="1059">
        <f>('Input Merchant Liabilities'!L8+'Input Merchant Liabilities'!AU8)/1000000</f>
        <v>0</v>
      </c>
      <c r="K18" s="1061">
        <f t="shared" si="1"/>
        <v>63.934982729999994</v>
      </c>
      <c r="L18" s="1059">
        <f>'Input Merchant Liabilities'!CI8/1000000</f>
        <v>0</v>
      </c>
      <c r="M18" s="1059">
        <f>'Input Merchant Liabilities'!DR8/1000000</f>
        <v>0</v>
      </c>
      <c r="N18" s="1059">
        <f>'Input Merchant Liabilities'!CO8/1000000</f>
        <v>0</v>
      </c>
      <c r="O18" s="1059">
        <f>('Input Merchant Liabilities'!CT8+'Input Merchant Liabilities'!DE8)/1000000</f>
        <v>0</v>
      </c>
      <c r="P18" s="1059">
        <f>'Input Merchant Liabilities'!DP8/1000000</f>
        <v>0</v>
      </c>
      <c r="Q18" s="1059">
        <f>'Input Merchant Liabilities'!ES8/1000000</f>
        <v>-27.484718999999998</v>
      </c>
      <c r="R18" s="1059">
        <f>'Input Merchant Liabilities'!EF8/1000000</f>
        <v>0</v>
      </c>
      <c r="S18" s="1059">
        <f>('Input Merchant Liabilities'!EQ8+'Input Merchant Liabilities'!FF8)/1000000</f>
        <v>62.442950270000011</v>
      </c>
      <c r="T18" s="1106">
        <f t="shared" si="2"/>
        <v>98.893214</v>
      </c>
      <c r="V18" s="1107">
        <f>T18-'Input Merchant Liabilities'!FL8/1000000</f>
        <v>0</v>
      </c>
      <c r="W18" s="1140">
        <f t="shared" si="3"/>
        <v>0</v>
      </c>
    </row>
    <row r="19" spans="4:23" ht="13.8">
      <c r="D19" s="1104" t="s">
        <v>1165</v>
      </c>
      <c r="E19" s="1105">
        <f>('Input Merchant Liabilities'!C9-'Input Merchant Liabilities'!I9-'Input Merchant Liabilities'!J9-'Input Merchant Liabilities'!L9)/1000000</f>
        <v>63.8992377</v>
      </c>
      <c r="F19" s="1059"/>
      <c r="G19" s="1059">
        <f>('Input Merchant Liabilities'!Q9-'Input Merchant Liabilities'!AI9-'Input Merchant Liabilities'!AM9-'Input Merchant Liabilities'!AU9)/1000000</f>
        <v>0</v>
      </c>
      <c r="H19" s="1136">
        <f t="shared" si="0"/>
        <v>63.8992377</v>
      </c>
      <c r="I19" s="1061">
        <f>('Input Merchant Liabilities'!I9+'Input Merchant Liabilities'!J9+'Input Merchant Liabilities'!AI9+'Input Merchant Liabilities'!AM9)/1000000</f>
        <v>0</v>
      </c>
      <c r="J19" s="1059">
        <f>('Input Merchant Liabilities'!L9+'Input Merchant Liabilities'!AU9)/1000000</f>
        <v>0</v>
      </c>
      <c r="K19" s="1061">
        <f t="shared" si="1"/>
        <v>63.8992377</v>
      </c>
      <c r="L19" s="1059">
        <f>'Input Merchant Liabilities'!CI9/1000000</f>
        <v>0</v>
      </c>
      <c r="M19" s="1059">
        <f>'Input Merchant Liabilities'!DR9/1000000</f>
        <v>0</v>
      </c>
      <c r="N19" s="1059">
        <f>'Input Merchant Liabilities'!CO9/1000000</f>
        <v>0</v>
      </c>
      <c r="O19" s="1059">
        <f>('Input Merchant Liabilities'!CT9+'Input Merchant Liabilities'!DE9)/1000000</f>
        <v>0</v>
      </c>
      <c r="P19" s="1059">
        <f>'Input Merchant Liabilities'!DP9/1000000</f>
        <v>0</v>
      </c>
      <c r="Q19" s="1059">
        <f>'Input Merchant Liabilities'!ES9/1000000</f>
        <v>-28.773378999999998</v>
      </c>
      <c r="R19" s="1059">
        <f>'Input Merchant Liabilities'!EF9/1000000</f>
        <v>0</v>
      </c>
      <c r="S19" s="1059">
        <f>('Input Merchant Liabilities'!EQ9+'Input Merchant Liabilities'!FF9)/1000000</f>
        <v>64.157557299999993</v>
      </c>
      <c r="T19" s="1106">
        <f t="shared" si="2"/>
        <v>99.283415999999988</v>
      </c>
      <c r="V19" s="1107">
        <f>T19-'Input Merchant Liabilities'!FL9/1000000</f>
        <v>0</v>
      </c>
      <c r="W19" s="1140">
        <f t="shared" si="3"/>
        <v>0</v>
      </c>
    </row>
    <row r="20" spans="4:23" ht="13.8">
      <c r="D20" s="1104" t="s">
        <v>1175</v>
      </c>
      <c r="E20" s="1105">
        <f>('Input Merchant Liabilities'!C10-'Input Merchant Liabilities'!I10-'Input Merchant Liabilities'!J10-'Input Merchant Liabilities'!L10)/1000000</f>
        <v>62.949856870000012</v>
      </c>
      <c r="F20" s="1059"/>
      <c r="G20" s="1059">
        <f>('Input Merchant Liabilities'!Q10-'Input Merchant Liabilities'!AI10-'Input Merchant Liabilities'!AM10-'Input Merchant Liabilities'!AU10)/1000000</f>
        <v>0</v>
      </c>
      <c r="H20" s="1136">
        <f t="shared" si="0"/>
        <v>62.949856870000012</v>
      </c>
      <c r="I20" s="1061">
        <f>('Input Merchant Liabilities'!I10+'Input Merchant Liabilities'!J10+'Input Merchant Liabilities'!AI10+'Input Merchant Liabilities'!AM10)/1000000</f>
        <v>0</v>
      </c>
      <c r="J20" s="1059">
        <f>('Input Merchant Liabilities'!L10+'Input Merchant Liabilities'!AU10)/1000000</f>
        <v>0</v>
      </c>
      <c r="K20" s="1061">
        <f t="shared" si="1"/>
        <v>62.949856870000012</v>
      </c>
      <c r="L20" s="1059">
        <f>'Input Merchant Liabilities'!CI10/1000000</f>
        <v>0</v>
      </c>
      <c r="M20" s="1059">
        <f>'Input Merchant Liabilities'!DR10/1000000</f>
        <v>0</v>
      </c>
      <c r="N20" s="1059">
        <f>'Input Merchant Liabilities'!CO10/1000000</f>
        <v>0</v>
      </c>
      <c r="O20" s="1059">
        <f>('Input Merchant Liabilities'!CT10+'Input Merchant Liabilities'!DE10)/1000000</f>
        <v>0</v>
      </c>
      <c r="P20" s="1059">
        <f>'Input Merchant Liabilities'!DP10/1000000</f>
        <v>0</v>
      </c>
      <c r="Q20" s="1059">
        <f>'Input Merchant Liabilities'!ES10/1000000</f>
        <v>-28.943901291288814</v>
      </c>
      <c r="R20" s="1059">
        <f>'Input Merchant Liabilities'!EF10/1000000</f>
        <v>0</v>
      </c>
      <c r="S20" s="1059">
        <f>('Input Merchant Liabilities'!EQ10+'Input Merchant Liabilities'!FF10)/1000000</f>
        <v>65.430767570000015</v>
      </c>
      <c r="T20" s="1106">
        <f t="shared" si="2"/>
        <v>99.436723148711209</v>
      </c>
      <c r="V20" s="1107">
        <f>T20-'Input Merchant Liabilities'!FL10/1000000</f>
        <v>0</v>
      </c>
      <c r="W20" s="1140">
        <f t="shared" si="3"/>
        <v>0</v>
      </c>
    </row>
    <row r="21" spans="4:23" ht="13.8">
      <c r="D21" s="1104" t="s">
        <v>1176</v>
      </c>
      <c r="E21" s="1105">
        <f>('Input Merchant Liabilities'!C11-'Input Merchant Liabilities'!I11-'Input Merchant Liabilities'!J11-'Input Merchant Liabilities'!L11)/1000000</f>
        <v>62.949856870000005</v>
      </c>
      <c r="F21" s="1059"/>
      <c r="G21" s="1059">
        <f>('Input Merchant Liabilities'!Q11-'Input Merchant Liabilities'!AI11-'Input Merchant Liabilities'!AM11-'Input Merchant Liabilities'!AU11)/1000000</f>
        <v>0</v>
      </c>
      <c r="H21" s="1136">
        <f t="shared" si="0"/>
        <v>62.949856870000005</v>
      </c>
      <c r="I21" s="1061">
        <f>('Input Merchant Liabilities'!I11+'Input Merchant Liabilities'!J11+'Input Merchant Liabilities'!AI11+'Input Merchant Liabilities'!AM11)/1000000</f>
        <v>0</v>
      </c>
      <c r="J21" s="1059">
        <f>('Input Merchant Liabilities'!L11+'Input Merchant Liabilities'!AU11)/1000000</f>
        <v>0</v>
      </c>
      <c r="K21" s="1061">
        <f t="shared" si="1"/>
        <v>62.949856870000005</v>
      </c>
      <c r="L21" s="1059">
        <f>'Input Merchant Liabilities'!CI11/1000000</f>
        <v>0</v>
      </c>
      <c r="M21" s="1059">
        <f>'Input Merchant Liabilities'!DR11/1000000</f>
        <v>0</v>
      </c>
      <c r="N21" s="1059">
        <f>'Input Merchant Liabilities'!CO11/1000000</f>
        <v>0</v>
      </c>
      <c r="O21" s="1059">
        <f>('Input Merchant Liabilities'!CT11+'Input Merchant Liabilities'!DE11)/1000000</f>
        <v>0</v>
      </c>
      <c r="P21" s="1059">
        <f>'Input Merchant Liabilities'!DP11/1000000</f>
        <v>0</v>
      </c>
      <c r="Q21" s="1059">
        <f>'Input Merchant Liabilities'!ES11/1000000</f>
        <v>-27.769396</v>
      </c>
      <c r="R21" s="1059">
        <f>'Input Merchant Liabilities'!EF11/1000000</f>
        <v>0</v>
      </c>
      <c r="S21" s="1059">
        <f>('Input Merchant Liabilities'!EQ11+'Input Merchant Liabilities'!FF11)/1000000</f>
        <v>64.795022129999992</v>
      </c>
      <c r="T21" s="1106">
        <f t="shared" si="2"/>
        <v>99.975482999999997</v>
      </c>
      <c r="V21" s="1107">
        <f>T21-'Input Merchant Liabilities'!FL11/1000000</f>
        <v>0</v>
      </c>
      <c r="W21" s="1140">
        <f t="shared" si="3"/>
        <v>0</v>
      </c>
    </row>
    <row r="22" spans="4:23" ht="13.8">
      <c r="D22" s="1104" t="s">
        <v>1177</v>
      </c>
      <c r="E22" s="1105">
        <f>('Input Merchant Liabilities'!C12-'Input Merchant Liabilities'!I12-'Input Merchant Liabilities'!J12-'Input Merchant Liabilities'!L12)/1000000</f>
        <v>62.94985672</v>
      </c>
      <c r="F22" s="1059"/>
      <c r="G22" s="1059">
        <f>('Input Merchant Liabilities'!Q12-'Input Merchant Liabilities'!AI12-'Input Merchant Liabilities'!AM12-'Input Merchant Liabilities'!AU12)/1000000</f>
        <v>0</v>
      </c>
      <c r="H22" s="1136">
        <f t="shared" si="0"/>
        <v>62.94985672</v>
      </c>
      <c r="I22" s="1061">
        <f>('Input Merchant Liabilities'!I12+'Input Merchant Liabilities'!J12+'Input Merchant Liabilities'!AI12+'Input Merchant Liabilities'!AM12)/1000000</f>
        <v>0</v>
      </c>
      <c r="J22" s="1059">
        <f>('Input Merchant Liabilities'!L12+'Input Merchant Liabilities'!AU12)/1000000</f>
        <v>0</v>
      </c>
      <c r="K22" s="1061">
        <f t="shared" si="1"/>
        <v>62.94985672</v>
      </c>
      <c r="L22" s="1059">
        <f>'Input Merchant Liabilities'!CI12/1000000</f>
        <v>0</v>
      </c>
      <c r="M22" s="1059">
        <f>'Input Merchant Liabilities'!DR12/1000000</f>
        <v>0</v>
      </c>
      <c r="N22" s="1059">
        <f>'Input Merchant Liabilities'!CO12/1000000</f>
        <v>0</v>
      </c>
      <c r="O22" s="1059">
        <f>('Input Merchant Liabilities'!CT12+'Input Merchant Liabilities'!DE12)/1000000</f>
        <v>0</v>
      </c>
      <c r="P22" s="1059">
        <f>'Input Merchant Liabilities'!DP12/1000000</f>
        <v>0</v>
      </c>
      <c r="Q22" s="1059">
        <f>'Input Merchant Liabilities'!ES12/1000000</f>
        <v>-14.905779000000001</v>
      </c>
      <c r="R22" s="1059">
        <f>'Input Merchant Liabilities'!EF12/1000000</f>
        <v>0</v>
      </c>
      <c r="S22" s="1059">
        <f>('Input Merchant Liabilities'!EQ12+'Input Merchant Liabilities'!FF12)/1000000</f>
        <v>51.348892280000001</v>
      </c>
      <c r="T22" s="1106">
        <f t="shared" si="2"/>
        <v>99.392969999999991</v>
      </c>
      <c r="V22" s="1107">
        <f>T22-'Input Merchant Liabilities'!FL12/1000000</f>
        <v>0</v>
      </c>
      <c r="W22" s="1140">
        <f t="shared" si="3"/>
        <v>0</v>
      </c>
    </row>
    <row r="23" spans="4:23" ht="13.8">
      <c r="D23" s="1104" t="s">
        <v>1178</v>
      </c>
      <c r="E23" s="1105">
        <f>('Input Merchant Liabilities'!C13-'Input Merchant Liabilities'!I13-'Input Merchant Liabilities'!J13-'Input Merchant Liabilities'!L13)/1000000</f>
        <v>62.157810079999997</v>
      </c>
      <c r="F23" s="1059"/>
      <c r="G23" s="1059">
        <f>('Input Merchant Liabilities'!Q13-'Input Merchant Liabilities'!AI13-'Input Merchant Liabilities'!AM13-'Input Merchant Liabilities'!AU13)/1000000</f>
        <v>0</v>
      </c>
      <c r="H23" s="1136">
        <f t="shared" si="0"/>
        <v>62.157810079999997</v>
      </c>
      <c r="I23" s="1061">
        <f>('Input Merchant Liabilities'!I13+'Input Merchant Liabilities'!J13+'Input Merchant Liabilities'!AI13+'Input Merchant Liabilities'!AM13)/1000000</f>
        <v>0</v>
      </c>
      <c r="J23" s="1059">
        <f>('Input Merchant Liabilities'!L13+'Input Merchant Liabilities'!AU13)/1000000</f>
        <v>0</v>
      </c>
      <c r="K23" s="1061">
        <f t="shared" si="1"/>
        <v>62.157810079999997</v>
      </c>
      <c r="L23" s="1059">
        <f>'Input Merchant Liabilities'!CI13/1000000</f>
        <v>0</v>
      </c>
      <c r="M23" s="1059">
        <f>'Input Merchant Liabilities'!DR13/1000000</f>
        <v>0</v>
      </c>
      <c r="N23" s="1059">
        <f>'Input Merchant Liabilities'!CO13/1000000</f>
        <v>0</v>
      </c>
      <c r="O23" s="1059">
        <f>('Input Merchant Liabilities'!CT13+'Input Merchant Liabilities'!DE13)/1000000</f>
        <v>0</v>
      </c>
      <c r="P23" s="1059">
        <f>'Input Merchant Liabilities'!DP13/1000000</f>
        <v>0</v>
      </c>
      <c r="Q23" s="1059">
        <f>'Input Merchant Liabilities'!ES13/1000000</f>
        <v>-15.330579</v>
      </c>
      <c r="R23" s="1059">
        <f>'Input Merchant Liabilities'!EF13/1000000</f>
        <v>0</v>
      </c>
      <c r="S23" s="1059">
        <f>('Input Merchant Liabilities'!EQ13+'Input Merchant Liabilities'!FF13)/1000000</f>
        <v>52.038445920000001</v>
      </c>
      <c r="T23" s="1106">
        <f t="shared" si="2"/>
        <v>98.865677000000005</v>
      </c>
      <c r="V23" s="1107">
        <f>T23-'Input Merchant Liabilities'!FL13/1000000</f>
        <v>0</v>
      </c>
      <c r="W23" s="1140">
        <f t="shared" si="3"/>
        <v>0</v>
      </c>
    </row>
    <row r="24" spans="4:23" ht="13.8">
      <c r="D24" s="1104" t="s">
        <v>1179</v>
      </c>
      <c r="E24" s="1105">
        <f>('Input Merchant Liabilities'!C14-'Input Merchant Liabilities'!I14-'Input Merchant Liabilities'!J14-'Input Merchant Liabilities'!L14)/1000000</f>
        <v>61.925598770000008</v>
      </c>
      <c r="F24" s="1059"/>
      <c r="G24" s="1059">
        <f>('Input Merchant Liabilities'!Q14-'Input Merchant Liabilities'!AI14-'Input Merchant Liabilities'!AM14-'Input Merchant Liabilities'!AU14)/1000000</f>
        <v>0</v>
      </c>
      <c r="H24" s="1136">
        <f t="shared" si="0"/>
        <v>61.925598770000008</v>
      </c>
      <c r="I24" s="1061">
        <f>('Input Merchant Liabilities'!I14+'Input Merchant Liabilities'!J14+'Input Merchant Liabilities'!AI14+'Input Merchant Liabilities'!AM14)/1000000</f>
        <v>0</v>
      </c>
      <c r="J24" s="1059">
        <f>('Input Merchant Liabilities'!L14+'Input Merchant Liabilities'!AU14)/1000000</f>
        <v>0</v>
      </c>
      <c r="K24" s="1061">
        <f t="shared" si="1"/>
        <v>61.925598770000008</v>
      </c>
      <c r="L24" s="1059">
        <f>'Input Merchant Liabilities'!CI14/1000000</f>
        <v>0</v>
      </c>
      <c r="M24" s="1059">
        <f>'Input Merchant Liabilities'!DR14/1000000</f>
        <v>0</v>
      </c>
      <c r="N24" s="1059">
        <f>'Input Merchant Liabilities'!CO14/1000000</f>
        <v>0</v>
      </c>
      <c r="O24" s="1059">
        <f>('Input Merchant Liabilities'!CT14+'Input Merchant Liabilities'!DE14)/1000000</f>
        <v>0</v>
      </c>
      <c r="P24" s="1059">
        <f>'Input Merchant Liabilities'!DP14/1000000</f>
        <v>0</v>
      </c>
      <c r="Q24" s="1059">
        <f>'Input Merchant Liabilities'!ES14/1000000</f>
        <v>-16.378511855082529</v>
      </c>
      <c r="R24" s="1059">
        <f>'Input Merchant Liabilities'!EF14/1000000</f>
        <v>0</v>
      </c>
      <c r="S24" s="1059">
        <f>('Input Merchant Liabilities'!EQ14+'Input Merchant Liabilities'!FF14)/1000000</f>
        <v>53.206281208874998</v>
      </c>
      <c r="T24" s="1106">
        <f t="shared" si="2"/>
        <v>98.753368123792484</v>
      </c>
      <c r="V24" s="1107">
        <f>T24-'Input Merchant Liabilities'!FL14/1000000</f>
        <v>0</v>
      </c>
      <c r="W24" s="1140">
        <f t="shared" si="3"/>
        <v>0</v>
      </c>
    </row>
    <row r="25" spans="4:23" ht="13.8">
      <c r="D25" s="1104" t="s">
        <v>1180</v>
      </c>
      <c r="E25" s="1105">
        <f>('Input Merchant Liabilities'!C15-'Input Merchant Liabilities'!I15-'Input Merchant Liabilities'!J15-'Input Merchant Liabilities'!L15)/1000000</f>
        <v>58.750333830000002</v>
      </c>
      <c r="F25" s="1059"/>
      <c r="G25" s="1059">
        <f>('Input Merchant Liabilities'!Q15-'Input Merchant Liabilities'!AI15-'Input Merchant Liabilities'!AM15-'Input Merchant Liabilities'!AU15)/1000000</f>
        <v>0</v>
      </c>
      <c r="H25" s="1136">
        <f t="shared" si="0"/>
        <v>58.750333830000002</v>
      </c>
      <c r="I25" s="1061">
        <f>('Input Merchant Liabilities'!I15+'Input Merchant Liabilities'!J15+'Input Merchant Liabilities'!AI15+'Input Merchant Liabilities'!AM15)/1000000</f>
        <v>0</v>
      </c>
      <c r="J25" s="1059">
        <f>('Input Merchant Liabilities'!L15+'Input Merchant Liabilities'!AU15)/1000000</f>
        <v>0</v>
      </c>
      <c r="K25" s="1061">
        <f t="shared" si="1"/>
        <v>58.750333830000002</v>
      </c>
      <c r="L25" s="1059">
        <f>'Input Merchant Liabilities'!CI15/1000000</f>
        <v>0</v>
      </c>
      <c r="M25" s="1059">
        <f>'Input Merchant Liabilities'!DR15/1000000</f>
        <v>0</v>
      </c>
      <c r="N25" s="1059">
        <f>'Input Merchant Liabilities'!CO15/1000000</f>
        <v>0</v>
      </c>
      <c r="O25" s="1059">
        <f>('Input Merchant Liabilities'!CT15+'Input Merchant Liabilities'!DE15)/1000000</f>
        <v>0</v>
      </c>
      <c r="P25" s="1059">
        <f>'Input Merchant Liabilities'!DP15/1000000</f>
        <v>0</v>
      </c>
      <c r="Q25" s="1059">
        <f>'Input Merchant Liabilities'!ES15/1000000</f>
        <v>-20.231931178852751</v>
      </c>
      <c r="R25" s="1059">
        <f>'Input Merchant Liabilities'!EF15/1000000</f>
        <v>0</v>
      </c>
      <c r="S25" s="1059">
        <f>('Input Merchant Liabilities'!EQ15+'Input Merchant Liabilities'!FF15)/1000000</f>
        <v>52.484628100150019</v>
      </c>
      <c r="T25" s="1106">
        <f t="shared" si="2"/>
        <v>91.003030751297274</v>
      </c>
      <c r="V25" s="1107">
        <f>T25-'Input Merchant Liabilities'!FL15/1000000</f>
        <v>0</v>
      </c>
      <c r="W25" s="1140">
        <f t="shared" si="3"/>
        <v>0</v>
      </c>
    </row>
    <row r="26" spans="4:23" ht="13.8">
      <c r="D26" s="1104" t="s">
        <v>1181</v>
      </c>
      <c r="E26" s="1105">
        <f>('Input Merchant Liabilities'!C16-'Input Merchant Liabilities'!I16-'Input Merchant Liabilities'!J16-'Input Merchant Liabilities'!L16)/1000000</f>
        <v>58.524403740000011</v>
      </c>
      <c r="F26" s="1059"/>
      <c r="G26" s="1059">
        <f>('Input Merchant Liabilities'!Q16-'Input Merchant Liabilities'!AI16-'Input Merchant Liabilities'!AM16-'Input Merchant Liabilities'!AU16)/1000000</f>
        <v>0</v>
      </c>
      <c r="H26" s="1136">
        <f t="shared" si="0"/>
        <v>58.524403740000011</v>
      </c>
      <c r="I26" s="1061">
        <f>('Input Merchant Liabilities'!I16+'Input Merchant Liabilities'!J16+'Input Merchant Liabilities'!AI16+'Input Merchant Liabilities'!AM16)/1000000</f>
        <v>0</v>
      </c>
      <c r="J26" s="1059">
        <f>('Input Merchant Liabilities'!L16+'Input Merchant Liabilities'!AU16)/1000000</f>
        <v>0</v>
      </c>
      <c r="K26" s="1061">
        <f t="shared" si="1"/>
        <v>58.524403740000011</v>
      </c>
      <c r="L26" s="1059">
        <f>'Input Merchant Liabilities'!CI16/1000000</f>
        <v>0</v>
      </c>
      <c r="M26" s="1059">
        <f>'Input Merchant Liabilities'!DR16/1000000</f>
        <v>0</v>
      </c>
      <c r="N26" s="1059">
        <f>'Input Merchant Liabilities'!CO16/1000000</f>
        <v>0</v>
      </c>
      <c r="O26" s="1059">
        <f>('Input Merchant Liabilities'!CT16+'Input Merchant Liabilities'!DE16)/1000000</f>
        <v>0</v>
      </c>
      <c r="P26" s="1059">
        <f>'Input Merchant Liabilities'!DP16/1000000</f>
        <v>0</v>
      </c>
      <c r="Q26" s="1059">
        <f>'Input Merchant Liabilities'!ES16/1000000</f>
        <v>-20.134578286134463</v>
      </c>
      <c r="R26" s="1059">
        <f>'Input Merchant Liabilities'!EF16/1000000</f>
        <v>0</v>
      </c>
      <c r="S26" s="1059">
        <f>('Input Merchant Liabilities'!EQ16+'Input Merchant Liabilities'!FF16)/1000000</f>
        <v>53.174905495224969</v>
      </c>
      <c r="T26" s="1106">
        <f t="shared" si="2"/>
        <v>91.564730949090517</v>
      </c>
      <c r="V26" s="1107">
        <f>T26-'Input Merchant Liabilities'!FL16/1000000</f>
        <v>0</v>
      </c>
      <c r="W26" s="1140">
        <f t="shared" si="3"/>
        <v>0</v>
      </c>
    </row>
    <row r="27" spans="4:23" ht="13.8">
      <c r="D27" s="1104"/>
      <c r="E27" s="1105"/>
      <c r="F27" s="1059"/>
      <c r="G27" s="1059"/>
      <c r="H27" s="1136"/>
      <c r="I27" s="1061"/>
      <c r="J27" s="1059"/>
      <c r="K27" s="1061"/>
      <c r="L27" s="1059"/>
      <c r="M27" s="1059"/>
      <c r="N27" s="1059"/>
      <c r="O27" s="1059"/>
      <c r="P27" s="1059"/>
      <c r="Q27" s="1059"/>
      <c r="R27" s="1059"/>
      <c r="S27" s="1059"/>
      <c r="T27" s="1106"/>
      <c r="V27" s="1107"/>
    </row>
    <row r="28" spans="4:23" ht="13.8">
      <c r="D28" s="1101">
        <v>2016</v>
      </c>
      <c r="E28" s="1105"/>
      <c r="F28" s="1059"/>
      <c r="G28" s="1059"/>
      <c r="H28" s="1136"/>
      <c r="I28" s="1061"/>
      <c r="J28" s="1059"/>
      <c r="K28" s="1061"/>
      <c r="L28" s="1059"/>
      <c r="M28" s="1059"/>
      <c r="N28" s="1059"/>
      <c r="O28" s="1059"/>
      <c r="P28" s="1059"/>
      <c r="Q28" s="1059"/>
      <c r="R28" s="1059"/>
      <c r="S28" s="1059"/>
      <c r="T28" s="1106"/>
      <c r="V28" s="1107"/>
    </row>
    <row r="29" spans="4:23" ht="13.8">
      <c r="D29" s="1104" t="s">
        <v>1170</v>
      </c>
      <c r="E29" s="1105">
        <f>('Input Merchant Liabilities'!C19-'Input Merchant Liabilities'!I19-'Input Merchant Liabilities'!J19-'Input Merchant Liabilities'!L19)/1000000</f>
        <v>58.511732780000003</v>
      </c>
      <c r="F29" s="1059"/>
      <c r="G29" s="1059">
        <f>('Input Merchant Liabilities'!Q19-'Input Merchant Liabilities'!AI19-'Input Merchant Liabilities'!AM19-'Input Merchant Liabilities'!AU19)/1000000</f>
        <v>0</v>
      </c>
      <c r="H29" s="1136">
        <f t="shared" si="0"/>
        <v>58.511732780000003</v>
      </c>
      <c r="I29" s="1061">
        <f>('Input Merchant Liabilities'!I19+'Input Merchant Liabilities'!J19+'Input Merchant Liabilities'!AI19+'Input Merchant Liabilities'!AM19)/1000000</f>
        <v>0</v>
      </c>
      <c r="J29" s="1059">
        <f>('Input Merchant Liabilities'!L19+'Input Merchant Liabilities'!AU19)/1000000</f>
        <v>0</v>
      </c>
      <c r="K29" s="1061">
        <f t="shared" si="1"/>
        <v>58.511732780000003</v>
      </c>
      <c r="L29" s="1059">
        <f>'Input Merchant Liabilities'!CI19/1000000</f>
        <v>0</v>
      </c>
      <c r="M29" s="1059">
        <f>'Input Merchant Liabilities'!DR19/1000000</f>
        <v>0</v>
      </c>
      <c r="N29" s="1059">
        <f>'Input Merchant Liabilities'!CO19/1000000</f>
        <v>0</v>
      </c>
      <c r="O29" s="1059">
        <f>('Input Merchant Liabilities'!CT19+'Input Merchant Liabilities'!DE19)/1000000</f>
        <v>0</v>
      </c>
      <c r="P29" s="1059">
        <f>'Input Merchant Liabilities'!DP19/1000000</f>
        <v>0</v>
      </c>
      <c r="Q29" s="1059">
        <f>'Input Merchant Liabilities'!ES19/1000000</f>
        <v>-18.84492740517906</v>
      </c>
      <c r="R29" s="1059">
        <f>'Input Merchant Liabilities'!EF19/1000000</f>
        <v>0</v>
      </c>
      <c r="S29" s="1059">
        <f>('Input Merchant Liabilities'!EQ19+'Input Merchant Liabilities'!FF19)/1000000</f>
        <v>52.867962340325008</v>
      </c>
      <c r="T29" s="1106">
        <f t="shared" si="2"/>
        <v>92.534767715145946</v>
      </c>
      <c r="V29" s="1107">
        <f>T29-'Input Merchant Liabilities'!FL19/1000000</f>
        <v>0</v>
      </c>
      <c r="W29" s="1140">
        <f t="shared" si="3"/>
        <v>0</v>
      </c>
    </row>
    <row r="30" spans="4:23" ht="13.8">
      <c r="D30" s="1104" t="s">
        <v>1172</v>
      </c>
      <c r="E30" s="1105">
        <f>('Input Merchant Liabilities'!C20-'Input Merchant Liabilities'!I20-'Input Merchant Liabilities'!J20-'Input Merchant Liabilities'!L20)/1000000</f>
        <v>58.304470800000011</v>
      </c>
      <c r="F30" s="1059"/>
      <c r="G30" s="1059">
        <f>('Input Merchant Liabilities'!Q20-'Input Merchant Liabilities'!AI20-'Input Merchant Liabilities'!AM20-'Input Merchant Liabilities'!AU20)/1000000</f>
        <v>0</v>
      </c>
      <c r="H30" s="1136">
        <f t="shared" si="0"/>
        <v>58.304470800000011</v>
      </c>
      <c r="I30" s="1061">
        <f>('Input Merchant Liabilities'!I20+'Input Merchant Liabilities'!J20+'Input Merchant Liabilities'!AI20+'Input Merchant Liabilities'!AM20)/1000000</f>
        <v>0</v>
      </c>
      <c r="J30" s="1059">
        <f>('Input Merchant Liabilities'!L20+'Input Merchant Liabilities'!AU20)/1000000</f>
        <v>0</v>
      </c>
      <c r="K30" s="1061">
        <f t="shared" si="1"/>
        <v>58.304470800000011</v>
      </c>
      <c r="L30" s="1059">
        <f>'Input Merchant Liabilities'!CI20/1000000</f>
        <v>0</v>
      </c>
      <c r="M30" s="1059">
        <f>'Input Merchant Liabilities'!DR20/1000000</f>
        <v>0</v>
      </c>
      <c r="N30" s="1059">
        <f>'Input Merchant Liabilities'!CO20/1000000</f>
        <v>0</v>
      </c>
      <c r="O30" s="1059">
        <f>('Input Merchant Liabilities'!CT20+'Input Merchant Liabilities'!DE20)/1000000</f>
        <v>0</v>
      </c>
      <c r="P30" s="1059">
        <f>'Input Merchant Liabilities'!DP20/1000000</f>
        <v>0</v>
      </c>
      <c r="Q30" s="1059">
        <f>'Input Merchant Liabilities'!ES20/1000000</f>
        <v>-19.381433393419602</v>
      </c>
      <c r="R30" s="1059">
        <f>'Input Merchant Liabilities'!EF20/1000000</f>
        <v>0</v>
      </c>
      <c r="S30" s="1059">
        <f>('Input Merchant Liabilities'!EQ20+'Input Merchant Liabilities'!FF20)/1000000</f>
        <v>54.283627278974983</v>
      </c>
      <c r="T30" s="1106">
        <f t="shared" si="2"/>
        <v>93.206664685555381</v>
      </c>
      <c r="V30" s="1107">
        <f>T30-'Input Merchant Liabilities'!FL20/1000000</f>
        <v>0</v>
      </c>
      <c r="W30" s="1140">
        <f t="shared" si="3"/>
        <v>0</v>
      </c>
    </row>
    <row r="31" spans="4:23" ht="13.8">
      <c r="D31" s="1104" t="s">
        <v>1173</v>
      </c>
      <c r="E31" s="1105">
        <f>('Input Merchant Liabilities'!C21-'Input Merchant Liabilities'!I21-'Input Merchant Liabilities'!J21-'Input Merchant Liabilities'!L21)/1000000</f>
        <v>58.314951969999996</v>
      </c>
      <c r="F31" s="1059"/>
      <c r="G31" s="1059">
        <f>('Input Merchant Liabilities'!Q21-'Input Merchant Liabilities'!AI21-'Input Merchant Liabilities'!AM21-'Input Merchant Liabilities'!AU21)/1000000</f>
        <v>0</v>
      </c>
      <c r="H31" s="1136">
        <f t="shared" si="0"/>
        <v>58.314951969999996</v>
      </c>
      <c r="I31" s="1061">
        <f>('Input Merchant Liabilities'!I21+'Input Merchant Liabilities'!J21+'Input Merchant Liabilities'!AI21+'Input Merchant Liabilities'!AM21)/1000000</f>
        <v>0</v>
      </c>
      <c r="J31" s="1059">
        <f>('Input Merchant Liabilities'!L21+'Input Merchant Liabilities'!AU21)/1000000</f>
        <v>0</v>
      </c>
      <c r="K31" s="1061">
        <f t="shared" si="1"/>
        <v>58.314951969999996</v>
      </c>
      <c r="L31" s="1059">
        <f>'Input Merchant Liabilities'!CI21/1000000</f>
        <v>0</v>
      </c>
      <c r="M31" s="1059">
        <f>'Input Merchant Liabilities'!DR21/1000000</f>
        <v>0</v>
      </c>
      <c r="N31" s="1059">
        <f>'Input Merchant Liabilities'!CO21/1000000</f>
        <v>0</v>
      </c>
      <c r="O31" s="1059">
        <f>('Input Merchant Liabilities'!CT21+'Input Merchant Liabilities'!DE21)/1000000</f>
        <v>0</v>
      </c>
      <c r="P31" s="1059">
        <f>'Input Merchant Liabilities'!DP21/1000000</f>
        <v>0</v>
      </c>
      <c r="Q31" s="1059">
        <f>'Input Merchant Liabilities'!ES21/1000000</f>
        <v>-20.098516093419605</v>
      </c>
      <c r="R31" s="1059">
        <f>'Input Merchant Liabilities'!EF21/1000000</f>
        <v>0</v>
      </c>
      <c r="S31" s="1059">
        <f>('Input Merchant Liabilities'!EQ21+'Input Merchant Liabilities'!FF21)/1000000</f>
        <v>55.346966308974999</v>
      </c>
      <c r="T31" s="1106">
        <f t="shared" si="2"/>
        <v>93.56340218555539</v>
      </c>
      <c r="V31" s="1107">
        <f>T31-'Input Merchant Liabilities'!FL21/1000000</f>
        <v>0</v>
      </c>
      <c r="W31" s="1140">
        <f t="shared" si="3"/>
        <v>0</v>
      </c>
    </row>
    <row r="32" spans="4:23" ht="13.8">
      <c r="D32" s="1104" t="s">
        <v>1174</v>
      </c>
      <c r="E32" s="1105">
        <f>('Input Merchant Liabilities'!C22-'Input Merchant Liabilities'!I22-'Input Merchant Liabilities'!J22-'Input Merchant Liabilities'!L22)/1000000</f>
        <v>58.34621147</v>
      </c>
      <c r="F32" s="1059"/>
      <c r="G32" s="1059">
        <f>('Input Merchant Liabilities'!Q22-'Input Merchant Liabilities'!AI22-'Input Merchant Liabilities'!AM22-'Input Merchant Liabilities'!AU22)/1000000</f>
        <v>0</v>
      </c>
      <c r="H32" s="1136">
        <f t="shared" si="0"/>
        <v>58.34621147</v>
      </c>
      <c r="I32" s="1061">
        <f>('Input Merchant Liabilities'!I22+'Input Merchant Liabilities'!J22+'Input Merchant Liabilities'!AI22+'Input Merchant Liabilities'!AM22)/1000000</f>
        <v>0</v>
      </c>
      <c r="J32" s="1059">
        <f>('Input Merchant Liabilities'!L22+'Input Merchant Liabilities'!AU22)/1000000</f>
        <v>0</v>
      </c>
      <c r="K32" s="1061">
        <f t="shared" si="1"/>
        <v>58.34621147</v>
      </c>
      <c r="L32" s="1059">
        <f>'Input Merchant Liabilities'!CI22/1000000</f>
        <v>0</v>
      </c>
      <c r="M32" s="1059">
        <f>'Input Merchant Liabilities'!DR22/1000000</f>
        <v>0</v>
      </c>
      <c r="N32" s="1059">
        <f>'Input Merchant Liabilities'!CO22/1000000</f>
        <v>0</v>
      </c>
      <c r="O32" s="1059">
        <f>('Input Merchant Liabilities'!CT22+'Input Merchant Liabilities'!DE22)/1000000</f>
        <v>0</v>
      </c>
      <c r="P32" s="1059">
        <f>'Input Merchant Liabilities'!DP22/1000000</f>
        <v>0</v>
      </c>
      <c r="Q32" s="1059">
        <f>'Input Merchant Liabilities'!ES22/1000000</f>
        <v>-19.525801999999999</v>
      </c>
      <c r="R32" s="1059">
        <f>'Input Merchant Liabilities'!EF22/1000000</f>
        <v>0</v>
      </c>
      <c r="S32" s="1059">
        <f>('Input Merchant Liabilities'!EQ22+'Input Merchant Liabilities'!FF22)/1000000</f>
        <v>55.01233718000001</v>
      </c>
      <c r="T32" s="1106">
        <f t="shared" si="2"/>
        <v>93.832746650000018</v>
      </c>
      <c r="V32" s="1107">
        <f>T32-'Input Merchant Liabilities'!FL22/1000000</f>
        <v>0</v>
      </c>
      <c r="W32" s="1140">
        <f t="shared" si="3"/>
        <v>0</v>
      </c>
    </row>
    <row r="33" spans="4:23" ht="13.8">
      <c r="D33" s="1104" t="s">
        <v>1165</v>
      </c>
      <c r="E33" s="1105">
        <f>('Input Merchant Liabilities'!C23-'Input Merchant Liabilities'!I23-'Input Merchant Liabilities'!J23-'Input Merchant Liabilities'!L23)/1000000</f>
        <v>58.364091150000007</v>
      </c>
      <c r="F33" s="1059"/>
      <c r="G33" s="1059">
        <f>('Input Merchant Liabilities'!Q23-'Input Merchant Liabilities'!AI23-'Input Merchant Liabilities'!AM23-'Input Merchant Liabilities'!AU23)/1000000</f>
        <v>0</v>
      </c>
      <c r="H33" s="1136">
        <f t="shared" si="0"/>
        <v>58.364091150000007</v>
      </c>
      <c r="I33" s="1061">
        <f>('Input Merchant Liabilities'!I23+'Input Merchant Liabilities'!J23+'Input Merchant Liabilities'!AI23+'Input Merchant Liabilities'!AM23)/1000000</f>
        <v>0</v>
      </c>
      <c r="J33" s="1059">
        <f>('Input Merchant Liabilities'!L23+'Input Merchant Liabilities'!AU23)/1000000</f>
        <v>0</v>
      </c>
      <c r="K33" s="1061">
        <f t="shared" si="1"/>
        <v>58.364091150000007</v>
      </c>
      <c r="L33" s="1059">
        <f>'Input Merchant Liabilities'!CI23/1000000</f>
        <v>0</v>
      </c>
      <c r="M33" s="1059">
        <f>'Input Merchant Liabilities'!DR23/1000000</f>
        <v>0</v>
      </c>
      <c r="N33" s="1059">
        <f>'Input Merchant Liabilities'!CO23/1000000</f>
        <v>0</v>
      </c>
      <c r="O33" s="1059">
        <f>('Input Merchant Liabilities'!CT23+'Input Merchant Liabilities'!DE23)/1000000</f>
        <v>0</v>
      </c>
      <c r="P33" s="1059">
        <f>'Input Merchant Liabilities'!DP23/1000000</f>
        <v>0</v>
      </c>
      <c r="Q33" s="1059">
        <f>'Input Merchant Liabilities'!ES23/1000000</f>
        <v>-20.214985054094605</v>
      </c>
      <c r="R33" s="1059">
        <f>'Input Merchant Liabilities'!EF23/1000000</f>
        <v>0</v>
      </c>
      <c r="S33" s="1059">
        <f>('Input Merchant Liabilities'!EQ23+'Input Merchant Liabilities'!FF23)/1000000</f>
        <v>56.020314960149982</v>
      </c>
      <c r="T33" s="1106">
        <f t="shared" si="2"/>
        <v>94.169421056055384</v>
      </c>
      <c r="V33" s="1107">
        <f>T33-'Input Merchant Liabilities'!FL23/1000000</f>
        <v>0</v>
      </c>
      <c r="W33" s="1140">
        <f t="shared" si="3"/>
        <v>0</v>
      </c>
    </row>
    <row r="34" spans="4:23" ht="13.8">
      <c r="D34" s="1104" t="s">
        <v>1203</v>
      </c>
      <c r="E34" s="1105">
        <f>('Input Merchant Liabilities'!C24-'Input Merchant Liabilities'!I24-'Input Merchant Liabilities'!J24-'Input Merchant Liabilities'!L24)/1000000</f>
        <v>58.364091150000007</v>
      </c>
      <c r="F34" s="1059"/>
      <c r="G34" s="1059">
        <f>('Input Merchant Liabilities'!Q24-'Input Merchant Liabilities'!AI24-'Input Merchant Liabilities'!AM24-'Input Merchant Liabilities'!AU24)/1000000</f>
        <v>0</v>
      </c>
      <c r="H34" s="1136">
        <f t="shared" si="0"/>
        <v>58.364091150000007</v>
      </c>
      <c r="I34" s="1061">
        <f>('Input Merchant Liabilities'!I24+'Input Merchant Liabilities'!J24+'Input Merchant Liabilities'!AI24+'Input Merchant Liabilities'!AM24)/1000000</f>
        <v>0</v>
      </c>
      <c r="J34" s="1059">
        <f>('Input Merchant Liabilities'!L24+'Input Merchant Liabilities'!AU24)/1000000</f>
        <v>0</v>
      </c>
      <c r="K34" s="1061">
        <f t="shared" si="1"/>
        <v>58.364091150000007</v>
      </c>
      <c r="L34" s="1059">
        <f>'Input Merchant Liabilities'!CI24/1000000</f>
        <v>0</v>
      </c>
      <c r="M34" s="1059">
        <f>'Input Merchant Liabilities'!DR24/1000000</f>
        <v>0</v>
      </c>
      <c r="N34" s="1059">
        <f>'Input Merchant Liabilities'!CO24/1000000</f>
        <v>0</v>
      </c>
      <c r="O34" s="1059">
        <f>('Input Merchant Liabilities'!CT24+'Input Merchant Liabilities'!DE24)/1000000</f>
        <v>0</v>
      </c>
      <c r="P34" s="1059">
        <f>'Input Merchant Liabilities'!DP24/1000000</f>
        <v>0</v>
      </c>
      <c r="Q34" s="1059">
        <f>'Input Merchant Liabilities'!ES24/1000000</f>
        <v>-20.214985054094605</v>
      </c>
      <c r="R34" s="1059">
        <f>'Input Merchant Liabilities'!EF24/1000000</f>
        <v>0</v>
      </c>
      <c r="S34" s="1059">
        <f>('Input Merchant Liabilities'!EQ24+'Input Merchant Liabilities'!FF24)/1000000</f>
        <v>56.020314960149982</v>
      </c>
      <c r="T34" s="1106">
        <f t="shared" si="2"/>
        <v>94.169421056055384</v>
      </c>
      <c r="V34" s="1107">
        <f>T34-'Input Merchant Liabilities'!FL24/1000000</f>
        <v>0</v>
      </c>
      <c r="W34" s="1140">
        <f t="shared" si="3"/>
        <v>0</v>
      </c>
    </row>
    <row r="35" spans="4:23" ht="13.8">
      <c r="D35" s="1104" t="s">
        <v>1205</v>
      </c>
      <c r="E35" s="1105">
        <f>('Input Merchant Liabilities'!C25-'Input Merchant Liabilities'!I25-'Input Merchant Liabilities'!J25-'Input Merchant Liabilities'!L25)/1000000</f>
        <v>58.35074096000001</v>
      </c>
      <c r="F35" s="1059"/>
      <c r="G35" s="1059">
        <f>('Input Merchant Liabilities'!Q25-'Input Merchant Liabilities'!AI25-'Input Merchant Liabilities'!AM25-'Input Merchant Liabilities'!AU25)/1000000</f>
        <v>0</v>
      </c>
      <c r="H35" s="1136">
        <f t="shared" si="0"/>
        <v>58.35074096000001</v>
      </c>
      <c r="I35" s="1061">
        <f>('Input Merchant Liabilities'!I25+'Input Merchant Liabilities'!J25+'Input Merchant Liabilities'!AI25+'Input Merchant Liabilities'!AM25)/1000000</f>
        <v>0</v>
      </c>
      <c r="J35" s="1059">
        <f>('Input Merchant Liabilities'!L25+'Input Merchant Liabilities'!AU25)/1000000</f>
        <v>0</v>
      </c>
      <c r="K35" s="1061">
        <f t="shared" si="1"/>
        <v>58.35074096000001</v>
      </c>
      <c r="L35" s="1059">
        <f>'Input Merchant Liabilities'!CI25/1000000</f>
        <v>0</v>
      </c>
      <c r="M35" s="1059">
        <f>'Input Merchant Liabilities'!DR25/1000000</f>
        <v>0</v>
      </c>
      <c r="N35" s="1059">
        <f>'Input Merchant Liabilities'!CO25/1000000</f>
        <v>0</v>
      </c>
      <c r="O35" s="1059">
        <f>('Input Merchant Liabilities'!CT25+'Input Merchant Liabilities'!DE25)/1000000</f>
        <v>0</v>
      </c>
      <c r="P35" s="1059">
        <f>'Input Merchant Liabilities'!DP25/1000000</f>
        <v>0</v>
      </c>
      <c r="Q35" s="1059">
        <f>'Input Merchant Liabilities'!ES25/1000000</f>
        <v>-19.3381802138788</v>
      </c>
      <c r="R35" s="1059">
        <f>'Input Merchant Liabilities'!EF25/1000000</f>
        <v>0</v>
      </c>
      <c r="S35" s="1059">
        <f>('Input Merchant Liabilities'!EQ25+'Input Merchant Liabilities'!FF25)/1000000</f>
        <v>56.094607894924984</v>
      </c>
      <c r="T35" s="1106">
        <f t="shared" si="2"/>
        <v>95.107168641046201</v>
      </c>
      <c r="V35" s="1107">
        <f>T35-'Input Merchant Liabilities'!FL25/1000000</f>
        <v>0</v>
      </c>
      <c r="W35" s="1140">
        <f t="shared" si="3"/>
        <v>0</v>
      </c>
    </row>
    <row r="36" spans="4:23" ht="13.8">
      <c r="D36" s="1104" t="s">
        <v>1177</v>
      </c>
      <c r="E36" s="1105">
        <f>('Input Merchant Liabilities'!C26-'Input Merchant Liabilities'!I26-'Input Merchant Liabilities'!J26-'Input Merchant Liabilities'!L26)/1000000</f>
        <v>58.341817859999999</v>
      </c>
      <c r="F36" s="1059"/>
      <c r="G36" s="1059">
        <f>('Input Merchant Liabilities'!Q26-'Input Merchant Liabilities'!AI26-'Input Merchant Liabilities'!AM26-'Input Merchant Liabilities'!AU26)/1000000</f>
        <v>0</v>
      </c>
      <c r="H36" s="1136">
        <f t="shared" si="0"/>
        <v>58.341817859999999</v>
      </c>
      <c r="I36" s="1061">
        <f>('Input Merchant Liabilities'!I26+'Input Merchant Liabilities'!J26+'Input Merchant Liabilities'!AI26+'Input Merchant Liabilities'!AM26)/1000000</f>
        <v>0</v>
      </c>
      <c r="J36" s="1059">
        <f>('Input Merchant Liabilities'!L26+'Input Merchant Liabilities'!AU26)/1000000</f>
        <v>0</v>
      </c>
      <c r="K36" s="1061">
        <f t="shared" si="1"/>
        <v>58.341817859999999</v>
      </c>
      <c r="L36" s="1059">
        <f>'Input Merchant Liabilities'!CI26/1000000</f>
        <v>0</v>
      </c>
      <c r="M36" s="1059">
        <f>'Input Merchant Liabilities'!DR26/1000000</f>
        <v>0</v>
      </c>
      <c r="N36" s="1059">
        <f>'Input Merchant Liabilities'!CO26/1000000</f>
        <v>0</v>
      </c>
      <c r="O36" s="1059">
        <f>('Input Merchant Liabilities'!CT26+'Input Merchant Liabilities'!DE26)/1000000</f>
        <v>0</v>
      </c>
      <c r="P36" s="1059">
        <f>'Input Merchant Liabilities'!DP26/1000000</f>
        <v>0</v>
      </c>
      <c r="Q36" s="1059">
        <f>'Input Merchant Liabilities'!ES26/1000000</f>
        <v>-19.251484999999999</v>
      </c>
      <c r="R36" s="1059">
        <f>'Input Merchant Liabilities'!EF26/1000000</f>
        <v>0</v>
      </c>
      <c r="S36" s="1059">
        <f>('Input Merchant Liabilities'!EQ26+'Input Merchant Liabilities'!FF26)/1000000</f>
        <v>56.08180539</v>
      </c>
      <c r="T36" s="1106">
        <f t="shared" si="2"/>
        <v>95.172138250000003</v>
      </c>
      <c r="V36" s="1107">
        <f>T36-'Input Merchant Liabilities'!FL26/1000000</f>
        <v>0</v>
      </c>
      <c r="W36" s="1140">
        <f t="shared" si="3"/>
        <v>0</v>
      </c>
    </row>
    <row r="37" spans="4:23" ht="13.8">
      <c r="D37" s="1104" t="s">
        <v>1178</v>
      </c>
      <c r="E37" s="1105">
        <f>('Input Merchant Liabilities'!C27-'Input Merchant Liabilities'!I27-'Input Merchant Liabilities'!J27-'Input Merchant Liabilities'!L27)/1000000</f>
        <v>58.880311210000002</v>
      </c>
      <c r="F37" s="1059"/>
      <c r="G37" s="1059">
        <f>('Input Merchant Liabilities'!Q27-'Input Merchant Liabilities'!AI27-'Input Merchant Liabilities'!AM27-'Input Merchant Liabilities'!AU27)/1000000</f>
        <v>0</v>
      </c>
      <c r="H37" s="1136">
        <f t="shared" si="0"/>
        <v>58.880311210000002</v>
      </c>
      <c r="I37" s="1061">
        <f>('Input Merchant Liabilities'!I27+'Input Merchant Liabilities'!J27+'Input Merchant Liabilities'!AI27+'Input Merchant Liabilities'!AM27)/1000000</f>
        <v>0</v>
      </c>
      <c r="J37" s="1059">
        <f>('Input Merchant Liabilities'!L27+'Input Merchant Liabilities'!AU27)/1000000</f>
        <v>0</v>
      </c>
      <c r="K37" s="1061">
        <f t="shared" si="1"/>
        <v>58.880311210000002</v>
      </c>
      <c r="L37" s="1059">
        <f>'Input Merchant Liabilities'!CI27/1000000</f>
        <v>0</v>
      </c>
      <c r="M37" s="1059">
        <f>'Input Merchant Liabilities'!DR27/1000000</f>
        <v>0</v>
      </c>
      <c r="N37" s="1059">
        <f>'Input Merchant Liabilities'!CO27/1000000</f>
        <v>0</v>
      </c>
      <c r="O37" s="1059">
        <f>('Input Merchant Liabilities'!CT27+'Input Merchant Liabilities'!DE27)/1000000</f>
        <v>0</v>
      </c>
      <c r="P37" s="1059">
        <f>'Input Merchant Liabilities'!DP27/1000000</f>
        <v>0</v>
      </c>
      <c r="Q37" s="1059">
        <f>'Input Merchant Liabilities'!ES27/1000000</f>
        <v>-19.265891</v>
      </c>
      <c r="R37" s="1059">
        <f>'Input Merchant Liabilities'!EF27/1000000</f>
        <v>0</v>
      </c>
      <c r="S37" s="1059">
        <f>('Input Merchant Liabilities'!EQ27+'Input Merchant Liabilities'!FF27)/1000000</f>
        <v>55.892757039999992</v>
      </c>
      <c r="T37" s="1106">
        <f t="shared" si="2"/>
        <v>95.507177249999998</v>
      </c>
      <c r="V37" s="1107">
        <f>T37-'Input Merchant Liabilities'!FL27/1000000</f>
        <v>0</v>
      </c>
      <c r="W37" s="1140">
        <f t="shared" si="3"/>
        <v>0</v>
      </c>
    </row>
    <row r="38" spans="4:23" ht="13.8">
      <c r="D38" s="1104" t="s">
        <v>1179</v>
      </c>
      <c r="E38" s="1105">
        <f>('Input Merchant Liabilities'!C28-'Input Merchant Liabilities'!I28-'Input Merchant Liabilities'!J28-'Input Merchant Liabilities'!L28)/1000000</f>
        <v>58.880311210000002</v>
      </c>
      <c r="F38" s="1059"/>
      <c r="G38" s="1059">
        <f>('Input Merchant Liabilities'!Q28-'Input Merchant Liabilities'!AI28-'Input Merchant Liabilities'!AM28-'Input Merchant Liabilities'!AU28)/1000000</f>
        <v>0</v>
      </c>
      <c r="H38" s="1136">
        <f t="shared" si="0"/>
        <v>58.880311210000002</v>
      </c>
      <c r="I38" s="1061">
        <f>('Input Merchant Liabilities'!I28+'Input Merchant Liabilities'!J28+'Input Merchant Liabilities'!AI28+'Input Merchant Liabilities'!AM28)/1000000</f>
        <v>0</v>
      </c>
      <c r="J38" s="1059">
        <f>('Input Merchant Liabilities'!L28+'Input Merchant Liabilities'!AU28)/1000000</f>
        <v>0</v>
      </c>
      <c r="K38" s="1061">
        <f t="shared" si="1"/>
        <v>58.880311210000002</v>
      </c>
      <c r="L38" s="1059">
        <f>'Input Merchant Liabilities'!CI28/1000000</f>
        <v>0</v>
      </c>
      <c r="M38" s="1059">
        <f>'Input Merchant Liabilities'!DR28/1000000</f>
        <v>0</v>
      </c>
      <c r="N38" s="1059">
        <f>'Input Merchant Liabilities'!CO28/1000000</f>
        <v>0</v>
      </c>
      <c r="O38" s="1059">
        <f>('Input Merchant Liabilities'!CT28+'Input Merchant Liabilities'!DE28)/1000000</f>
        <v>0</v>
      </c>
      <c r="P38" s="1059">
        <f>'Input Merchant Liabilities'!DP28/1000000</f>
        <v>0</v>
      </c>
      <c r="Q38" s="1059">
        <f>'Input Merchant Liabilities'!ES28/1000000</f>
        <v>-19.265891</v>
      </c>
      <c r="R38" s="1059">
        <f>'Input Merchant Liabilities'!EF28/1000000</f>
        <v>0</v>
      </c>
      <c r="S38" s="1059">
        <f>('Input Merchant Liabilities'!EQ28+'Input Merchant Liabilities'!FF28)/1000000</f>
        <v>55.892757039999992</v>
      </c>
      <c r="T38" s="1106">
        <f t="shared" si="2"/>
        <v>95.507177249999998</v>
      </c>
      <c r="V38" s="1107">
        <f>T38-'Input Merchant Liabilities'!FL28/1000000</f>
        <v>0</v>
      </c>
      <c r="W38" s="1140">
        <f t="shared" si="3"/>
        <v>0</v>
      </c>
    </row>
    <row r="39" spans="4:23" ht="13.8">
      <c r="D39" s="1104" t="s">
        <v>1180</v>
      </c>
      <c r="E39" s="1105">
        <f>('Input Merchant Liabilities'!C29-'Input Merchant Liabilities'!I29-'Input Merchant Liabilities'!J29-'Input Merchant Liabilities'!L29)/1000000</f>
        <v>58.880311210000009</v>
      </c>
      <c r="F39" s="1059"/>
      <c r="G39" s="1059">
        <f>('Input Merchant Liabilities'!Q29-'Input Merchant Liabilities'!AI29-'Input Merchant Liabilities'!AM29-'Input Merchant Liabilities'!AU29)/1000000</f>
        <v>0</v>
      </c>
      <c r="H39" s="1136">
        <f t="shared" si="0"/>
        <v>58.880311210000009</v>
      </c>
      <c r="I39" s="1061">
        <f>('Input Merchant Liabilities'!I29+'Input Merchant Liabilities'!J29+'Input Merchant Liabilities'!AI29+'Input Merchant Liabilities'!AM29)/1000000</f>
        <v>0</v>
      </c>
      <c r="J39" s="1059">
        <f>('Input Merchant Liabilities'!L29+'Input Merchant Liabilities'!AU29)/1000000</f>
        <v>0</v>
      </c>
      <c r="K39" s="1061">
        <f t="shared" si="1"/>
        <v>58.880311210000009</v>
      </c>
      <c r="L39" s="1059">
        <f>'Input Merchant Liabilities'!CI29/1000000</f>
        <v>0</v>
      </c>
      <c r="M39" s="1059">
        <f>'Input Merchant Liabilities'!DR29/1000000</f>
        <v>0</v>
      </c>
      <c r="N39" s="1059">
        <f>'Input Merchant Liabilities'!CO29/1000000</f>
        <v>0</v>
      </c>
      <c r="O39" s="1059">
        <f>('Input Merchant Liabilities'!CT29+'Input Merchant Liabilities'!DE29)/1000000</f>
        <v>0</v>
      </c>
      <c r="P39" s="1059">
        <f>'Input Merchant Liabilities'!DP29/1000000</f>
        <v>0</v>
      </c>
      <c r="Q39" s="1059">
        <f>'Input Merchant Liabilities'!ES29/1000000</f>
        <v>-19.193602568528785</v>
      </c>
      <c r="R39" s="1059">
        <f>'Input Merchant Liabilities'!EF29/1000000</f>
        <v>0</v>
      </c>
      <c r="S39" s="1059">
        <f>('Input Merchant Liabilities'!EQ29+'Input Merchant Liabilities'!FF29)/1000000</f>
        <v>55.892756649750005</v>
      </c>
      <c r="T39" s="1106">
        <f t="shared" si="2"/>
        <v>95.579465291221226</v>
      </c>
      <c r="V39" s="1107">
        <f>T39-'Input Merchant Liabilities'!FL29/1000000</f>
        <v>0</v>
      </c>
      <c r="W39" s="1140">
        <f t="shared" si="3"/>
        <v>0</v>
      </c>
    </row>
    <row r="40" spans="4:23" ht="13.8">
      <c r="D40" s="1104" t="s">
        <v>1181</v>
      </c>
      <c r="E40" s="1105">
        <f>('Input Merchant Liabilities'!C30-'Input Merchant Liabilities'!I30-'Input Merchant Liabilities'!J30-'Input Merchant Liabilities'!L30)/1000000</f>
        <v>58.524403740000011</v>
      </c>
      <c r="F40" s="1059"/>
      <c r="G40" s="1059">
        <f>('Input Merchant Liabilities'!Q30-'Input Merchant Liabilities'!AI30-'Input Merchant Liabilities'!AM30-'Input Merchant Liabilities'!AU30)/1000000</f>
        <v>0</v>
      </c>
      <c r="H40" s="1136">
        <f t="shared" si="0"/>
        <v>58.524403740000011</v>
      </c>
      <c r="I40" s="1061">
        <f>('Input Merchant Liabilities'!I30+'Input Merchant Liabilities'!J30+'Input Merchant Liabilities'!AI30+'Input Merchant Liabilities'!AM30)/1000000</f>
        <v>0</v>
      </c>
      <c r="J40" s="1059">
        <f>('Input Merchant Liabilities'!L30+'Input Merchant Liabilities'!AU30)/1000000</f>
        <v>0</v>
      </c>
      <c r="K40" s="1061">
        <f t="shared" si="1"/>
        <v>58.524403740000011</v>
      </c>
      <c r="L40" s="1059">
        <f>'Input Merchant Liabilities'!CI30/1000000</f>
        <v>0</v>
      </c>
      <c r="M40" s="1059">
        <f>'Input Merchant Liabilities'!DR30/1000000</f>
        <v>0</v>
      </c>
      <c r="N40" s="1059">
        <f>'Input Merchant Liabilities'!CO30/1000000</f>
        <v>0</v>
      </c>
      <c r="O40" s="1059">
        <f>('Input Merchant Liabilities'!CT30+'Input Merchant Liabilities'!DE30)/1000000</f>
        <v>0</v>
      </c>
      <c r="P40" s="1059">
        <f>'Input Merchant Liabilities'!DP30/1000000</f>
        <v>0</v>
      </c>
      <c r="Q40" s="1059">
        <f>'Input Merchant Liabilities'!ES30/1000000</f>
        <v>-20.134578286134463</v>
      </c>
      <c r="R40" s="1059">
        <f>'Input Merchant Liabilities'!EF30/1000000</f>
        <v>0</v>
      </c>
      <c r="S40" s="1059">
        <f>('Input Merchant Liabilities'!EQ30+'Input Merchant Liabilities'!FF30)/1000000</f>
        <v>53.174905495224969</v>
      </c>
      <c r="T40" s="1106">
        <f t="shared" si="2"/>
        <v>91.564730949090517</v>
      </c>
      <c r="V40" s="1107">
        <f>T40-'Input Merchant Liabilities'!FL30/1000000</f>
        <v>0</v>
      </c>
      <c r="W40" s="1140">
        <f t="shared" si="3"/>
        <v>0</v>
      </c>
    </row>
    <row r="41" spans="4:23" ht="13.8">
      <c r="D41" s="1104"/>
      <c r="E41" s="1105"/>
      <c r="F41" s="1059"/>
      <c r="G41" s="1059"/>
      <c r="H41" s="1145"/>
      <c r="I41" s="1059"/>
      <c r="J41" s="1059"/>
      <c r="K41" s="1061"/>
      <c r="L41" s="1059"/>
      <c r="M41" s="1059"/>
      <c r="N41" s="1059"/>
      <c r="O41" s="1059"/>
      <c r="P41" s="1059"/>
      <c r="Q41" s="1059"/>
      <c r="R41" s="1059"/>
      <c r="S41" s="1059"/>
      <c r="T41" s="1106"/>
    </row>
    <row r="42" spans="4:23" ht="13.8">
      <c r="D42" s="1101">
        <v>2017</v>
      </c>
      <c r="E42" s="1105"/>
      <c r="F42" s="1059"/>
      <c r="G42" s="1059"/>
      <c r="H42" s="1145"/>
      <c r="I42" s="1059"/>
      <c r="J42" s="1059"/>
      <c r="K42" s="1061"/>
      <c r="L42" s="1059"/>
      <c r="M42" s="1059"/>
      <c r="N42" s="1059"/>
      <c r="O42" s="1059"/>
      <c r="P42" s="1059"/>
      <c r="Q42" s="1059"/>
      <c r="R42" s="1059"/>
      <c r="S42" s="1059"/>
      <c r="T42" s="1061"/>
      <c r="U42" s="1109"/>
      <c r="V42" s="1111"/>
      <c r="W42" s="1146"/>
    </row>
    <row r="43" spans="4:23" ht="13.8">
      <c r="D43" s="1104" t="s">
        <v>1170</v>
      </c>
      <c r="E43" s="1105">
        <f>('Input Merchant Liabilities'!C33-'Input Merchant Liabilities'!I33-'Input Merchant Liabilities'!J33-'Input Merchant Liabilities'!L33)/1000000</f>
        <v>58.880311210000009</v>
      </c>
      <c r="F43" s="1059"/>
      <c r="G43" s="1059">
        <f>('Input Merchant Liabilities'!Q33-'Input Merchant Liabilities'!AI33-'Input Merchant Liabilities'!AM33-'Input Merchant Liabilities'!AU33)/1000000</f>
        <v>0</v>
      </c>
      <c r="H43" s="1136">
        <f>SUM(E43:G43)</f>
        <v>58.880311210000009</v>
      </c>
      <c r="I43" s="1061">
        <f>('Input Merchant Liabilities'!I33+'Input Merchant Liabilities'!J33+'Input Merchant Liabilities'!AI33+'Input Merchant Liabilities'!AM33)/1000000</f>
        <v>0</v>
      </c>
      <c r="J43" s="1059">
        <f>('Input Merchant Liabilities'!L33+'Input Merchant Liabilities'!AU33)/1000000</f>
        <v>0</v>
      </c>
      <c r="K43" s="1061">
        <f>SUM(H43:J43)</f>
        <v>58.880311210000009</v>
      </c>
      <c r="L43" s="1059">
        <f>'Input Merchant Liabilities'!CI33/1000000</f>
        <v>0</v>
      </c>
      <c r="M43" s="1059">
        <f>'Input Merchant Liabilities'!DR33/1000000</f>
        <v>0</v>
      </c>
      <c r="N43" s="1059">
        <f>'Input Merchant Liabilities'!CO33/1000000</f>
        <v>0</v>
      </c>
      <c r="O43" s="1059">
        <f>('Input Merchant Liabilities'!CT33+'Input Merchant Liabilities'!DE33)/1000000</f>
        <v>0</v>
      </c>
      <c r="P43" s="1059">
        <f>'Input Merchant Liabilities'!DP33/1000000</f>
        <v>0</v>
      </c>
      <c r="Q43" s="1059">
        <f>'Input Merchant Liabilities'!ES33/1000000</f>
        <v>-18.933518193603788</v>
      </c>
      <c r="R43" s="1059">
        <f>'Input Merchant Liabilities'!EF33/1000000</f>
        <v>0</v>
      </c>
      <c r="S43" s="1059">
        <f>('Input Merchant Liabilities'!EQ33+'Input Merchant Liabilities'!FF33)/1000000</f>
        <v>55.892757275149954</v>
      </c>
      <c r="T43" s="1106">
        <f>SUM(K43:S43)</f>
        <v>95.839550291546175</v>
      </c>
      <c r="V43" s="1107">
        <f>T43-'Input Merchant Liabilities'!FL33/1000000</f>
        <v>0</v>
      </c>
      <c r="W43" s="1140">
        <f>+V43*1000000</f>
        <v>0</v>
      </c>
    </row>
    <row r="44" spans="4:23" ht="13.8">
      <c r="D44" s="1104" t="s">
        <v>1172</v>
      </c>
      <c r="E44" s="1105">
        <f>('Input Merchant Liabilities'!C34-'Input Merchant Liabilities'!I34-'Input Merchant Liabilities'!J34-'Input Merchant Liabilities'!L34)/1000000</f>
        <v>58.880311210000009</v>
      </c>
      <c r="F44" s="1059"/>
      <c r="G44" s="1059">
        <f>('Input Merchant Liabilities'!Q34-'Input Merchant Liabilities'!AI34-'Input Merchant Liabilities'!AM34-'Input Merchant Liabilities'!AU34)/1000000</f>
        <v>0</v>
      </c>
      <c r="H44" s="1136">
        <f>SUM(E44:G44)</f>
        <v>58.880311210000009</v>
      </c>
      <c r="I44" s="1061">
        <f>('Input Merchant Liabilities'!I34+'Input Merchant Liabilities'!J34+'Input Merchant Liabilities'!AI34+'Input Merchant Liabilities'!AM34)/1000000</f>
        <v>0</v>
      </c>
      <c r="J44" s="1059">
        <f>('Input Merchant Liabilities'!L34+'Input Merchant Liabilities'!AU34)/1000000</f>
        <v>0</v>
      </c>
      <c r="K44" s="1061">
        <f>SUM(H44:J44)</f>
        <v>58.880311210000009</v>
      </c>
      <c r="L44" s="1059">
        <f>'Input Merchant Liabilities'!CI34/1000000</f>
        <v>0</v>
      </c>
      <c r="M44" s="1059">
        <f>'Input Merchant Liabilities'!DR34/1000000</f>
        <v>0</v>
      </c>
      <c r="N44" s="1059">
        <f>'Input Merchant Liabilities'!CO34/1000000</f>
        <v>0</v>
      </c>
      <c r="O44" s="1059">
        <f>('Input Merchant Liabilities'!CT34+'Input Merchant Liabilities'!DE34)/1000000</f>
        <v>0</v>
      </c>
      <c r="P44" s="1059">
        <f>'Input Merchant Liabilities'!DP34/1000000</f>
        <v>0</v>
      </c>
      <c r="Q44" s="1059">
        <f>'Input Merchant Liabilities'!ES34/1000000</f>
        <v>-19.020213999999999</v>
      </c>
      <c r="R44" s="1059">
        <f>'Input Merchant Liabilities'!EF34/1000000</f>
        <v>0</v>
      </c>
      <c r="S44" s="1059">
        <f>('Input Merchant Liabilities'!EQ34+'Input Merchant Liabilities'!FF34)/1000000</f>
        <v>55.892758351546171</v>
      </c>
      <c r="T44" s="1106">
        <f>SUM(K44:S44)</f>
        <v>95.75285556154617</v>
      </c>
      <c r="V44" s="1107">
        <f>T44-'Input Merchant Liabilities'!FL34/1000000</f>
        <v>0</v>
      </c>
      <c r="W44" s="1140">
        <f>+V44*1000000</f>
        <v>0</v>
      </c>
    </row>
    <row r="45" spans="4:23" ht="14.4" thickBot="1">
      <c r="D45" s="1116"/>
      <c r="E45" s="1126"/>
      <c r="F45" s="1129"/>
      <c r="G45" s="1129"/>
      <c r="H45" s="1147"/>
      <c r="I45" s="1129"/>
      <c r="J45" s="1129"/>
      <c r="K45" s="1130"/>
      <c r="L45" s="1129"/>
      <c r="M45" s="1129"/>
      <c r="N45" s="1129"/>
      <c r="O45" s="1129"/>
      <c r="P45" s="1129"/>
      <c r="Q45" s="1129"/>
      <c r="R45" s="1129"/>
      <c r="S45" s="1129"/>
      <c r="T45" s="1130"/>
      <c r="U45" s="1102"/>
    </row>
    <row r="46" spans="4:23" ht="13.8" thickTop="1">
      <c r="D46" s="1131"/>
      <c r="E46" s="1132"/>
      <c r="F46" s="1132"/>
      <c r="G46" s="1132"/>
      <c r="H46" s="1148"/>
      <c r="I46" s="1132"/>
      <c r="J46" s="1132"/>
      <c r="K46" s="1134"/>
      <c r="L46" s="1135"/>
      <c r="M46" s="1135"/>
      <c r="N46" s="1135"/>
      <c r="O46" s="1135"/>
      <c r="P46" s="1135"/>
      <c r="Q46" s="1135"/>
      <c r="R46" s="1135"/>
      <c r="S46" s="1135"/>
      <c r="T46" s="1134"/>
      <c r="U46" s="1102"/>
    </row>
    <row r="47" spans="4:23" ht="16.8">
      <c r="D47" s="965" t="s">
        <v>1360</v>
      </c>
      <c r="E47" s="928"/>
      <c r="F47" s="928"/>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6" customWidth="1"/>
    <col min="2" max="3" width="8.90625" style="616" customWidth="1"/>
    <col min="4" max="4" width="10.81640625" style="616" customWidth="1"/>
    <col min="5" max="5" width="11" style="616" customWidth="1"/>
    <col min="6" max="6" width="13.81640625" style="616" customWidth="1"/>
    <col min="7" max="8" width="12.90625" style="616" customWidth="1"/>
    <col min="9" max="9" width="11.08984375" style="616" customWidth="1"/>
    <col min="10" max="10" width="12.1796875" style="616" bestFit="1" customWidth="1"/>
    <col min="11" max="11" width="15" style="616" customWidth="1"/>
    <col min="12" max="12" width="10.36328125" style="616" customWidth="1"/>
    <col min="13" max="13" width="9.90625" style="616" bestFit="1" customWidth="1"/>
    <col min="14" max="14" width="13" style="616" bestFit="1" customWidth="1"/>
    <col min="15" max="15" width="12.6328125" style="616" bestFit="1" customWidth="1"/>
    <col min="16" max="16" width="17.453125" style="616" bestFit="1" customWidth="1"/>
    <col min="17" max="20" width="11.453125" style="616" customWidth="1"/>
    <col min="21" max="21" width="12.1796875" style="616" customWidth="1"/>
    <col min="22" max="22" width="17.54296875" style="616" customWidth="1"/>
    <col min="23" max="23" width="12.54296875" style="1030" bestFit="1" customWidth="1"/>
    <col min="24" max="24" width="8.90625" style="1031" bestFit="1" customWidth="1"/>
    <col min="25" max="25" width="9.36328125" style="1032" bestFit="1" customWidth="1"/>
    <col min="26" max="16384" width="8.6328125" style="616"/>
  </cols>
  <sheetData>
    <row r="1" spans="1:26" ht="27" customHeight="1">
      <c r="B1" s="1844" t="s">
        <v>1721</v>
      </c>
      <c r="C1" s="1844"/>
      <c r="D1" s="1844"/>
      <c r="E1" s="1844"/>
      <c r="F1" s="1844"/>
      <c r="G1" s="1844"/>
      <c r="H1" s="1844"/>
      <c r="I1" s="1844"/>
      <c r="J1" s="1844"/>
      <c r="K1" s="1844"/>
      <c r="L1" s="1844"/>
      <c r="M1" s="1844"/>
      <c r="N1" s="1844"/>
      <c r="O1" s="1844"/>
      <c r="P1" s="1844"/>
      <c r="Q1" s="1844"/>
      <c r="R1" s="1844"/>
      <c r="S1" s="1844"/>
      <c r="T1" s="1844"/>
      <c r="U1" s="1844"/>
    </row>
    <row r="2" spans="1:26" ht="13.95" customHeight="1">
      <c r="A2" s="618"/>
      <c r="B2" s="959"/>
      <c r="C2" s="959"/>
      <c r="D2" s="959"/>
      <c r="E2" s="959"/>
      <c r="F2" s="959"/>
      <c r="G2" s="959"/>
      <c r="H2" s="959"/>
      <c r="I2" s="959"/>
      <c r="J2" s="959"/>
      <c r="K2" s="959"/>
      <c r="L2" s="959"/>
      <c r="M2" s="959"/>
      <c r="N2" s="959"/>
      <c r="O2" s="959"/>
      <c r="P2" s="959"/>
      <c r="Q2" s="959"/>
      <c r="R2" s="959"/>
      <c r="S2" s="959"/>
      <c r="T2" s="959"/>
      <c r="U2" s="959"/>
    </row>
    <row r="3" spans="1:26" ht="19.5" customHeight="1">
      <c r="A3" s="617"/>
      <c r="B3" s="1818" t="s">
        <v>1349</v>
      </c>
      <c r="C3" s="1818"/>
      <c r="D3" s="1818"/>
      <c r="E3" s="1818"/>
      <c r="F3" s="1818"/>
      <c r="G3" s="1818"/>
      <c r="H3" s="1818"/>
      <c r="I3" s="1818"/>
      <c r="J3" s="1818"/>
      <c r="K3" s="1818"/>
      <c r="L3" s="1818"/>
      <c r="M3" s="1818"/>
      <c r="N3" s="1818"/>
      <c r="O3" s="1818"/>
      <c r="P3" s="1818"/>
      <c r="Q3" s="1818"/>
      <c r="R3" s="1818"/>
      <c r="S3" s="1818"/>
      <c r="T3" s="1818"/>
      <c r="U3" s="1818"/>
    </row>
    <row r="4" spans="1:26" ht="13.95" customHeight="1" thickBot="1">
      <c r="A4" s="618"/>
      <c r="B4" s="754"/>
      <c r="C4" s="754"/>
      <c r="D4" s="754"/>
      <c r="E4" s="754"/>
      <c r="F4" s="754"/>
      <c r="G4" s="754"/>
      <c r="H4" s="754"/>
      <c r="I4" s="754"/>
      <c r="J4" s="754"/>
      <c r="K4" s="754"/>
      <c r="L4" s="754"/>
      <c r="M4" s="754"/>
      <c r="N4" s="754"/>
      <c r="O4" s="754"/>
      <c r="P4" s="754"/>
      <c r="Q4" s="754"/>
      <c r="R4" s="754"/>
      <c r="S4" s="754"/>
      <c r="T4" s="754"/>
      <c r="U4" s="754"/>
    </row>
    <row r="5" spans="1:26" ht="15" customHeight="1" thickTop="1">
      <c r="B5" s="1033"/>
      <c r="C5" s="1034"/>
      <c r="D5" s="1035"/>
      <c r="E5" s="1036"/>
      <c r="F5" s="1036"/>
      <c r="G5" s="1037"/>
      <c r="H5" s="1036"/>
      <c r="I5" s="1035"/>
      <c r="J5" s="1036"/>
      <c r="K5" s="1036"/>
      <c r="L5" s="1037"/>
      <c r="M5" s="1038"/>
      <c r="N5" s="1038"/>
      <c r="O5" s="1038"/>
      <c r="P5" s="1038"/>
      <c r="Q5" s="1038"/>
      <c r="R5" s="1038"/>
      <c r="S5" s="1038"/>
      <c r="T5" s="1038"/>
      <c r="U5" s="1038"/>
    </row>
    <row r="6" spans="1:26" ht="19.5" customHeight="1" thickBot="1">
      <c r="B6" s="1039"/>
      <c r="C6" s="1040"/>
      <c r="D6" s="1819"/>
      <c r="E6" s="1820"/>
      <c r="F6" s="1820"/>
      <c r="G6" s="1821"/>
      <c r="H6" s="1041"/>
      <c r="I6" s="1822"/>
      <c r="J6" s="1823"/>
      <c r="K6" s="1823"/>
      <c r="L6" s="1824"/>
      <c r="M6" s="1042"/>
      <c r="N6" s="1042"/>
      <c r="O6" s="1042"/>
      <c r="P6" s="1042"/>
      <c r="Q6" s="1042"/>
      <c r="R6" s="1042"/>
      <c r="S6" s="1042"/>
      <c r="T6" s="1042"/>
      <c r="U6" s="1042"/>
    </row>
    <row r="7" spans="1:26" ht="15" customHeight="1" thickTop="1" thickBot="1">
      <c r="B7" s="1043"/>
      <c r="C7" s="1043"/>
      <c r="D7" s="1042" t="s">
        <v>35</v>
      </c>
      <c r="E7" s="1042"/>
      <c r="F7" s="1042"/>
      <c r="G7" s="1042"/>
      <c r="H7" s="1044"/>
      <c r="I7" s="1825" t="s">
        <v>1694</v>
      </c>
      <c r="J7" s="1826"/>
      <c r="K7" s="1826"/>
      <c r="L7" s="1843"/>
      <c r="M7" s="1825" t="s">
        <v>1695</v>
      </c>
      <c r="N7" s="1826"/>
      <c r="O7" s="1826"/>
      <c r="P7" s="1843"/>
      <c r="Q7" s="1042" t="s">
        <v>1722</v>
      </c>
      <c r="R7" s="1042" t="s">
        <v>1696</v>
      </c>
      <c r="S7" s="1042" t="s">
        <v>1479</v>
      </c>
      <c r="T7" s="1042" t="s">
        <v>1164</v>
      </c>
      <c r="U7" s="1045" t="s">
        <v>287</v>
      </c>
    </row>
    <row r="8" spans="1:26" ht="16.5" customHeight="1" thickTop="1">
      <c r="B8" s="1042" t="s">
        <v>32</v>
      </c>
      <c r="C8" s="1042"/>
      <c r="D8" s="1042" t="s">
        <v>998</v>
      </c>
      <c r="E8" s="1042"/>
      <c r="F8" s="1042"/>
      <c r="G8" s="1042"/>
      <c r="H8" s="1042"/>
      <c r="I8" s="1046"/>
      <c r="J8" s="1047"/>
      <c r="K8" s="1047"/>
      <c r="L8" s="1047"/>
      <c r="M8" s="1042"/>
      <c r="N8" s="1042"/>
      <c r="O8" s="1042"/>
      <c r="P8" s="1042"/>
      <c r="Q8" s="1042"/>
      <c r="R8" s="1042"/>
      <c r="S8" s="1042"/>
      <c r="T8" s="1042" t="s">
        <v>1026</v>
      </c>
      <c r="U8" s="1042"/>
    </row>
    <row r="9" spans="1:26" ht="18" customHeight="1">
      <c r="B9" s="1043"/>
      <c r="C9" s="1042" t="s">
        <v>1326</v>
      </c>
      <c r="D9" s="1042" t="s">
        <v>766</v>
      </c>
      <c r="E9" s="1042" t="s">
        <v>999</v>
      </c>
      <c r="F9" s="1042" t="s">
        <v>1697</v>
      </c>
      <c r="G9" s="1042" t="s">
        <v>999</v>
      </c>
      <c r="H9" s="1042" t="s">
        <v>1698</v>
      </c>
      <c r="I9" s="1042"/>
      <c r="J9" s="1048"/>
      <c r="K9" s="1048"/>
      <c r="L9" s="1048"/>
      <c r="M9" s="1042"/>
      <c r="N9" s="1042"/>
      <c r="O9" s="1042"/>
      <c r="P9" s="1042"/>
      <c r="Q9" s="1042"/>
      <c r="R9" s="1042"/>
      <c r="S9" s="1042"/>
      <c r="T9" s="1042"/>
      <c r="U9" s="1042"/>
    </row>
    <row r="10" spans="1:26" ht="17.25" customHeight="1">
      <c r="B10" s="1043"/>
      <c r="C10" s="1042" t="s">
        <v>1351</v>
      </c>
      <c r="D10" s="1042" t="s">
        <v>1004</v>
      </c>
      <c r="E10" s="1042" t="s">
        <v>1001</v>
      </c>
      <c r="F10" s="1042" t="s">
        <v>1699</v>
      </c>
      <c r="G10" s="1042" t="s">
        <v>1001</v>
      </c>
      <c r="H10" s="1042" t="s">
        <v>1700</v>
      </c>
      <c r="I10" s="1048" t="s">
        <v>1701</v>
      </c>
      <c r="J10" s="1048" t="s">
        <v>1702</v>
      </c>
      <c r="K10" s="1042" t="s">
        <v>1141</v>
      </c>
      <c r="L10" s="1048" t="s">
        <v>1703</v>
      </c>
      <c r="M10" s="1042" t="s">
        <v>64</v>
      </c>
      <c r="N10" s="1042" t="s">
        <v>1704</v>
      </c>
      <c r="O10" s="1042" t="s">
        <v>1141</v>
      </c>
      <c r="P10" s="1048" t="s">
        <v>1705</v>
      </c>
      <c r="Q10" s="1042"/>
      <c r="R10" s="1042"/>
      <c r="S10" s="1042"/>
      <c r="T10" s="1042"/>
      <c r="U10" s="1042"/>
    </row>
    <row r="11" spans="1:26" ht="18.75" customHeight="1" thickBot="1">
      <c r="B11" s="1049"/>
      <c r="C11" s="1050" t="s">
        <v>1324</v>
      </c>
      <c r="D11" s="1051"/>
      <c r="E11" s="1051" t="s">
        <v>1005</v>
      </c>
      <c r="F11" s="1051" t="s">
        <v>1706</v>
      </c>
      <c r="G11" s="1051" t="s">
        <v>1187</v>
      </c>
      <c r="H11" s="1051" t="s">
        <v>1707</v>
      </c>
      <c r="I11" s="1051" t="s">
        <v>1163</v>
      </c>
      <c r="J11" s="1052" t="s">
        <v>1708</v>
      </c>
      <c r="K11" s="1052"/>
      <c r="L11" s="1052"/>
      <c r="M11" s="1051"/>
      <c r="N11" s="1051"/>
      <c r="O11" s="1051"/>
      <c r="P11" s="1051"/>
      <c r="Q11" s="1051"/>
      <c r="R11" s="1051"/>
      <c r="S11" s="1051"/>
      <c r="T11" s="1051"/>
      <c r="U11" s="1051"/>
    </row>
    <row r="12" spans="1:26" ht="15" customHeight="1" thickTop="1">
      <c r="B12" s="1053"/>
      <c r="C12" s="1053"/>
      <c r="D12" s="1046"/>
      <c r="E12" s="1042"/>
      <c r="F12" s="1042"/>
      <c r="G12" s="1042"/>
      <c r="H12" s="1042"/>
      <c r="I12" s="1046"/>
      <c r="J12" s="1048"/>
      <c r="K12" s="1048"/>
      <c r="L12" s="1048"/>
      <c r="M12" s="1042"/>
      <c r="N12" s="1042"/>
      <c r="O12" s="1042"/>
      <c r="P12" s="1042"/>
      <c r="Q12" s="1042"/>
      <c r="R12" s="1042"/>
      <c r="S12" s="1042"/>
      <c r="T12" s="1042"/>
      <c r="U12" s="1042"/>
      <c r="W12" s="1054" t="s">
        <v>1709</v>
      </c>
    </row>
    <row r="13" spans="1:26" ht="15" customHeight="1">
      <c r="B13" s="1055">
        <v>2015</v>
      </c>
      <c r="E13" s="1042"/>
      <c r="F13" s="1042"/>
      <c r="G13" s="1042"/>
      <c r="H13" s="1042"/>
      <c r="I13" s="1042"/>
      <c r="J13" s="1048"/>
      <c r="K13" s="1048"/>
      <c r="L13" s="1048"/>
      <c r="M13" s="1042"/>
      <c r="N13" s="1042"/>
      <c r="O13" s="1042"/>
      <c r="P13" s="1042"/>
      <c r="Q13" s="1042"/>
      <c r="R13" s="1042"/>
      <c r="S13" s="1042"/>
      <c r="T13" s="1042"/>
      <c r="U13" s="1042"/>
    </row>
    <row r="14" spans="1:26" ht="15" customHeight="1">
      <c r="B14" s="1056" t="s">
        <v>1170</v>
      </c>
      <c r="C14" s="1149">
        <f>'Input POSB Assets'!G6/1000000</f>
        <v>1.9077E-2</v>
      </c>
      <c r="D14" s="1149">
        <f>'Input POSB Assets'!AP6/1000000</f>
        <v>9.3452230000000007</v>
      </c>
      <c r="E14" s="1058">
        <f>'Input POSB Assets'!I6/1000000</f>
        <v>7.0154800000000002</v>
      </c>
      <c r="F14" s="1058">
        <f>('Input POSB Assets'!M6+'Input POSB Assets'!X6+'Input POSB Assets'!AF6+'Input POSB Assets'!AK6)/1000000</f>
        <v>0.34471299999999999</v>
      </c>
      <c r="G14" s="1059">
        <f>'Input POSB Assets'!AQ6/1000000</f>
        <v>0.92405400000000004</v>
      </c>
      <c r="H14" s="1059">
        <f>('Input POSB Assets'!AT6+'Input POSB Assets'!AU6+'Input POSB Assets'!AV6+'Input POSB Assets'!AW6)/1000000</f>
        <v>0</v>
      </c>
      <c r="I14" s="1059">
        <f>('Input POSB Assets'!AZ6+'Input POSB Assets'!BC6+'Input POSB Assets'!BD6)/1000000</f>
        <v>0</v>
      </c>
      <c r="J14" s="1060">
        <f>'Input POSB Assets'!BM6/1000000</f>
        <v>0</v>
      </c>
      <c r="K14" s="1060">
        <f>'Input POSB Assets'!BU6/1000000</f>
        <v>0</v>
      </c>
      <c r="L14" s="1060">
        <f>('Input POSB Assets'!CY6+'Input POSB Assets'!DN6)/1000000</f>
        <v>0</v>
      </c>
      <c r="M14" s="1059">
        <f>'Input POSB Assets'!BE6/1000000</f>
        <v>0</v>
      </c>
      <c r="N14" s="1059">
        <f>('Input POSB Assets'!BQ6+'Input POSB Assets'!BR6)/1000000</f>
        <v>0</v>
      </c>
      <c r="O14" s="1059">
        <f>('Input POSB Assets'!BT6+'Input POSB Assets'!CC6)/1000000</f>
        <v>0.36658151999999999</v>
      </c>
      <c r="P14" s="1059">
        <f>'Input POSB Assets'!CU6/1000000+'Input POSB Assets'!CQ6/1000000</f>
        <v>65.684050999999997</v>
      </c>
      <c r="Q14" s="1059">
        <f>'Input POSB Assets'!DY6/1000000</f>
        <v>2.7838620000000001</v>
      </c>
      <c r="R14" s="1059"/>
      <c r="S14" s="1059">
        <f>'Input POSB Assets'!EM6/1000000</f>
        <v>13.849378</v>
      </c>
      <c r="T14" s="1059">
        <f>'Input POSB Assets'!EH6/1000000</f>
        <v>7.6291270000000004</v>
      </c>
      <c r="U14" s="1061">
        <f>SUM(C14:T14)</f>
        <v>107.96154652</v>
      </c>
      <c r="W14" s="1062">
        <f>U14-'Input POSB Assets'!ES6/1000000</f>
        <v>0</v>
      </c>
      <c r="X14" s="1063">
        <f>+W14/U14</f>
        <v>0</v>
      </c>
      <c r="Y14" s="1032">
        <f>+W14*1000000</f>
        <v>0</v>
      </c>
      <c r="Z14" s="616">
        <f>+Y14/2</f>
        <v>0</v>
      </c>
    </row>
    <row r="15" spans="1:26" ht="15" customHeight="1">
      <c r="B15" s="1056" t="s">
        <v>1172</v>
      </c>
      <c r="C15" s="1149">
        <f>'Input POSB Assets'!G7/1000000</f>
        <v>9.0360000000000006E-3</v>
      </c>
      <c r="D15" s="1149">
        <f>'Input POSB Assets'!AP7/1000000</f>
        <v>3.35216</v>
      </c>
      <c r="E15" s="1058">
        <f>'Input POSB Assets'!I7/1000000</f>
        <v>9.962904</v>
      </c>
      <c r="F15" s="1058">
        <f>('Input POSB Assets'!M7+'Input POSB Assets'!X7+'Input POSB Assets'!AF7+'Input POSB Assets'!AK7)/1000000</f>
        <v>3.8559109999999999</v>
      </c>
      <c r="G15" s="1059">
        <f>'Input POSB Assets'!AQ7/1000000</f>
        <v>0.83339399999999997</v>
      </c>
      <c r="H15" s="1059">
        <f>('Input POSB Assets'!AT7+'Input POSB Assets'!AU7+'Input POSB Assets'!AV7+'Input POSB Assets'!AW7)/1000000</f>
        <v>0</v>
      </c>
      <c r="I15" s="1059">
        <f>('Input POSB Assets'!AZ7+'Input POSB Assets'!BC7+'Input POSB Assets'!BD7)/1000000</f>
        <v>0</v>
      </c>
      <c r="J15" s="1060">
        <f>'Input POSB Assets'!BM7/1000000</f>
        <v>0</v>
      </c>
      <c r="K15" s="1060">
        <f>'Input POSB Assets'!BU7/1000000</f>
        <v>0</v>
      </c>
      <c r="L15" s="1060">
        <f>('Input POSB Assets'!CY7+'Input POSB Assets'!DN7)/1000000</f>
        <v>0</v>
      </c>
      <c r="M15" s="1059">
        <f>'Input POSB Assets'!BE7/1000000</f>
        <v>0</v>
      </c>
      <c r="N15" s="1059">
        <f>('Input POSB Assets'!BQ7+'Input POSB Assets'!BR7)/1000000</f>
        <v>0</v>
      </c>
      <c r="O15" s="1059">
        <f>('Input POSB Assets'!BT7+'Input POSB Assets'!CC7)/1000000</f>
        <v>0.32788415000000004</v>
      </c>
      <c r="P15" s="1059">
        <f>'Input POSB Assets'!CU7/1000000+'Input POSB Assets'!CQ7/1000000</f>
        <v>69.230706999999995</v>
      </c>
      <c r="Q15" s="1059">
        <f>'Input POSB Assets'!DY7/1000000</f>
        <v>2.8091300000000001</v>
      </c>
      <c r="R15" s="1059"/>
      <c r="S15" s="1059">
        <f>'Input POSB Assets'!EM7/1000000</f>
        <v>15.214446000000001</v>
      </c>
      <c r="T15" s="1059">
        <f>'Input POSB Assets'!EH7/1000000</f>
        <v>7.5273640000000004</v>
      </c>
      <c r="U15" s="1061">
        <f t="shared" ref="U15:U39" si="0">SUM(C15:T15)</f>
        <v>113.12293614999999</v>
      </c>
      <c r="W15" s="1062">
        <f>U15-'Input POSB Assets'!ES7/1000000</f>
        <v>0</v>
      </c>
      <c r="X15" s="1063">
        <f t="shared" ref="X15:X39" si="1">+W15/U15</f>
        <v>0</v>
      </c>
      <c r="Y15" s="1032">
        <f t="shared" ref="Y15:Y25" si="2">+W15*1000000</f>
        <v>0</v>
      </c>
    </row>
    <row r="16" spans="1:26" ht="15" customHeight="1">
      <c r="B16" s="1056" t="s">
        <v>1173</v>
      </c>
      <c r="C16" s="1149">
        <f>'Input POSB Assets'!G8/1000000</f>
        <v>6.1050000000000002E-3</v>
      </c>
      <c r="D16" s="1149">
        <f>'Input POSB Assets'!AP8/1000000</f>
        <v>1.771838</v>
      </c>
      <c r="E16" s="1058">
        <f>'Input POSB Assets'!I8/1000000</f>
        <v>10.793016</v>
      </c>
      <c r="F16" s="1058">
        <f>('Input POSB Assets'!M8+'Input POSB Assets'!X8+'Input POSB Assets'!AF8+'Input POSB Assets'!AK8)/1000000</f>
        <v>5.1139080000000003</v>
      </c>
      <c r="G16" s="1059">
        <f>'Input POSB Assets'!AQ8/1000000</f>
        <v>1.292986</v>
      </c>
      <c r="H16" s="1059">
        <f>('Input POSB Assets'!AT8+'Input POSB Assets'!AU8+'Input POSB Assets'!AV8+'Input POSB Assets'!AW8)/1000000</f>
        <v>0</v>
      </c>
      <c r="I16" s="1059">
        <f>('Input POSB Assets'!AZ8+'Input POSB Assets'!BC8+'Input POSB Assets'!BD8)/1000000</f>
        <v>7.5160429999999998</v>
      </c>
      <c r="J16" s="1060">
        <f>'Input POSB Assets'!BM8/1000000</f>
        <v>0</v>
      </c>
      <c r="K16" s="1060">
        <f>'Input POSB Assets'!BU8/1000000</f>
        <v>0</v>
      </c>
      <c r="L16" s="1060">
        <f>('Input POSB Assets'!CY8+'Input POSB Assets'!DN8)/1000000</f>
        <v>0</v>
      </c>
      <c r="M16" s="1059">
        <f>'Input POSB Assets'!BE8/1000000</f>
        <v>0</v>
      </c>
      <c r="N16" s="1059">
        <f>('Input POSB Assets'!BQ8+'Input POSB Assets'!BR8)/1000000</f>
        <v>0</v>
      </c>
      <c r="O16" s="1059">
        <f>('Input POSB Assets'!BT8+'Input POSB Assets'!CC8)/1000000</f>
        <v>0.35607290000000003</v>
      </c>
      <c r="P16" s="1059">
        <f>'Input POSB Assets'!CU8/1000000+'Input POSB Assets'!CQ8/1000000</f>
        <v>68.235142999999994</v>
      </c>
      <c r="Q16" s="1059">
        <f>'Input POSB Assets'!DY8/1000000</f>
        <v>2.1445820000000002</v>
      </c>
      <c r="R16" s="1059"/>
      <c r="S16" s="1059">
        <f>'Input POSB Assets'!EM8/1000000</f>
        <v>15.33231</v>
      </c>
      <c r="T16" s="1059">
        <f>'Input POSB Assets'!EH8/1000000</f>
        <v>7.4200189999999999</v>
      </c>
      <c r="U16" s="1061">
        <f t="shared" si="0"/>
        <v>119.98202289999998</v>
      </c>
      <c r="W16" s="1062">
        <f>U16-'Input POSB Assets'!ES8/1000000</f>
        <v>0</v>
      </c>
      <c r="X16" s="1063">
        <f t="shared" si="1"/>
        <v>0</v>
      </c>
      <c r="Y16" s="1032">
        <f t="shared" si="2"/>
        <v>0</v>
      </c>
    </row>
    <row r="17" spans="2:25" ht="15" customHeight="1">
      <c r="B17" s="1056" t="s">
        <v>1174</v>
      </c>
      <c r="C17" s="1149">
        <f>'Input POSB Assets'!G9/1000000</f>
        <v>4.8918999999999997E-2</v>
      </c>
      <c r="D17" s="1149">
        <f>'Input POSB Assets'!AP9/1000000</f>
        <v>4.1120710000000003</v>
      </c>
      <c r="E17" s="1058">
        <f>'Input POSB Assets'!I9/1000000</f>
        <v>11.96585</v>
      </c>
      <c r="F17" s="1058">
        <f>('Input POSB Assets'!M9+'Input POSB Assets'!X9+'Input POSB Assets'!AF9+'Input POSB Assets'!AK9)/1000000</f>
        <v>0.125195</v>
      </c>
      <c r="G17" s="1059">
        <f>'Input POSB Assets'!AQ9/1000000</f>
        <v>0.57730400000000004</v>
      </c>
      <c r="H17" s="1059">
        <f>('Input POSB Assets'!AT9+'Input POSB Assets'!AU9+'Input POSB Assets'!AV9+'Input POSB Assets'!AW9)/1000000</f>
        <v>0</v>
      </c>
      <c r="I17" s="1059">
        <f>('Input POSB Assets'!AZ9+'Input POSB Assets'!BC9+'Input POSB Assets'!BD9)/1000000</f>
        <v>7.5160429999999998</v>
      </c>
      <c r="J17" s="1060">
        <f>'Input POSB Assets'!BM9/1000000</f>
        <v>0</v>
      </c>
      <c r="K17" s="1060">
        <f>'Input POSB Assets'!BU9/1000000</f>
        <v>0</v>
      </c>
      <c r="L17" s="1060">
        <f>('Input POSB Assets'!CY9+'Input POSB Assets'!DN9)/1000000</f>
        <v>0</v>
      </c>
      <c r="M17" s="1059">
        <f>'Input POSB Assets'!BE9/1000000</f>
        <v>0</v>
      </c>
      <c r="N17" s="1059">
        <f>('Input POSB Assets'!BQ9+'Input POSB Assets'!BR9)/1000000</f>
        <v>0</v>
      </c>
      <c r="O17" s="1059">
        <f>('Input POSB Assets'!BT9+'Input POSB Assets'!CC9)/1000000</f>
        <v>0.28864137000000001</v>
      </c>
      <c r="P17" s="1059">
        <f>'Input POSB Assets'!CU9/1000000+'Input POSB Assets'!CQ9/1000000</f>
        <v>66.171970000000002</v>
      </c>
      <c r="Q17" s="1059">
        <f>'Input POSB Assets'!DY9/1000000</f>
        <v>2.2290830000000001</v>
      </c>
      <c r="R17" s="1059"/>
      <c r="S17" s="1059">
        <f>'Input POSB Assets'!EM9/1000000</f>
        <v>16.060759999999998</v>
      </c>
      <c r="T17" s="1059">
        <f>'Input POSB Assets'!EH9/1000000</f>
        <v>7.3335220000000003</v>
      </c>
      <c r="U17" s="1061">
        <f t="shared" si="0"/>
        <v>116.42935837000002</v>
      </c>
      <c r="W17" s="1062">
        <f>U17-'Input POSB Assets'!ES9/1000000</f>
        <v>0</v>
      </c>
      <c r="X17" s="1063">
        <f t="shared" si="1"/>
        <v>0</v>
      </c>
      <c r="Y17" s="1032">
        <f t="shared" si="2"/>
        <v>0</v>
      </c>
    </row>
    <row r="18" spans="2:25" ht="15" customHeight="1">
      <c r="B18" s="1056" t="s">
        <v>1165</v>
      </c>
      <c r="C18" s="1149">
        <f>'Input POSB Assets'!G10/1000000</f>
        <v>1.7479999999999999E-2</v>
      </c>
      <c r="D18" s="1149">
        <f>'Input POSB Assets'!AP10/1000000</f>
        <v>7.6709959999999997</v>
      </c>
      <c r="E18" s="1058">
        <f>'Input POSB Assets'!I10/1000000</f>
        <v>5.7314870000000004</v>
      </c>
      <c r="F18" s="1058">
        <f>('Input POSB Assets'!M10+'Input POSB Assets'!X10+'Input POSB Assets'!AF10+'Input POSB Assets'!AK10)/1000000</f>
        <v>0.24227000000000001</v>
      </c>
      <c r="G18" s="1059">
        <f>'Input POSB Assets'!AQ10/1000000</f>
        <v>0.75479300000000005</v>
      </c>
      <c r="H18" s="1059">
        <f>('Input POSB Assets'!AT10+'Input POSB Assets'!AU10+'Input POSB Assets'!AV10+'Input POSB Assets'!AW10)/1000000</f>
        <v>0</v>
      </c>
      <c r="I18" s="1059">
        <f>('Input POSB Assets'!AZ10+'Input POSB Assets'!BC10+'Input POSB Assets'!BD10)/1000000</f>
        <v>8.1160429999999995</v>
      </c>
      <c r="J18" s="1060">
        <f>'Input POSB Assets'!BM10/1000000</f>
        <v>0</v>
      </c>
      <c r="K18" s="1060">
        <f>'Input POSB Assets'!BU10/1000000</f>
        <v>0</v>
      </c>
      <c r="L18" s="1060">
        <f>('Input POSB Assets'!CY10+'Input POSB Assets'!DN10)/1000000</f>
        <v>0</v>
      </c>
      <c r="M18" s="1059">
        <f>'Input POSB Assets'!BE10/1000000</f>
        <v>0</v>
      </c>
      <c r="N18" s="1059">
        <f>('Input POSB Assets'!BQ10+'Input POSB Assets'!BR10)/1000000</f>
        <v>0</v>
      </c>
      <c r="O18" s="1059">
        <f>('Input POSB Assets'!BT10+'Input POSB Assets'!CC10)/1000000</f>
        <v>0.19909014000000003</v>
      </c>
      <c r="P18" s="1059">
        <f>'Input POSB Assets'!CU10/1000000+'Input POSB Assets'!CQ10/1000000</f>
        <v>67.637582999999992</v>
      </c>
      <c r="Q18" s="1059">
        <f>'Input POSB Assets'!DY10/1000000</f>
        <v>2.2439840000000002</v>
      </c>
      <c r="R18" s="1059"/>
      <c r="S18" s="1059">
        <f>'Input POSB Assets'!EM10/1000000</f>
        <v>7.6822379999999999</v>
      </c>
      <c r="T18" s="1059">
        <f>'Input POSB Assets'!EH10/1000000</f>
        <v>7.2690590000000004</v>
      </c>
      <c r="U18" s="1061">
        <f t="shared" si="0"/>
        <v>107.56502313999998</v>
      </c>
      <c r="W18" s="1062">
        <f>U18-'Input POSB Assets'!ES10/1000000</f>
        <v>0</v>
      </c>
      <c r="X18" s="1063">
        <f t="shared" si="1"/>
        <v>0</v>
      </c>
      <c r="Y18" s="1032">
        <f t="shared" si="2"/>
        <v>0</v>
      </c>
    </row>
    <row r="19" spans="2:25" ht="15" customHeight="1">
      <c r="B19" s="1056" t="s">
        <v>1175</v>
      </c>
      <c r="C19" s="1149">
        <f>'Input POSB Assets'!G11/1000000</f>
        <v>5.6311E-2</v>
      </c>
      <c r="D19" s="1149">
        <f>'Input POSB Assets'!AP11/1000000</f>
        <v>7.3071349999999997</v>
      </c>
      <c r="E19" s="1058">
        <f>'Input POSB Assets'!I11/1000000</f>
        <v>9.6297969999999999</v>
      </c>
      <c r="F19" s="1058">
        <f>('Input POSB Assets'!M11+'Input POSB Assets'!X11+'Input POSB Assets'!AF11+'Input POSB Assets'!AK11)/1000000</f>
        <v>0.18701100000000001</v>
      </c>
      <c r="G19" s="1059">
        <f>'Input POSB Assets'!AQ11/1000000</f>
        <v>0.63354200000000005</v>
      </c>
      <c r="H19" s="1059">
        <f>('Input POSB Assets'!AT11+'Input POSB Assets'!AU11+'Input POSB Assets'!AV11+'Input POSB Assets'!AW11)/1000000</f>
        <v>0</v>
      </c>
      <c r="I19" s="1059">
        <f>('Input POSB Assets'!AZ11+'Input POSB Assets'!BC11+'Input POSB Assets'!BD11)/1000000</f>
        <v>8.1160429999999995</v>
      </c>
      <c r="J19" s="1060">
        <f>'Input POSB Assets'!BM11/1000000</f>
        <v>0</v>
      </c>
      <c r="K19" s="1060">
        <f>'Input POSB Assets'!BU11/1000000</f>
        <v>0</v>
      </c>
      <c r="L19" s="1060">
        <f>('Input POSB Assets'!CY11+'Input POSB Assets'!DN11)/1000000</f>
        <v>0</v>
      </c>
      <c r="M19" s="1059">
        <f>'Input POSB Assets'!BE11/1000000</f>
        <v>0</v>
      </c>
      <c r="N19" s="1059">
        <f>('Input POSB Assets'!BQ11+'Input POSB Assets'!BR11)/1000000</f>
        <v>0</v>
      </c>
      <c r="O19" s="1059">
        <f>('Input POSB Assets'!BT11+'Input POSB Assets'!CC11)/1000000</f>
        <v>0.200128</v>
      </c>
      <c r="P19" s="1059">
        <f>'Input POSB Assets'!CU11/1000000+'Input POSB Assets'!CQ11/1000000</f>
        <v>70.527239000000009</v>
      </c>
      <c r="Q19" s="1059">
        <f>'Input POSB Assets'!DY11/1000000</f>
        <v>2.207014</v>
      </c>
      <c r="R19" s="1059"/>
      <c r="S19" s="1059">
        <f>'Input POSB Assets'!EM11/1000000</f>
        <v>16.075465000000001</v>
      </c>
      <c r="T19" s="1059">
        <f>'Input POSB Assets'!EH11/1000000</f>
        <v>7.6697879999999996</v>
      </c>
      <c r="U19" s="1061">
        <f t="shared" si="0"/>
        <v>122.60947299999999</v>
      </c>
      <c r="W19" s="1062">
        <f>U19-'Input POSB Assets'!ES11/1000000</f>
        <v>0</v>
      </c>
      <c r="X19" s="1063">
        <f t="shared" si="1"/>
        <v>0</v>
      </c>
      <c r="Y19" s="1032">
        <f t="shared" si="2"/>
        <v>0</v>
      </c>
    </row>
    <row r="20" spans="2:25" ht="15" customHeight="1">
      <c r="B20" s="1056" t="s">
        <v>1176</v>
      </c>
      <c r="C20" s="1149">
        <f>'Input POSB Assets'!G12/1000000</f>
        <v>1.9803000000000001E-2</v>
      </c>
      <c r="D20" s="1149">
        <f>'Input POSB Assets'!AP12/1000000</f>
        <v>5.9594259999999997</v>
      </c>
      <c r="E20" s="1058">
        <f>'Input POSB Assets'!I12/1000000</f>
        <v>3.9910730000000001</v>
      </c>
      <c r="F20" s="1058">
        <f>('Input POSB Assets'!M12+'Input POSB Assets'!X12+'Input POSB Assets'!AF12+'Input POSB Assets'!AK12)/1000000</f>
        <v>0.101479</v>
      </c>
      <c r="G20" s="1059">
        <f>'Input POSB Assets'!AQ12/1000000</f>
        <v>0.665246</v>
      </c>
      <c r="H20" s="1059">
        <f>('Input POSB Assets'!AT12+'Input POSB Assets'!AU12+'Input POSB Assets'!AV12+'Input POSB Assets'!AW12)/1000000</f>
        <v>0</v>
      </c>
      <c r="I20" s="1059">
        <f>('Input POSB Assets'!AZ12+'Input POSB Assets'!BC12+'Input POSB Assets'!BD12)/1000000</f>
        <v>8.1160429999999995</v>
      </c>
      <c r="J20" s="1060">
        <f>'Input POSB Assets'!BM12/1000000</f>
        <v>0</v>
      </c>
      <c r="K20" s="1060">
        <f>'Input POSB Assets'!BU12/1000000</f>
        <v>0</v>
      </c>
      <c r="L20" s="1060">
        <f>('Input POSB Assets'!CY12+'Input POSB Assets'!DN12)/1000000</f>
        <v>0</v>
      </c>
      <c r="M20" s="1059">
        <f>'Input POSB Assets'!BE12/1000000</f>
        <v>0</v>
      </c>
      <c r="N20" s="1059">
        <f>('Input POSB Assets'!BQ12+'Input POSB Assets'!BR12)/1000000</f>
        <v>0</v>
      </c>
      <c r="O20" s="1059">
        <f>('Input POSB Assets'!BT12+'Input POSB Assets'!CC12)/1000000</f>
        <v>0.19997000000000001</v>
      </c>
      <c r="P20" s="1059">
        <f>'Input POSB Assets'!CU12/1000000+'Input POSB Assets'!CQ12/1000000</f>
        <v>72.821697999999998</v>
      </c>
      <c r="Q20" s="1059">
        <f>'Input POSB Assets'!DY12/1000000</f>
        <v>1.936313</v>
      </c>
      <c r="R20" s="1059"/>
      <c r="S20" s="1059">
        <f>'Input POSB Assets'!EM12/1000000</f>
        <v>16.374311840000001</v>
      </c>
      <c r="T20" s="1059">
        <f>'Input POSB Assets'!EH12/1000000</f>
        <v>7.8416870000000003</v>
      </c>
      <c r="U20" s="1061">
        <f t="shared" si="0"/>
        <v>118.02704983999999</v>
      </c>
      <c r="W20" s="1062">
        <f>U20-'Input POSB Assets'!ES12/1000000</f>
        <v>0</v>
      </c>
      <c r="X20" s="1063">
        <f t="shared" si="1"/>
        <v>0</v>
      </c>
      <c r="Y20" s="1032">
        <f t="shared" si="2"/>
        <v>0</v>
      </c>
    </row>
    <row r="21" spans="2:25" ht="15" customHeight="1">
      <c r="B21" s="1056" t="s">
        <v>1177</v>
      </c>
      <c r="C21" s="1149">
        <f>'Input POSB Assets'!G13/1000000</f>
        <v>1.6275999999999999E-2</v>
      </c>
      <c r="D21" s="1149">
        <f>'Input POSB Assets'!AP13/1000000</f>
        <v>4.8534160000000002</v>
      </c>
      <c r="E21" s="1058">
        <f>'Input POSB Assets'!I13/1000000</f>
        <v>6.2456769999999997</v>
      </c>
      <c r="F21" s="1058">
        <f>('Input POSB Assets'!M13+'Input POSB Assets'!X13+'Input POSB Assets'!AF13+'Input POSB Assets'!AK13)/1000000</f>
        <v>0.44688299999999997</v>
      </c>
      <c r="G21" s="1059">
        <f>'Input POSB Assets'!AQ13/1000000</f>
        <v>0.862765</v>
      </c>
      <c r="H21" s="1059">
        <f>('Input POSB Assets'!AT13+'Input POSB Assets'!AU13+'Input POSB Assets'!AV13+'Input POSB Assets'!AW13)/1000000</f>
        <v>0</v>
      </c>
      <c r="I21" s="1059">
        <f>('Input POSB Assets'!AZ13+'Input POSB Assets'!BC13+'Input POSB Assets'!BD13)/1000000</f>
        <v>10.983634</v>
      </c>
      <c r="J21" s="1060">
        <f>'Input POSB Assets'!BM13/1000000</f>
        <v>0</v>
      </c>
      <c r="K21" s="1060">
        <f>'Input POSB Assets'!BU13/1000000</f>
        <v>0</v>
      </c>
      <c r="L21" s="1060">
        <f>('Input POSB Assets'!CY13+'Input POSB Assets'!DN13)/1000000</f>
        <v>0</v>
      </c>
      <c r="M21" s="1059">
        <f>'Input POSB Assets'!BE13/1000000</f>
        <v>0</v>
      </c>
      <c r="N21" s="1059">
        <f>('Input POSB Assets'!BQ13+'Input POSB Assets'!BR13)/1000000</f>
        <v>0</v>
      </c>
      <c r="O21" s="1059">
        <f>('Input POSB Assets'!BT13+'Input POSB Assets'!CC13)/1000000</f>
        <v>0.202602</v>
      </c>
      <c r="P21" s="1059">
        <f>'Input POSB Assets'!CU13/1000000+'Input POSB Assets'!CQ13/1000000</f>
        <v>70.693904000000003</v>
      </c>
      <c r="Q21" s="1059">
        <f>'Input POSB Assets'!DY13/1000000</f>
        <v>1.849272</v>
      </c>
      <c r="R21" s="1059"/>
      <c r="S21" s="1059">
        <f>'Input POSB Assets'!EM13/1000000</f>
        <v>15.468861</v>
      </c>
      <c r="T21" s="1059">
        <f>'Input POSB Assets'!EH13/1000000</f>
        <v>8.1682959999999998</v>
      </c>
      <c r="U21" s="1061">
        <f t="shared" si="0"/>
        <v>119.79158600000001</v>
      </c>
      <c r="W21" s="1062">
        <f>U21-'Input POSB Assets'!ES13/1000000</f>
        <v>0</v>
      </c>
      <c r="X21" s="1063">
        <f t="shared" si="1"/>
        <v>0</v>
      </c>
      <c r="Y21" s="1032">
        <f t="shared" si="2"/>
        <v>0</v>
      </c>
    </row>
    <row r="22" spans="2:25" ht="15" customHeight="1">
      <c r="B22" s="1056" t="s">
        <v>1178</v>
      </c>
      <c r="C22" s="1149">
        <f>'Input POSB Assets'!G14/1000000</f>
        <v>2.1170000000000001E-2</v>
      </c>
      <c r="D22" s="1149">
        <f>'Input POSB Assets'!AP14/1000000</f>
        <v>6.6834720000000001</v>
      </c>
      <c r="E22" s="1058">
        <f>'Input POSB Assets'!I14/1000000</f>
        <v>9.34145</v>
      </c>
      <c r="F22" s="1058">
        <f>('Input POSB Assets'!M14+'Input POSB Assets'!X14+'Input POSB Assets'!AF14+'Input POSB Assets'!AK14)/1000000</f>
        <v>0.32118099999999999</v>
      </c>
      <c r="G22" s="1059">
        <f>'Input POSB Assets'!AQ14/1000000</f>
        <v>1.0626899999999999</v>
      </c>
      <c r="H22" s="1059">
        <f>('Input POSB Assets'!AT14+'Input POSB Assets'!AU14+'Input POSB Assets'!AV14+'Input POSB Assets'!AW14)/1000000</f>
        <v>0</v>
      </c>
      <c r="I22" s="1059">
        <f>('Input POSB Assets'!AZ14+'Input POSB Assets'!BC14+'Input POSB Assets'!BD14)/1000000</f>
        <v>12.983634</v>
      </c>
      <c r="J22" s="1060">
        <f>'Input POSB Assets'!BM14/1000000</f>
        <v>0</v>
      </c>
      <c r="K22" s="1060">
        <f>'Input POSB Assets'!BU14/1000000</f>
        <v>0</v>
      </c>
      <c r="L22" s="1060">
        <f>('Input POSB Assets'!CY14+'Input POSB Assets'!DN14)/1000000</f>
        <v>0</v>
      </c>
      <c r="M22" s="1059">
        <f>'Input POSB Assets'!BE14/1000000</f>
        <v>0</v>
      </c>
      <c r="N22" s="1059">
        <f>('Input POSB Assets'!BQ14+'Input POSB Assets'!BR14)/1000000</f>
        <v>0</v>
      </c>
      <c r="O22" s="1059">
        <f>('Input POSB Assets'!BT14+'Input POSB Assets'!CC14)/1000000</f>
        <v>0.19786599999999999</v>
      </c>
      <c r="P22" s="1059">
        <f>'Input POSB Assets'!CU14/1000000+'Input POSB Assets'!CQ14/1000000</f>
        <v>73.046120000000002</v>
      </c>
      <c r="Q22" s="1059">
        <f>'Input POSB Assets'!DY14/1000000</f>
        <v>1.8173170000000001</v>
      </c>
      <c r="R22" s="1059"/>
      <c r="S22" s="1059">
        <f>'Input POSB Assets'!EM14/1000000</f>
        <v>15.469153</v>
      </c>
      <c r="T22" s="1059">
        <f>'Input POSB Assets'!EH14/1000000</f>
        <v>8.1423400000000008</v>
      </c>
      <c r="U22" s="1061">
        <f t="shared" si="0"/>
        <v>129.08639300000002</v>
      </c>
      <c r="W22" s="1062">
        <f>U22-'Input POSB Assets'!ES14/1000000</f>
        <v>0</v>
      </c>
      <c r="X22" s="1063">
        <f t="shared" si="1"/>
        <v>0</v>
      </c>
      <c r="Y22" s="1032">
        <f t="shared" si="2"/>
        <v>0</v>
      </c>
    </row>
    <row r="23" spans="2:25" ht="15" customHeight="1">
      <c r="B23" s="1056" t="s">
        <v>1179</v>
      </c>
      <c r="C23" s="1149">
        <f>'Input POSB Assets'!G15/1000000</f>
        <v>4.2327999999999998E-2</v>
      </c>
      <c r="D23" s="1149">
        <f>'Input POSB Assets'!AP15/1000000</f>
        <v>5.42476</v>
      </c>
      <c r="E23" s="1058">
        <f>'Input POSB Assets'!I15/1000000</f>
        <v>8.4081499999999991</v>
      </c>
      <c r="F23" s="1058">
        <f>('Input POSB Assets'!M15+'Input POSB Assets'!X15+'Input POSB Assets'!AF15+'Input POSB Assets'!AK15)/1000000</f>
        <v>0.137187</v>
      </c>
      <c r="G23" s="1059">
        <f>'Input POSB Assets'!AQ15/1000000</f>
        <v>0.59184300000000001</v>
      </c>
      <c r="H23" s="1059">
        <f>('Input POSB Assets'!AT15+'Input POSB Assets'!AU15+'Input POSB Assets'!AV15+'Input POSB Assets'!AW15)/1000000</f>
        <v>0</v>
      </c>
      <c r="I23" s="1059">
        <f>('Input POSB Assets'!AZ15+'Input POSB Assets'!BC15+'Input POSB Assets'!BD15)/1000000</f>
        <v>14.983634</v>
      </c>
      <c r="J23" s="1060">
        <f>'Input POSB Assets'!BM15/1000000</f>
        <v>0</v>
      </c>
      <c r="K23" s="1060">
        <f>'Input POSB Assets'!BU15/1000000</f>
        <v>0</v>
      </c>
      <c r="L23" s="1060">
        <f>('Input POSB Assets'!CY15+'Input POSB Assets'!DN15)/1000000</f>
        <v>0</v>
      </c>
      <c r="M23" s="1059">
        <f>'Input POSB Assets'!BE15/1000000</f>
        <v>0</v>
      </c>
      <c r="N23" s="1059">
        <f>('Input POSB Assets'!BQ15+'Input POSB Assets'!BR15)/1000000</f>
        <v>0</v>
      </c>
      <c r="O23" s="1059">
        <f>('Input POSB Assets'!BT15+'Input POSB Assets'!CC15)/1000000</f>
        <v>0.198874</v>
      </c>
      <c r="P23" s="1059">
        <f>'Input POSB Assets'!CU15/1000000+'Input POSB Assets'!CQ15/1000000</f>
        <v>70.928070000000005</v>
      </c>
      <c r="Q23" s="1059">
        <f>'Input POSB Assets'!DY15/1000000</f>
        <v>1.78834</v>
      </c>
      <c r="R23" s="1059"/>
      <c r="S23" s="1059">
        <f>'Input POSB Assets'!EM15/1000000</f>
        <v>16.130486999999999</v>
      </c>
      <c r="T23" s="1059">
        <f>'Input POSB Assets'!EH15/1000000</f>
        <v>8.0447900000000008</v>
      </c>
      <c r="U23" s="1061">
        <f t="shared" si="0"/>
        <v>126.67846300000002</v>
      </c>
      <c r="W23" s="1062">
        <f>U23-'Input POSB Assets'!ES15/1000000</f>
        <v>0</v>
      </c>
      <c r="X23" s="1063">
        <f t="shared" si="1"/>
        <v>0</v>
      </c>
      <c r="Y23" s="1032">
        <f t="shared" si="2"/>
        <v>0</v>
      </c>
    </row>
    <row r="24" spans="2:25" ht="15" customHeight="1">
      <c r="B24" s="1056" t="s">
        <v>1180</v>
      </c>
      <c r="C24" s="1149">
        <f>'Input POSB Assets'!G16/1000000</f>
        <v>1.9653E-2</v>
      </c>
      <c r="D24" s="1149">
        <f>'Input POSB Assets'!AP16/1000000</f>
        <v>2.05755</v>
      </c>
      <c r="E24" s="1058">
        <f>'Input POSB Assets'!I16/1000000</f>
        <v>15.499828000000001</v>
      </c>
      <c r="F24" s="1058">
        <f>('Input POSB Assets'!M16+'Input POSB Assets'!X16+'Input POSB Assets'!AF16+'Input POSB Assets'!AK16)/1000000</f>
        <v>0.46193600000000001</v>
      </c>
      <c r="G24" s="1059">
        <f>'Input POSB Assets'!AQ16/1000000</f>
        <v>0.66911699999999996</v>
      </c>
      <c r="H24" s="1059">
        <f>('Input POSB Assets'!AT16+'Input POSB Assets'!AU16+'Input POSB Assets'!AV16+'Input POSB Assets'!AW16)/1000000</f>
        <v>0</v>
      </c>
      <c r="I24" s="1059">
        <f>('Input POSB Assets'!AZ16+'Input POSB Assets'!BC16+'Input POSB Assets'!BD16)/1000000</f>
        <v>14.983634</v>
      </c>
      <c r="J24" s="1060">
        <f>'Input POSB Assets'!BM16/1000000</f>
        <v>0</v>
      </c>
      <c r="K24" s="1060">
        <f>'Input POSB Assets'!BU16/1000000</f>
        <v>0</v>
      </c>
      <c r="L24" s="1060">
        <f>('Input POSB Assets'!CY16+'Input POSB Assets'!DN16)/1000000</f>
        <v>0</v>
      </c>
      <c r="M24" s="1059">
        <f>'Input POSB Assets'!BE16/1000000</f>
        <v>0</v>
      </c>
      <c r="N24" s="1059">
        <f>('Input POSB Assets'!BQ16+'Input POSB Assets'!BR16)/1000000</f>
        <v>0</v>
      </c>
      <c r="O24" s="1059">
        <f>('Input POSB Assets'!BT16+'Input POSB Assets'!CC16)/1000000</f>
        <v>0.199521</v>
      </c>
      <c r="P24" s="1059">
        <f>'Input POSB Assets'!CU16/1000000+'Input POSB Assets'!CQ16/1000000</f>
        <v>69.473322999999993</v>
      </c>
      <c r="Q24" s="1059">
        <f>'Input POSB Assets'!DY16/1000000</f>
        <v>1.6005339999999999</v>
      </c>
      <c r="R24" s="1059"/>
      <c r="S24" s="1059">
        <f>'Input POSB Assets'!EM16/1000000</f>
        <v>16.127479999999998</v>
      </c>
      <c r="T24" s="1059">
        <f>'Input POSB Assets'!EH16/1000000</f>
        <v>8.1518820000000005</v>
      </c>
      <c r="U24" s="1061">
        <f t="shared" si="0"/>
        <v>129.24445799999998</v>
      </c>
      <c r="W24" s="1062">
        <f>U24-'Input POSB Assets'!ES16/1000000</f>
        <v>0</v>
      </c>
      <c r="X24" s="1063">
        <f t="shared" si="1"/>
        <v>0</v>
      </c>
      <c r="Y24" s="1032">
        <f t="shared" si="2"/>
        <v>0</v>
      </c>
    </row>
    <row r="25" spans="2:25" ht="15" customHeight="1">
      <c r="B25" s="1056" t="s">
        <v>1181</v>
      </c>
      <c r="C25" s="1149">
        <f>'Input POSB Assets'!G17/1000000</f>
        <v>3.0086999999999999E-2</v>
      </c>
      <c r="D25" s="1149">
        <f>'Input POSB Assets'!AP17/1000000</f>
        <v>2.7198449999999998</v>
      </c>
      <c r="E25" s="1058">
        <f>'Input POSB Assets'!I17/1000000</f>
        <v>0.161686</v>
      </c>
      <c r="F25" s="1058">
        <f>('Input POSB Assets'!M17+'Input POSB Assets'!X17+'Input POSB Assets'!AF17+'Input POSB Assets'!AK17)/1000000</f>
        <v>0.13694000000000001</v>
      </c>
      <c r="G25" s="1059">
        <f>'Input POSB Assets'!AQ17/1000000</f>
        <v>0.53795800000000005</v>
      </c>
      <c r="H25" s="1059">
        <f>('Input POSB Assets'!AT17+'Input POSB Assets'!AU17+'Input POSB Assets'!AV17+'Input POSB Assets'!AW17)/1000000</f>
        <v>0</v>
      </c>
      <c r="I25" s="1059">
        <f>('Input POSB Assets'!AZ17+'Input POSB Assets'!BC17+'Input POSB Assets'!BD17)/1000000</f>
        <v>36.483634000000002</v>
      </c>
      <c r="J25" s="1060">
        <f>'Input POSB Assets'!BM17/1000000</f>
        <v>0</v>
      </c>
      <c r="K25" s="1060">
        <f>'Input POSB Assets'!BU17/1000000</f>
        <v>0</v>
      </c>
      <c r="L25" s="1060">
        <f>('Input POSB Assets'!CY17+'Input POSB Assets'!DN17)/1000000</f>
        <v>0</v>
      </c>
      <c r="M25" s="1059">
        <f>'Input POSB Assets'!BE17/1000000</f>
        <v>0</v>
      </c>
      <c r="N25" s="1059">
        <f>('Input POSB Assets'!BQ17+'Input POSB Assets'!BR17)/1000000</f>
        <v>0</v>
      </c>
      <c r="O25" s="1059">
        <f>('Input POSB Assets'!BT17+'Input POSB Assets'!CC17)/1000000</f>
        <v>0.19993900000000001</v>
      </c>
      <c r="P25" s="1059">
        <f>'Input POSB Assets'!CU17/1000000+'Input POSB Assets'!CQ17/1000000</f>
        <v>75.891025999999997</v>
      </c>
      <c r="Q25" s="1059">
        <f>'Input POSB Assets'!DY17/1000000</f>
        <v>1.6190180000000001</v>
      </c>
      <c r="R25" s="1059"/>
      <c r="S25" s="1059">
        <f>'Input POSB Assets'!EM17/1000000</f>
        <v>17.633991999999999</v>
      </c>
      <c r="T25" s="1059">
        <f>'Input POSB Assets'!EH17/1000000</f>
        <v>8.0663839999999993</v>
      </c>
      <c r="U25" s="1061">
        <f t="shared" si="0"/>
        <v>143.48050899999998</v>
      </c>
      <c r="W25" s="1062">
        <f>U25-'Input POSB Assets'!ES17/1000000</f>
        <v>0</v>
      </c>
      <c r="X25" s="1063">
        <f t="shared" si="1"/>
        <v>0</v>
      </c>
      <c r="Y25" s="1032">
        <f t="shared" si="2"/>
        <v>0</v>
      </c>
    </row>
    <row r="26" spans="2:25" ht="15" customHeight="1">
      <c r="B26" s="1064"/>
      <c r="C26" s="1149"/>
      <c r="D26" s="1149"/>
      <c r="E26" s="1058"/>
      <c r="F26" s="1058"/>
      <c r="G26" s="1059"/>
      <c r="H26" s="1059"/>
      <c r="I26" s="1059"/>
      <c r="J26" s="1060"/>
      <c r="K26" s="1060"/>
      <c r="L26" s="1060"/>
      <c r="M26" s="1059"/>
      <c r="N26" s="1059"/>
      <c r="O26" s="1059"/>
      <c r="P26" s="1059"/>
      <c r="Q26" s="1059"/>
      <c r="R26" s="1059"/>
      <c r="S26" s="1059"/>
      <c r="T26" s="1059"/>
      <c r="U26" s="1061"/>
      <c r="W26" s="1062">
        <f>U26-'Input POSB Assets'!ES18/1000000</f>
        <v>0</v>
      </c>
      <c r="X26" s="1063"/>
    </row>
    <row r="27" spans="2:25" ht="15" customHeight="1">
      <c r="B27" s="1055">
        <v>2016</v>
      </c>
      <c r="C27" s="1149"/>
      <c r="D27" s="1149"/>
      <c r="E27" s="1058"/>
      <c r="F27" s="1058"/>
      <c r="G27" s="1059"/>
      <c r="H27" s="1059"/>
      <c r="I27" s="1059"/>
      <c r="J27" s="1060"/>
      <c r="K27" s="1060"/>
      <c r="L27" s="1060"/>
      <c r="M27" s="1059"/>
      <c r="N27" s="1059"/>
      <c r="O27" s="1059"/>
      <c r="P27" s="1059"/>
      <c r="Q27" s="1059"/>
      <c r="R27" s="1059"/>
      <c r="S27" s="1059"/>
      <c r="T27" s="1059"/>
      <c r="U27" s="1061"/>
      <c r="W27" s="1062">
        <f>U27-'Input POSB Assets'!ES19/1000000</f>
        <v>0</v>
      </c>
      <c r="X27" s="1063"/>
    </row>
    <row r="28" spans="2:25" ht="15" customHeight="1">
      <c r="B28" s="1065" t="s">
        <v>345</v>
      </c>
      <c r="C28" s="1149">
        <f>'Input POSB Assets'!G20/1000000</f>
        <v>3.8626000000000001E-2</v>
      </c>
      <c r="D28" s="1149">
        <f>'Input POSB Assets'!AP20/1000000</f>
        <v>3.8110050000000002</v>
      </c>
      <c r="E28" s="1058">
        <f>'Input POSB Assets'!I20/1000000</f>
        <v>12.260533000000001</v>
      </c>
      <c r="F28" s="1058">
        <f>('Input POSB Assets'!M20+'Input POSB Assets'!X20+'Input POSB Assets'!AF20+'Input POSB Assets'!AK20)/1000000</f>
        <v>0.45318799999999998</v>
      </c>
      <c r="G28" s="1059">
        <f>'Input POSB Assets'!AQ20/1000000</f>
        <v>0.36463099999999998</v>
      </c>
      <c r="H28" s="1059">
        <f>('Input POSB Assets'!AT20+'Input POSB Assets'!AU20+'Input POSB Assets'!AV20+'Input POSB Assets'!AW20)/1000000</f>
        <v>0</v>
      </c>
      <c r="I28" s="1059">
        <f>('Input POSB Assets'!AZ20+'Input POSB Assets'!BC20+'Input POSB Assets'!BD20)/1000000</f>
        <v>30.867591000000001</v>
      </c>
      <c r="J28" s="1060">
        <f>'Input POSB Assets'!BM20/1000000</f>
        <v>0</v>
      </c>
      <c r="K28" s="1060">
        <f>'Input POSB Assets'!BU20/1000000</f>
        <v>0</v>
      </c>
      <c r="L28" s="1060">
        <f>('Input POSB Assets'!CY20+'Input POSB Assets'!DN20)/1000000</f>
        <v>0</v>
      </c>
      <c r="M28" s="1059">
        <f>'Input POSB Assets'!BE20/1000000</f>
        <v>0</v>
      </c>
      <c r="N28" s="1059">
        <f>('Input POSB Assets'!BQ20+'Input POSB Assets'!BR20)/1000000</f>
        <v>0</v>
      </c>
      <c r="O28" s="1059">
        <f>('Input POSB Assets'!BT20+'Input POSB Assets'!CC20)/1000000</f>
        <v>0.19781899999999999</v>
      </c>
      <c r="P28" s="1059">
        <f>'Input POSB Assets'!CU20/1000000+'Input POSB Assets'!CQ20/1000000</f>
        <v>73.807329999999993</v>
      </c>
      <c r="Q28" s="1059">
        <f>'Input POSB Assets'!DY20/1000000</f>
        <v>1.5200769999999999</v>
      </c>
      <c r="R28" s="1059"/>
      <c r="S28" s="1059">
        <f>'Input POSB Assets'!EM20/1000000</f>
        <v>16.766363999999999</v>
      </c>
      <c r="T28" s="1059">
        <f>'Input POSB Assets'!EH20/1000000</f>
        <v>8.4294119999999992</v>
      </c>
      <c r="U28" s="1061">
        <f t="shared" si="0"/>
        <v>148.51657599999999</v>
      </c>
      <c r="W28" s="1062">
        <f>U28-'Input POSB Assets'!ES20/1000000</f>
        <v>0</v>
      </c>
      <c r="X28" s="1063">
        <f t="shared" si="1"/>
        <v>0</v>
      </c>
      <c r="Y28" s="1032">
        <f t="shared" ref="Y28:Y40" si="3">+W28*1000000</f>
        <v>0</v>
      </c>
    </row>
    <row r="29" spans="2:25" ht="15" customHeight="1">
      <c r="B29" s="1056" t="s">
        <v>334</v>
      </c>
      <c r="C29" s="1149">
        <f>'Input POSB Assets'!G21/1000000</f>
        <v>2.9353000000000001E-2</v>
      </c>
      <c r="D29" s="1149">
        <f>'Input POSB Assets'!AP21/1000000</f>
        <v>1.2345010000000001</v>
      </c>
      <c r="E29" s="1058">
        <f>'Input POSB Assets'!I21/1000000</f>
        <v>9.1387309999999999</v>
      </c>
      <c r="F29" s="1058">
        <f>('Input POSB Assets'!M21+'Input POSB Assets'!X21+'Input POSB Assets'!AF21+'Input POSB Assets'!AK21)/1000000</f>
        <v>0.98358599999999996</v>
      </c>
      <c r="G29" s="1059">
        <f>'Input POSB Assets'!AQ21/1000000</f>
        <v>0.52245399999999997</v>
      </c>
      <c r="H29" s="1059">
        <f>('Input POSB Assets'!AT21+'Input POSB Assets'!AU21+'Input POSB Assets'!AV21+'Input POSB Assets'!AW21)/1000000</f>
        <v>0</v>
      </c>
      <c r="I29" s="1059">
        <f>('Input POSB Assets'!AZ21+'Input POSB Assets'!BC21+'Input POSB Assets'!BD21)/1000000</f>
        <v>35.015318000000001</v>
      </c>
      <c r="J29" s="1060">
        <f>'Input POSB Assets'!BM21/1000000</f>
        <v>0</v>
      </c>
      <c r="K29" s="1060">
        <f>'Input POSB Assets'!BU21/1000000</f>
        <v>0</v>
      </c>
      <c r="L29" s="1060">
        <f>('Input POSB Assets'!CY21+'Input POSB Assets'!DN21)/1000000</f>
        <v>0</v>
      </c>
      <c r="M29" s="1059">
        <f>'Input POSB Assets'!BE21/1000000</f>
        <v>0</v>
      </c>
      <c r="N29" s="1059">
        <f>('Input POSB Assets'!BQ21+'Input POSB Assets'!BR21)/1000000</f>
        <v>0</v>
      </c>
      <c r="O29" s="1059">
        <f>('Input POSB Assets'!BT21+'Input POSB Assets'!CC21)/1000000</f>
        <v>0</v>
      </c>
      <c r="P29" s="1059">
        <f>'Input POSB Assets'!CU21/1000000+'Input POSB Assets'!CQ21/1000000</f>
        <v>74.188613000000004</v>
      </c>
      <c r="Q29" s="1059">
        <f>'Input POSB Assets'!DY21/1000000</f>
        <v>1.4805889999999999</v>
      </c>
      <c r="R29" s="1059"/>
      <c r="S29" s="1059">
        <f>'Input POSB Assets'!EM21/1000000</f>
        <v>14.882414000000001</v>
      </c>
      <c r="T29" s="1059">
        <f>'Input POSB Assets'!EH21/1000000</f>
        <v>8.457319</v>
      </c>
      <c r="U29" s="1061">
        <f t="shared" si="0"/>
        <v>145.93287800000002</v>
      </c>
      <c r="W29" s="1062">
        <f>U29-'Input POSB Assets'!ES21/1000000</f>
        <v>0</v>
      </c>
      <c r="X29" s="1063">
        <f t="shared" si="1"/>
        <v>0</v>
      </c>
      <c r="Y29" s="1032">
        <f t="shared" si="3"/>
        <v>0</v>
      </c>
    </row>
    <row r="30" spans="2:25" ht="15" customHeight="1">
      <c r="B30" s="1056" t="s">
        <v>335</v>
      </c>
      <c r="C30" s="1149">
        <f>'Input POSB Assets'!G22/1000000</f>
        <v>2.3286000000000001E-2</v>
      </c>
      <c r="D30" s="1149">
        <f>'Input POSB Assets'!AP22/1000000</f>
        <v>1.8885479999999999</v>
      </c>
      <c r="E30" s="1058">
        <f>'Input POSB Assets'!I22/1000000</f>
        <v>9.0172439999999998</v>
      </c>
      <c r="F30" s="1058">
        <f>('Input POSB Assets'!M22+'Input POSB Assets'!X22+'Input POSB Assets'!AF22+'Input POSB Assets'!AK22)/1000000</f>
        <v>0.31364399999999998</v>
      </c>
      <c r="G30" s="1059">
        <f>'Input POSB Assets'!AQ22/1000000</f>
        <v>0.20075299999999999</v>
      </c>
      <c r="H30" s="1059">
        <f>('Input POSB Assets'!AT22+'Input POSB Assets'!AU22+'Input POSB Assets'!AV22+'Input POSB Assets'!AW22)/1000000</f>
        <v>0</v>
      </c>
      <c r="I30" s="1059">
        <f>('Input POSB Assets'!AZ22+'Input POSB Assets'!BC22+'Input POSB Assets'!BD22)/1000000</f>
        <v>30.705317999999998</v>
      </c>
      <c r="J30" s="1060">
        <f>'Input POSB Assets'!BM22/1000000</f>
        <v>0</v>
      </c>
      <c r="K30" s="1060">
        <f>'Input POSB Assets'!BU22/1000000</f>
        <v>0</v>
      </c>
      <c r="L30" s="1060">
        <f>('Input POSB Assets'!CY22+'Input POSB Assets'!DN22)/1000000</f>
        <v>0</v>
      </c>
      <c r="M30" s="1059">
        <f>'Input POSB Assets'!BE22/1000000</f>
        <v>0</v>
      </c>
      <c r="N30" s="1059">
        <f>('Input POSB Assets'!BQ22+'Input POSB Assets'!BR22)/1000000</f>
        <v>0</v>
      </c>
      <c r="O30" s="1059">
        <f>('Input POSB Assets'!BT22+'Input POSB Assets'!CC22)/1000000</f>
        <v>0</v>
      </c>
      <c r="P30" s="1059">
        <f>'Input POSB Assets'!CU22/1000000+'Input POSB Assets'!CQ22/1000000</f>
        <v>72.733399000000006</v>
      </c>
      <c r="Q30" s="1059">
        <f>'Input POSB Assets'!DY22/1000000</f>
        <v>1.4268380000000001</v>
      </c>
      <c r="R30" s="1059"/>
      <c r="S30" s="1059">
        <f>'Input POSB Assets'!EM22/1000000</f>
        <v>14.822813999999999</v>
      </c>
      <c r="T30" s="1059">
        <f>'Input POSB Assets'!EH22/1000000</f>
        <v>8.3467710000000004</v>
      </c>
      <c r="U30" s="1061">
        <f t="shared" si="0"/>
        <v>139.47861499999999</v>
      </c>
      <c r="W30" s="1062">
        <f>U30-'Input POSB Assets'!ES22/1000000</f>
        <v>0</v>
      </c>
      <c r="X30" s="1063">
        <f t="shared" si="1"/>
        <v>0</v>
      </c>
      <c r="Y30" s="1032">
        <f t="shared" si="3"/>
        <v>0</v>
      </c>
    </row>
    <row r="31" spans="2:25" ht="15" customHeight="1">
      <c r="B31" s="1056" t="s">
        <v>336</v>
      </c>
      <c r="C31" s="1149">
        <f>'Input POSB Assets'!G23/1000000</f>
        <v>1.3158E-2</v>
      </c>
      <c r="D31" s="1149">
        <f>'Input POSB Assets'!AP23/1000000</f>
        <v>0.86658000000000002</v>
      </c>
      <c r="E31" s="1058">
        <f>'Input POSB Assets'!I23/1000000</f>
        <v>15.360002</v>
      </c>
      <c r="F31" s="1058">
        <f>('Input POSB Assets'!M23+'Input POSB Assets'!X23+'Input POSB Assets'!AF23+'Input POSB Assets'!AK23)/1000000</f>
        <v>0.41649900000000001</v>
      </c>
      <c r="G31" s="1059">
        <f>'Input POSB Assets'!AQ23/1000000</f>
        <v>3.4424999999999997E-2</v>
      </c>
      <c r="H31" s="1059">
        <f>('Input POSB Assets'!AT23+'Input POSB Assets'!AU23+'Input POSB Assets'!AV23+'Input POSB Assets'!AW23)/1000000</f>
        <v>0</v>
      </c>
      <c r="I31" s="1059">
        <f>('Input POSB Assets'!AZ23+'Input POSB Assets'!BC23+'Input POSB Assets'!BD23)/1000000</f>
        <v>30.705317999999998</v>
      </c>
      <c r="J31" s="1060">
        <f>'Input POSB Assets'!BM23/1000000</f>
        <v>0</v>
      </c>
      <c r="K31" s="1060">
        <f>'Input POSB Assets'!BU23/1000000</f>
        <v>0</v>
      </c>
      <c r="L31" s="1060">
        <f>('Input POSB Assets'!CY23+'Input POSB Assets'!DN23)/1000000</f>
        <v>0</v>
      </c>
      <c r="M31" s="1059">
        <f>'Input POSB Assets'!BE23/1000000</f>
        <v>0</v>
      </c>
      <c r="N31" s="1059">
        <f>('Input POSB Assets'!BQ23+'Input POSB Assets'!BR23)/1000000</f>
        <v>0</v>
      </c>
      <c r="O31" s="1059">
        <f>('Input POSB Assets'!BT23+'Input POSB Assets'!CC23)/1000000</f>
        <v>0</v>
      </c>
      <c r="P31" s="1059">
        <f>'Input POSB Assets'!CU23/1000000+'Input POSB Assets'!CQ23/1000000</f>
        <v>75.896493000000007</v>
      </c>
      <c r="Q31" s="1059">
        <f>'Input POSB Assets'!DY23/1000000</f>
        <v>0.68369999999999997</v>
      </c>
      <c r="R31" s="1059"/>
      <c r="S31" s="1059">
        <f>'Input POSB Assets'!EM23/1000000</f>
        <v>15.040991999999999</v>
      </c>
      <c r="T31" s="1059">
        <f>'Input POSB Assets'!EH23/1000000</f>
        <v>8.3013659999999998</v>
      </c>
      <c r="U31" s="1061">
        <f t="shared" si="0"/>
        <v>147.318533</v>
      </c>
      <c r="W31" s="1062">
        <f>U31-'Input POSB Assets'!ES23/1000000</f>
        <v>0</v>
      </c>
      <c r="X31" s="1063">
        <f t="shared" si="1"/>
        <v>0</v>
      </c>
      <c r="Y31" s="1032">
        <f t="shared" si="3"/>
        <v>0</v>
      </c>
    </row>
    <row r="32" spans="2:25" ht="15" customHeight="1">
      <c r="B32" s="1056" t="s">
        <v>337</v>
      </c>
      <c r="C32" s="1149">
        <f>'Input POSB Assets'!G24/1000000</f>
        <v>1.7897E-2</v>
      </c>
      <c r="D32" s="1149">
        <f>'Input POSB Assets'!AP24/1000000</f>
        <v>3.094446</v>
      </c>
      <c r="E32" s="1058">
        <f>'Input POSB Assets'!I24/1000000</f>
        <v>14.961083</v>
      </c>
      <c r="F32" s="1058">
        <f>('Input POSB Assets'!M24+'Input POSB Assets'!X24+'Input POSB Assets'!AF24+'Input POSB Assets'!AK24)/1000000</f>
        <v>1.165246</v>
      </c>
      <c r="G32" s="1059">
        <f>'Input POSB Assets'!AQ24/1000000</f>
        <v>9.6984000000000001E-2</v>
      </c>
      <c r="H32" s="1059">
        <f>('Input POSB Assets'!AT24+'Input POSB Assets'!AU24+'Input POSB Assets'!AV24+'Input POSB Assets'!AW24)/1000000</f>
        <v>0</v>
      </c>
      <c r="I32" s="1059">
        <f>('Input POSB Assets'!AZ24+'Input POSB Assets'!BC24+'Input POSB Assets'!BD24)/1000000</f>
        <v>31.083393999999998</v>
      </c>
      <c r="J32" s="1060">
        <f>'Input POSB Assets'!BM24/1000000</f>
        <v>0</v>
      </c>
      <c r="K32" s="1060">
        <f>'Input POSB Assets'!BU24/1000000</f>
        <v>0</v>
      </c>
      <c r="L32" s="1060">
        <f>('Input POSB Assets'!CY24+'Input POSB Assets'!DN24)/1000000</f>
        <v>0</v>
      </c>
      <c r="M32" s="1059">
        <f>'Input POSB Assets'!BE24/1000000</f>
        <v>0</v>
      </c>
      <c r="N32" s="1059">
        <f>('Input POSB Assets'!BQ24+'Input POSB Assets'!BR24)/1000000</f>
        <v>0</v>
      </c>
      <c r="O32" s="1059">
        <f>('Input POSB Assets'!BT24+'Input POSB Assets'!CC24)/1000000</f>
        <v>0</v>
      </c>
      <c r="P32" s="1059">
        <f>'Input POSB Assets'!CU24/1000000+'Input POSB Assets'!CQ24/1000000</f>
        <v>72.551258000000004</v>
      </c>
      <c r="Q32" s="1059">
        <f>'Input POSB Assets'!DY24/1000000</f>
        <v>0.69086700000000001</v>
      </c>
      <c r="R32" s="1059"/>
      <c r="S32" s="1059">
        <f>'Input POSB Assets'!EM24/1000000</f>
        <v>14.496076</v>
      </c>
      <c r="T32" s="1059">
        <f>'Input POSB Assets'!EH24/1000000</f>
        <v>8.1855030000000006</v>
      </c>
      <c r="U32" s="1061">
        <f t="shared" si="0"/>
        <v>146.34275400000001</v>
      </c>
      <c r="W32" s="1062">
        <f>U32-'Input POSB Assets'!ES24/1000000</f>
        <v>0</v>
      </c>
      <c r="X32" s="1063">
        <f t="shared" si="1"/>
        <v>0</v>
      </c>
      <c r="Y32" s="1032">
        <f t="shared" si="3"/>
        <v>0</v>
      </c>
    </row>
    <row r="33" spans="2:25" ht="15" customHeight="1">
      <c r="B33" s="1056" t="s">
        <v>338</v>
      </c>
      <c r="C33" s="1149">
        <f>'Input POSB Assets'!G25/1000000</f>
        <v>1.7423999999999999E-2</v>
      </c>
      <c r="D33" s="1149">
        <f>'Input POSB Assets'!AP25/1000000</f>
        <v>3.0561660000000002</v>
      </c>
      <c r="E33" s="1058">
        <f>'Input POSB Assets'!I25/1000000</f>
        <v>13.623798000000001</v>
      </c>
      <c r="F33" s="1058">
        <f>('Input POSB Assets'!M25+'Input POSB Assets'!X25+'Input POSB Assets'!AF25+'Input POSB Assets'!AK25)/1000000</f>
        <v>1.2171700000000001</v>
      </c>
      <c r="G33" s="1059">
        <f>'Input POSB Assets'!AQ25/1000000</f>
        <v>0.111347</v>
      </c>
      <c r="H33" s="1059">
        <f>('Input POSB Assets'!AT25+'Input POSB Assets'!AU25+'Input POSB Assets'!AV25+'Input POSB Assets'!AW25)/1000000</f>
        <v>0</v>
      </c>
      <c r="I33" s="1059">
        <f>('Input POSB Assets'!AZ25+'Input POSB Assets'!BC25+'Input POSB Assets'!BD25)/1000000</f>
        <v>29.976865</v>
      </c>
      <c r="J33" s="1060">
        <f>'Input POSB Assets'!BM25/1000000</f>
        <v>0</v>
      </c>
      <c r="K33" s="1060">
        <f>'Input POSB Assets'!BU25/1000000</f>
        <v>0</v>
      </c>
      <c r="L33" s="1060">
        <f>('Input POSB Assets'!CY25+'Input POSB Assets'!DN25)/1000000</f>
        <v>0</v>
      </c>
      <c r="M33" s="1059">
        <f>'Input POSB Assets'!BE25/1000000</f>
        <v>0</v>
      </c>
      <c r="N33" s="1059">
        <f>('Input POSB Assets'!BQ25+'Input POSB Assets'!BR25)/1000000</f>
        <v>0</v>
      </c>
      <c r="O33" s="1059">
        <f>('Input POSB Assets'!BT25+'Input POSB Assets'!CC25)/1000000</f>
        <v>0</v>
      </c>
      <c r="P33" s="1059">
        <f>'Input POSB Assets'!CU25/1000000+'Input POSB Assets'!CQ25/1000000</f>
        <v>76.338160999999999</v>
      </c>
      <c r="Q33" s="1059">
        <f>'Input POSB Assets'!DY25/1000000</f>
        <v>0.66363799999999995</v>
      </c>
      <c r="R33" s="1059"/>
      <c r="S33" s="1059">
        <f>'Input POSB Assets'!EM25/1000000</f>
        <v>15.869853000000001</v>
      </c>
      <c r="T33" s="1059">
        <f>'Input POSB Assets'!EH25/1000000</f>
        <v>8.0760529999999999</v>
      </c>
      <c r="U33" s="1061">
        <f t="shared" si="0"/>
        <v>148.95047500000001</v>
      </c>
      <c r="W33" s="1062">
        <f>U33-'Input POSB Assets'!ES25/1000000</f>
        <v>0</v>
      </c>
      <c r="X33" s="1063">
        <f t="shared" si="1"/>
        <v>0</v>
      </c>
      <c r="Y33" s="1032">
        <f t="shared" si="3"/>
        <v>0</v>
      </c>
    </row>
    <row r="34" spans="2:25" ht="15" customHeight="1">
      <c r="B34" s="1056" t="s">
        <v>339</v>
      </c>
      <c r="C34" s="1149">
        <f>'Input POSB Assets'!G26/1000000</f>
        <v>8.3730000000000002E-3</v>
      </c>
      <c r="D34" s="1149">
        <f>'Input POSB Assets'!AP26/1000000</f>
        <v>0.93298499999999995</v>
      </c>
      <c r="E34" s="1058">
        <f>'Input POSB Assets'!I26/1000000</f>
        <v>11.017351</v>
      </c>
      <c r="F34" s="1058">
        <f>('Input POSB Assets'!M26+'Input POSB Assets'!X26+'Input POSB Assets'!AF26+'Input POSB Assets'!AK26)/1000000</f>
        <v>0.13739799999999999</v>
      </c>
      <c r="G34" s="1059">
        <f>'Input POSB Assets'!AQ26/1000000</f>
        <v>0.35901100000000002</v>
      </c>
      <c r="H34" s="1059">
        <f>('Input POSB Assets'!AT26+'Input POSB Assets'!AU26+'Input POSB Assets'!AV26+'Input POSB Assets'!AW26)/1000000</f>
        <v>0</v>
      </c>
      <c r="I34" s="1059">
        <f>('Input POSB Assets'!AZ26+'Input POSB Assets'!BC26+'Input POSB Assets'!BD26)/1000000</f>
        <v>31.427786000000001</v>
      </c>
      <c r="J34" s="1060">
        <f>'Input POSB Assets'!BM26/1000000</f>
        <v>0</v>
      </c>
      <c r="K34" s="1060">
        <f>'Input POSB Assets'!BU26/1000000</f>
        <v>0</v>
      </c>
      <c r="L34" s="1060">
        <f>('Input POSB Assets'!CY26+'Input POSB Assets'!DN26)/1000000</f>
        <v>0</v>
      </c>
      <c r="M34" s="1059">
        <f>'Input POSB Assets'!BE26/1000000</f>
        <v>0</v>
      </c>
      <c r="N34" s="1059">
        <f>('Input POSB Assets'!BQ26+'Input POSB Assets'!BR26)/1000000</f>
        <v>0</v>
      </c>
      <c r="O34" s="1059">
        <f>('Input POSB Assets'!BT26+'Input POSB Assets'!CC26)/1000000</f>
        <v>0</v>
      </c>
      <c r="P34" s="1059">
        <f>'Input POSB Assets'!CU26/1000000+'Input POSB Assets'!CQ26/1000000</f>
        <v>78.933633</v>
      </c>
      <c r="Q34" s="1059">
        <f>'Input POSB Assets'!DY26/1000000</f>
        <v>0.42176400000000003</v>
      </c>
      <c r="R34" s="1059"/>
      <c r="S34" s="1059">
        <f>'Input POSB Assets'!EM26/1000000</f>
        <v>16.166671999999998</v>
      </c>
      <c r="T34" s="1059">
        <f>'Input POSB Assets'!EH26/1000000</f>
        <v>8.037433</v>
      </c>
      <c r="U34" s="1061">
        <f t="shared" si="0"/>
        <v>147.44240599999998</v>
      </c>
      <c r="W34" s="1062">
        <f>U34-'Input POSB Assets'!ES26/1000000</f>
        <v>0</v>
      </c>
      <c r="X34" s="1063">
        <f t="shared" si="1"/>
        <v>0</v>
      </c>
      <c r="Y34" s="1032">
        <f t="shared" si="3"/>
        <v>0</v>
      </c>
    </row>
    <row r="35" spans="2:25" ht="15" customHeight="1">
      <c r="B35" s="1056" t="s">
        <v>340</v>
      </c>
      <c r="C35" s="1149">
        <f>'Input POSB Assets'!G27/1000000</f>
        <v>2.2039E-2</v>
      </c>
      <c r="D35" s="1149">
        <f>'Input POSB Assets'!AP27/1000000</f>
        <v>0.61409400000000003</v>
      </c>
      <c r="E35" s="1058">
        <f>'Input POSB Assets'!I27/1000000</f>
        <v>16.111286</v>
      </c>
      <c r="F35" s="1058">
        <f>('Input POSB Assets'!M27+'Input POSB Assets'!X27+'Input POSB Assets'!AF27+'Input POSB Assets'!AK27)/1000000</f>
        <v>0.38637899999999997</v>
      </c>
      <c r="G35" s="1059">
        <f>'Input POSB Assets'!AQ27/1000000</f>
        <v>7.9991999999999994E-2</v>
      </c>
      <c r="H35" s="1059">
        <f>('Input POSB Assets'!AT27+'Input POSB Assets'!AU27+'Input POSB Assets'!AV27+'Input POSB Assets'!AW27)/1000000</f>
        <v>0</v>
      </c>
      <c r="I35" s="1059">
        <f>('Input POSB Assets'!AZ27+'Input POSB Assets'!BC27+'Input POSB Assets'!BD27)/1000000</f>
        <v>27.503408</v>
      </c>
      <c r="J35" s="1060">
        <f>'Input POSB Assets'!BM27/1000000</f>
        <v>0</v>
      </c>
      <c r="K35" s="1060">
        <f>'Input POSB Assets'!BU27/1000000</f>
        <v>0</v>
      </c>
      <c r="L35" s="1060">
        <f>('Input POSB Assets'!CY27+'Input POSB Assets'!DN27)/1000000</f>
        <v>0</v>
      </c>
      <c r="M35" s="1059">
        <f>'Input POSB Assets'!BE27/1000000</f>
        <v>0</v>
      </c>
      <c r="N35" s="1059">
        <f>('Input POSB Assets'!BQ27+'Input POSB Assets'!BR27)/1000000</f>
        <v>0</v>
      </c>
      <c r="O35" s="1059">
        <f>('Input POSB Assets'!BT27+'Input POSB Assets'!CC27)/1000000</f>
        <v>0.14827599999999999</v>
      </c>
      <c r="P35" s="1059">
        <f>'Input POSB Assets'!CU27/1000000+'Input POSB Assets'!CQ27/1000000</f>
        <v>79.325265999999999</v>
      </c>
      <c r="Q35" s="1059">
        <f>'Input POSB Assets'!DY27/1000000</f>
        <v>0.42685800000000002</v>
      </c>
      <c r="R35" s="1059"/>
      <c r="S35" s="1059">
        <f>'Input POSB Assets'!EM27/1000000</f>
        <v>16.301364</v>
      </c>
      <c r="T35" s="1059">
        <f>'Input POSB Assets'!EH27/1000000</f>
        <v>7.917224</v>
      </c>
      <c r="U35" s="1061">
        <f t="shared" si="0"/>
        <v>148.836186</v>
      </c>
      <c r="W35" s="1062">
        <f>U35-'Input POSB Assets'!ES27/1000000</f>
        <v>0</v>
      </c>
      <c r="X35" s="1063">
        <f t="shared" si="1"/>
        <v>0</v>
      </c>
      <c r="Y35" s="1032">
        <f t="shared" si="3"/>
        <v>0</v>
      </c>
    </row>
    <row r="36" spans="2:25" ht="15" customHeight="1">
      <c r="B36" s="1056" t="s">
        <v>341</v>
      </c>
      <c r="C36" s="1149">
        <f>'Input POSB Assets'!G28/1000000</f>
        <v>2.4424000000000001E-2</v>
      </c>
      <c r="D36" s="1149">
        <f>'Input POSB Assets'!AP28/1000000</f>
        <v>0.47806900000000002</v>
      </c>
      <c r="E36" s="1058">
        <f>'Input POSB Assets'!I28/1000000</f>
        <v>16.886465000000001</v>
      </c>
      <c r="F36" s="1058">
        <f>('Input POSB Assets'!M28+'Input POSB Assets'!X28+'Input POSB Assets'!AF28+'Input POSB Assets'!AK28)/1000000</f>
        <v>0.43953700000000001</v>
      </c>
      <c r="G36" s="1059">
        <f>'Input POSB Assets'!AQ28/1000000</f>
        <v>9.3089000000000005E-2</v>
      </c>
      <c r="H36" s="1059">
        <f>('Input POSB Assets'!AT28+'Input POSB Assets'!AU28+'Input POSB Assets'!AV28+'Input POSB Assets'!AW28)/1000000</f>
        <v>0</v>
      </c>
      <c r="I36" s="1059">
        <f>('Input POSB Assets'!AZ28+'Input POSB Assets'!BC28+'Input POSB Assets'!BD28)/1000000</f>
        <v>35.881286000000003</v>
      </c>
      <c r="J36" s="1060">
        <f>'Input POSB Assets'!BM28/1000000</f>
        <v>0</v>
      </c>
      <c r="K36" s="1060">
        <f>'Input POSB Assets'!BU28/1000000</f>
        <v>0</v>
      </c>
      <c r="L36" s="1060">
        <f>('Input POSB Assets'!CY28+'Input POSB Assets'!DN28)/1000000</f>
        <v>0</v>
      </c>
      <c r="M36" s="1059">
        <f>'Input POSB Assets'!BE28/1000000</f>
        <v>0</v>
      </c>
      <c r="N36" s="1059">
        <f>('Input POSB Assets'!BQ28+'Input POSB Assets'!BR28)/1000000</f>
        <v>0</v>
      </c>
      <c r="O36" s="1059">
        <f>('Input POSB Assets'!BT28+'Input POSB Assets'!CC28)/1000000</f>
        <v>0.147762</v>
      </c>
      <c r="P36" s="1059">
        <f>'Input POSB Assets'!CU28/1000000+'Input POSB Assets'!CQ28/1000000</f>
        <v>76.990575000000007</v>
      </c>
      <c r="Q36" s="1059">
        <f>'Input POSB Assets'!DY28/1000000</f>
        <v>0.44367299999999998</v>
      </c>
      <c r="R36" s="1059"/>
      <c r="S36" s="1059">
        <f>'Input POSB Assets'!EM28/1000000</f>
        <v>16.484209</v>
      </c>
      <c r="T36" s="1059">
        <f>'Input POSB Assets'!EH28/1000000</f>
        <v>7.8242060000000002</v>
      </c>
      <c r="U36" s="1061">
        <f t="shared" si="0"/>
        <v>155.69329500000001</v>
      </c>
      <c r="W36" s="1062">
        <f>U36-'Input POSB Assets'!ES28/1000000</f>
        <v>0</v>
      </c>
      <c r="X36" s="1063">
        <f t="shared" si="1"/>
        <v>0</v>
      </c>
      <c r="Y36" s="1032">
        <f t="shared" si="3"/>
        <v>0</v>
      </c>
    </row>
    <row r="37" spans="2:25" ht="15" customHeight="1">
      <c r="B37" s="1056" t="s">
        <v>342</v>
      </c>
      <c r="C37" s="1149">
        <f>'Input POSB Assets'!G29/1000000</f>
        <v>2.3022999999999998E-2</v>
      </c>
      <c r="D37" s="1149">
        <f>'Input POSB Assets'!AP29/1000000</f>
        <v>0.283219</v>
      </c>
      <c r="E37" s="1058">
        <f>'Input POSB Assets'!I29/1000000</f>
        <v>11.438407</v>
      </c>
      <c r="F37" s="1058">
        <f>('Input POSB Assets'!M29+'Input POSB Assets'!X29+'Input POSB Assets'!AF29+'Input POSB Assets'!AK29)/1000000</f>
        <v>4.3358000000000001E-2</v>
      </c>
      <c r="G37" s="1059">
        <f>'Input POSB Assets'!AQ29/1000000</f>
        <v>0.35908899999999999</v>
      </c>
      <c r="H37" s="1059">
        <f>('Input POSB Assets'!AT29+'Input POSB Assets'!AU29+'Input POSB Assets'!AV29+'Input POSB Assets'!AW29)/1000000</f>
        <v>0</v>
      </c>
      <c r="I37" s="1059">
        <f>('Input POSB Assets'!AZ29+'Input POSB Assets'!BC29+'Input POSB Assets'!BD29)/1000000</f>
        <v>40.245359999999998</v>
      </c>
      <c r="J37" s="1060">
        <f>'Input POSB Assets'!BM29/1000000</f>
        <v>0</v>
      </c>
      <c r="K37" s="1060">
        <f>'Input POSB Assets'!BU29/1000000</f>
        <v>0</v>
      </c>
      <c r="L37" s="1060">
        <f>('Input POSB Assets'!CY29+'Input POSB Assets'!DN29)/1000000</f>
        <v>0</v>
      </c>
      <c r="M37" s="1059">
        <f>'Input POSB Assets'!BE29/1000000</f>
        <v>0</v>
      </c>
      <c r="N37" s="1059">
        <f>('Input POSB Assets'!BQ29+'Input POSB Assets'!BR29)/1000000</f>
        <v>0</v>
      </c>
      <c r="O37" s="1059">
        <f>('Input POSB Assets'!BT29+'Input POSB Assets'!CC29)/1000000</f>
        <v>0.14549599999999999</v>
      </c>
      <c r="P37" s="1059">
        <f>'Input POSB Assets'!CU29/1000000+'Input POSB Assets'!CQ29/1000000</f>
        <v>71.620172999999994</v>
      </c>
      <c r="Q37" s="1059">
        <f>'Input POSB Assets'!DY29/1000000</f>
        <v>0.59421199999999996</v>
      </c>
      <c r="R37" s="1059"/>
      <c r="S37" s="1059">
        <f>'Input POSB Assets'!EM29/1000000</f>
        <v>16.269504000000001</v>
      </c>
      <c r="T37" s="1059">
        <f>'Input POSB Assets'!EH29/1000000</f>
        <v>7.7818709999999998</v>
      </c>
      <c r="U37" s="1061">
        <f t="shared" si="0"/>
        <v>148.80371199999999</v>
      </c>
      <c r="W37" s="1062">
        <f>U37-'Input POSB Assets'!ES29/1000000</f>
        <v>0</v>
      </c>
      <c r="X37" s="1063">
        <f t="shared" si="1"/>
        <v>0</v>
      </c>
      <c r="Y37" s="1032">
        <f t="shared" si="3"/>
        <v>0</v>
      </c>
    </row>
    <row r="38" spans="2:25" ht="15" customHeight="1">
      <c r="B38" s="1056" t="s">
        <v>343</v>
      </c>
      <c r="C38" s="1149">
        <f>'Input POSB Assets'!G30/1000000</f>
        <v>0.18532599999999999</v>
      </c>
      <c r="D38" s="1149">
        <f>'Input POSB Assets'!AP30/1000000</f>
        <v>0.359568</v>
      </c>
      <c r="E38" s="1058">
        <f>'Input POSB Assets'!I30/1000000</f>
        <v>19.960570000000001</v>
      </c>
      <c r="F38" s="1058">
        <f>('Input POSB Assets'!M30+'Input POSB Assets'!X30+'Input POSB Assets'!AF30+'Input POSB Assets'!AK30)/1000000</f>
        <v>9.8159999999999997E-2</v>
      </c>
      <c r="G38" s="1059">
        <f>'Input POSB Assets'!AQ30/1000000</f>
        <v>0.62773999999999996</v>
      </c>
      <c r="H38" s="1059">
        <f>('Input POSB Assets'!AT30+'Input POSB Assets'!AU30+'Input POSB Assets'!AV30+'Input POSB Assets'!AW30)/1000000</f>
        <v>0</v>
      </c>
      <c r="I38" s="1059">
        <f>('Input POSB Assets'!AZ30+'Input POSB Assets'!BC30+'Input POSB Assets'!BD30)/1000000</f>
        <v>35.738788999999997</v>
      </c>
      <c r="J38" s="1060">
        <f>'Input POSB Assets'!BM30/1000000</f>
        <v>0</v>
      </c>
      <c r="K38" s="1060">
        <f>'Input POSB Assets'!BU30/1000000</f>
        <v>0</v>
      </c>
      <c r="L38" s="1060">
        <f>('Input POSB Assets'!CY30+'Input POSB Assets'!DN30)/1000000</f>
        <v>0</v>
      </c>
      <c r="M38" s="1059">
        <f>'Input POSB Assets'!BE30/1000000</f>
        <v>0</v>
      </c>
      <c r="N38" s="1059">
        <f>('Input POSB Assets'!BQ30+'Input POSB Assets'!BR30)/1000000</f>
        <v>0</v>
      </c>
      <c r="O38" s="1059">
        <f>('Input POSB Assets'!BT30+'Input POSB Assets'!CC30)/1000000</f>
        <v>0.14746400000000001</v>
      </c>
      <c r="P38" s="1059">
        <f>'Input POSB Assets'!CU30/1000000+'Input POSB Assets'!CQ30/1000000</f>
        <v>72.122973000000002</v>
      </c>
      <c r="Q38" s="1059">
        <f>'Input POSB Assets'!DY30/1000000</f>
        <v>0.67413999999999996</v>
      </c>
      <c r="R38" s="1059"/>
      <c r="S38" s="1059">
        <f>'Input POSB Assets'!EM30/1000000</f>
        <v>15.084974000000001</v>
      </c>
      <c r="T38" s="1059">
        <f>'Input POSB Assets'!EH30/1000000</f>
        <v>7.7336340000000003</v>
      </c>
      <c r="U38" s="1061">
        <f t="shared" si="0"/>
        <v>152.73333799999997</v>
      </c>
      <c r="W38" s="1062">
        <f>U38-'Input POSB Assets'!ES30/1000000</f>
        <v>0</v>
      </c>
      <c r="X38" s="1063">
        <f t="shared" si="1"/>
        <v>0</v>
      </c>
      <c r="Y38" s="1032">
        <f t="shared" si="3"/>
        <v>0</v>
      </c>
    </row>
    <row r="39" spans="2:25" ht="15" customHeight="1">
      <c r="B39" s="1056" t="s">
        <v>344</v>
      </c>
      <c r="C39" s="1149">
        <f>'Input POSB Assets'!G31/1000000</f>
        <v>0.77644199999999997</v>
      </c>
      <c r="D39" s="1149">
        <f>'Input POSB Assets'!AP31/1000000</f>
        <v>0.57039799999999996</v>
      </c>
      <c r="E39" s="1058">
        <f>'Input POSB Assets'!I31/1000000</f>
        <v>20.848859999999998</v>
      </c>
      <c r="F39" s="1058">
        <f>('Input POSB Assets'!M31+'Input POSB Assets'!X31+'Input POSB Assets'!AF31+'Input POSB Assets'!AK31)/1000000</f>
        <v>0.113757</v>
      </c>
      <c r="G39" s="1059">
        <f>'Input POSB Assets'!AQ31/1000000</f>
        <v>1.0453250000000001</v>
      </c>
      <c r="H39" s="1059">
        <f>('Input POSB Assets'!AT31+'Input POSB Assets'!AU31+'Input POSB Assets'!AV31+'Input POSB Assets'!AW31)/1000000</f>
        <v>0</v>
      </c>
      <c r="I39" s="1059">
        <f>('Input POSB Assets'!AZ31+'Input POSB Assets'!BC31+'Input POSB Assets'!BD31)/1000000</f>
        <v>45.707988999999998</v>
      </c>
      <c r="J39" s="1060">
        <f>'Input POSB Assets'!BM31/1000000</f>
        <v>0</v>
      </c>
      <c r="K39" s="1060">
        <f>'Input POSB Assets'!BU31/1000000</f>
        <v>0</v>
      </c>
      <c r="L39" s="1060">
        <f>('Input POSB Assets'!CY31+'Input POSB Assets'!DN31)/1000000</f>
        <v>0</v>
      </c>
      <c r="M39" s="1059">
        <f>'Input POSB Assets'!BE31/1000000</f>
        <v>0</v>
      </c>
      <c r="N39" s="1059">
        <f>('Input POSB Assets'!BQ31+'Input POSB Assets'!BR31)/1000000</f>
        <v>0</v>
      </c>
      <c r="O39" s="1059">
        <f>('Input POSB Assets'!BT31+'Input POSB Assets'!CC31)/1000000</f>
        <v>0.145007</v>
      </c>
      <c r="P39" s="1059">
        <f>'Input POSB Assets'!CU31/1000000+'Input POSB Assets'!CQ31/1000000</f>
        <v>71.389610000000005</v>
      </c>
      <c r="Q39" s="1059">
        <f>'Input POSB Assets'!DY31/1000000</f>
        <v>0.72844600000000004</v>
      </c>
      <c r="R39" s="1059"/>
      <c r="S39" s="1059">
        <f>'Input POSB Assets'!EM31/1000000</f>
        <v>15.250775000000001</v>
      </c>
      <c r="T39" s="1059">
        <f>'Input POSB Assets'!EH31/1000000</f>
        <v>7.7526775699999995</v>
      </c>
      <c r="U39" s="1061">
        <f t="shared" si="0"/>
        <v>164.32928657000002</v>
      </c>
      <c r="W39" s="1062">
        <f>U39-'Input POSB Assets'!ES31/1000000</f>
        <v>0</v>
      </c>
      <c r="X39" s="1063">
        <f t="shared" si="1"/>
        <v>0</v>
      </c>
      <c r="Y39" s="1032">
        <f t="shared" si="3"/>
        <v>0</v>
      </c>
    </row>
    <row r="40" spans="2:25" ht="15" customHeight="1">
      <c r="B40" s="1059"/>
      <c r="C40" s="1149"/>
      <c r="D40" s="1149"/>
      <c r="E40" s="1058"/>
      <c r="F40" s="1058"/>
      <c r="G40" s="1059"/>
      <c r="H40" s="1059"/>
      <c r="I40" s="1059"/>
      <c r="J40" s="1060"/>
      <c r="K40" s="1060"/>
      <c r="L40" s="1060"/>
      <c r="M40" s="1059"/>
      <c r="N40" s="1059"/>
      <c r="O40" s="1059"/>
      <c r="P40" s="1059"/>
      <c r="Q40" s="1059"/>
      <c r="R40" s="1059"/>
      <c r="S40" s="1059"/>
      <c r="T40" s="1059"/>
      <c r="U40" s="1061"/>
      <c r="W40" s="1062">
        <f>U40-'Input POSB Assets'!ES32/1000000</f>
        <v>0</v>
      </c>
      <c r="X40" s="1063"/>
      <c r="Y40" s="1032">
        <f t="shared" si="3"/>
        <v>0</v>
      </c>
    </row>
    <row r="41" spans="2:25" ht="15" customHeight="1">
      <c r="B41" s="1066">
        <v>2017</v>
      </c>
      <c r="C41" s="1138"/>
      <c r="D41" s="1059"/>
      <c r="E41" s="1059"/>
      <c r="F41" s="1059"/>
      <c r="G41" s="1059"/>
      <c r="H41" s="1059"/>
      <c r="I41" s="1059"/>
      <c r="J41" s="1059"/>
      <c r="K41" s="1059"/>
      <c r="L41" s="1059"/>
      <c r="M41" s="1059"/>
      <c r="N41" s="1059"/>
      <c r="O41" s="1059"/>
      <c r="P41" s="1059"/>
      <c r="Q41" s="1059"/>
      <c r="R41" s="1059"/>
      <c r="S41" s="1059"/>
      <c r="T41" s="1059"/>
      <c r="U41" s="1061"/>
    </row>
    <row r="42" spans="2:25" ht="15" customHeight="1">
      <c r="B42" s="1059" t="s">
        <v>345</v>
      </c>
      <c r="C42" s="1149">
        <f>'Input POSB Assets'!G34/1000000</f>
        <v>0.13216800000000001</v>
      </c>
      <c r="D42" s="1149">
        <f>'Input POSB Assets'!AP34/1000000</f>
        <v>0.207901</v>
      </c>
      <c r="E42" s="1058">
        <f>'Input POSB Assets'!I34/1000000</f>
        <v>20.850719000000002</v>
      </c>
      <c r="F42" s="1058">
        <f>('Input POSB Assets'!M34+'Input POSB Assets'!X34+'Input POSB Assets'!AF34+'Input POSB Assets'!AK34)/1000000</f>
        <v>0.17097399999999999</v>
      </c>
      <c r="G42" s="1059">
        <f>'Input POSB Assets'!AQ34/1000000</f>
        <v>0.18231</v>
      </c>
      <c r="H42" s="1059">
        <f>('Input POSB Assets'!AT34+'Input POSB Assets'!AU34+'Input POSB Assets'!AV34+'Input POSB Assets'!AW34)/1000000</f>
        <v>0</v>
      </c>
      <c r="I42" s="1059">
        <f>('Input POSB Assets'!AZ34+'Input POSB Assets'!BC34+'Input POSB Assets'!BD34)/1000000</f>
        <v>45.707988999999998</v>
      </c>
      <c r="J42" s="1060">
        <f>'Input POSB Assets'!BM34/1000000</f>
        <v>0</v>
      </c>
      <c r="K42" s="1060">
        <f>'Input POSB Assets'!BU34/1000000</f>
        <v>0</v>
      </c>
      <c r="L42" s="1060">
        <f>('Input POSB Assets'!CY34+'Input POSB Assets'!DN34)/1000000</f>
        <v>0</v>
      </c>
      <c r="M42" s="1059">
        <f>'Input POSB Assets'!BE34/1000000</f>
        <v>0</v>
      </c>
      <c r="N42" s="1059">
        <f>('Input POSB Assets'!BQ34+'Input POSB Assets'!BR34)/1000000</f>
        <v>0</v>
      </c>
      <c r="O42" s="1059">
        <f>('Input POSB Assets'!BT34+'Input POSB Assets'!CC34)/1000000</f>
        <v>0.137881</v>
      </c>
      <c r="P42" s="1059">
        <f>'Input POSB Assets'!CU34/1000000+'Input POSB Assets'!CQ34/1000000</f>
        <v>70.844888999999995</v>
      </c>
      <c r="Q42" s="1059">
        <f>'Input POSB Assets'!DY34/1000000</f>
        <v>0.58092999999999995</v>
      </c>
      <c r="R42" s="1059"/>
      <c r="S42" s="1059">
        <f>'Input POSB Assets'!EM34/1000000</f>
        <v>15.329491000000001</v>
      </c>
      <c r="T42" s="1059">
        <f>'Input POSB Assets'!EH34/1000000</f>
        <v>7.6880236400000008</v>
      </c>
      <c r="U42" s="1061">
        <f>SUM(C42:T42)</f>
        <v>161.83327563999998</v>
      </c>
      <c r="W42" s="1062">
        <f>U42-'Input POSB Assets'!ES34/1000000</f>
        <v>0</v>
      </c>
      <c r="X42" s="1063">
        <f>+W42/U42</f>
        <v>0</v>
      </c>
      <c r="Y42" s="1032">
        <f>+W42*1000000</f>
        <v>0</v>
      </c>
    </row>
    <row r="43" spans="2:25" ht="15" customHeight="1">
      <c r="B43" s="1059" t="s">
        <v>334</v>
      </c>
      <c r="C43" s="1149">
        <f>'Input POSB Assets'!G35/1000000</f>
        <v>1.821394</v>
      </c>
      <c r="D43" s="1149">
        <f>'Input POSB Assets'!AP35/1000000</f>
        <v>0.111868</v>
      </c>
      <c r="E43" s="1058">
        <f>'Input POSB Assets'!I35/1000000</f>
        <v>21.101147000000001</v>
      </c>
      <c r="F43" s="1058">
        <f>('Input POSB Assets'!M35+'Input POSB Assets'!X35+'Input POSB Assets'!AF35+'Input POSB Assets'!AK35)/1000000</f>
        <v>6.7877999999999994E-2</v>
      </c>
      <c r="G43" s="1059">
        <f>'Input POSB Assets'!AQ35/1000000</f>
        <v>0.30298000000000003</v>
      </c>
      <c r="H43" s="1059">
        <f>('Input POSB Assets'!AT35+'Input POSB Assets'!AU35+'Input POSB Assets'!AV35+'Input POSB Assets'!AW35)/1000000</f>
        <v>0</v>
      </c>
      <c r="I43" s="1059">
        <f>('Input POSB Assets'!AZ35+'Input POSB Assets'!BC35+'Input POSB Assets'!BD35)/1000000</f>
        <v>49.257008999999996</v>
      </c>
      <c r="J43" s="1060">
        <f>'Input POSB Assets'!BM35/1000000</f>
        <v>0</v>
      </c>
      <c r="K43" s="1060">
        <f>'Input POSB Assets'!BU35/1000000</f>
        <v>0</v>
      </c>
      <c r="L43" s="1060">
        <f>('Input POSB Assets'!CY35+'Input POSB Assets'!DN35)/1000000</f>
        <v>0</v>
      </c>
      <c r="M43" s="1059">
        <f>'Input POSB Assets'!BE35/1000000</f>
        <v>0</v>
      </c>
      <c r="N43" s="1059">
        <f>('Input POSB Assets'!BQ35+'Input POSB Assets'!BR35)/1000000</f>
        <v>0</v>
      </c>
      <c r="O43" s="1059">
        <f>('Input POSB Assets'!BT35+'Input POSB Assets'!CC35)/1000000</f>
        <v>0.13946700000000001</v>
      </c>
      <c r="P43" s="1059">
        <f>'Input POSB Assets'!CU35/1000000+'Input POSB Assets'!CQ35/1000000</f>
        <v>67.106200999999999</v>
      </c>
      <c r="Q43" s="1059">
        <f>'Input POSB Assets'!DY35/1000000</f>
        <v>0.54981899999999995</v>
      </c>
      <c r="R43" s="1059"/>
      <c r="S43" s="1059">
        <f>'Input POSB Assets'!EM35/1000000</f>
        <v>15.136996</v>
      </c>
      <c r="T43" s="1059">
        <f>'Input POSB Assets'!EH35/1000000</f>
        <v>7.8130701500000006</v>
      </c>
      <c r="U43" s="1061">
        <f>SUM(C43:T43)</f>
        <v>163.40782915</v>
      </c>
      <c r="W43" s="1062">
        <f>U43-'Input POSB Assets'!ES35/1000000</f>
        <v>0</v>
      </c>
      <c r="X43" s="1063">
        <f>+W43/U43</f>
        <v>0</v>
      </c>
      <c r="Y43" s="1032">
        <f>+W43*1000000</f>
        <v>0</v>
      </c>
    </row>
    <row r="44" spans="2:25" ht="15" customHeight="1" thickBot="1">
      <c r="B44" s="1067"/>
      <c r="C44" s="1067"/>
      <c r="D44" s="1068"/>
      <c r="E44" s="1068"/>
      <c r="F44" s="1068"/>
      <c r="G44" s="1068"/>
      <c r="H44" s="1068"/>
      <c r="I44" s="1068"/>
      <c r="J44" s="1068"/>
      <c r="K44" s="1068"/>
      <c r="L44" s="1068"/>
      <c r="M44" s="1069"/>
      <c r="N44" s="1068"/>
      <c r="O44" s="1069"/>
      <c r="P44" s="1068"/>
      <c r="Q44" s="1068"/>
      <c r="R44" s="1068"/>
      <c r="S44" s="1068"/>
      <c r="T44" s="1068"/>
      <c r="U44" s="1070"/>
    </row>
    <row r="45" spans="2:25" ht="10.8" thickTop="1"/>
    <row r="46" spans="2:25" ht="16.8">
      <c r="B46" s="965" t="s">
        <v>1360</v>
      </c>
      <c r="C46" s="928"/>
      <c r="D46" s="928"/>
      <c r="E46" s="1071"/>
      <c r="F46" s="1071"/>
      <c r="G46" s="1071"/>
      <c r="H46" s="1071"/>
      <c r="I46" s="1071"/>
      <c r="J46" s="1071"/>
      <c r="K46" s="1071"/>
      <c r="L46" s="1071"/>
      <c r="M46" s="1071"/>
      <c r="N46" s="1071"/>
      <c r="O46" s="1071"/>
      <c r="P46" s="1071"/>
      <c r="Q46" s="1071"/>
      <c r="R46" s="1071"/>
      <c r="S46" s="1071"/>
      <c r="T46" s="1071"/>
      <c r="U46" s="1071"/>
      <c r="V46" s="1072"/>
    </row>
    <row r="47" spans="2:25">
      <c r="D47" s="1071"/>
      <c r="E47" s="1071"/>
      <c r="F47" s="1071"/>
      <c r="G47" s="1071"/>
      <c r="H47" s="1071"/>
      <c r="I47" s="1071"/>
      <c r="J47" s="1071"/>
      <c r="K47" s="1071"/>
      <c r="L47" s="1071"/>
      <c r="M47" s="1071"/>
      <c r="N47" s="1071"/>
      <c r="O47" s="1071"/>
      <c r="P47" s="1071"/>
      <c r="Q47" s="1071"/>
      <c r="R47" s="1071"/>
      <c r="S47" s="1071"/>
      <c r="T47" s="1071"/>
      <c r="U47" s="1071"/>
      <c r="V47" s="1072"/>
    </row>
    <row r="48" spans="2:25" ht="15.6">
      <c r="B48" s="239" t="s">
        <v>998</v>
      </c>
    </row>
    <row r="49" spans="2:25" s="923" customFormat="1" ht="13.8">
      <c r="B49" s="923" t="s">
        <v>1730</v>
      </c>
      <c r="W49" s="1074"/>
      <c r="X49" s="1075"/>
      <c r="Y49" s="1076"/>
    </row>
    <row r="50" spans="2:25" s="923" customFormat="1" ht="13.8">
      <c r="B50" s="923" t="s">
        <v>1731</v>
      </c>
      <c r="W50" s="1074"/>
      <c r="X50" s="1075"/>
      <c r="Y50" s="1076"/>
    </row>
    <row r="51" spans="2:25" s="923" customFormat="1" ht="13.8">
      <c r="B51" s="923" t="s">
        <v>1732</v>
      </c>
      <c r="W51" s="1074"/>
      <c r="X51" s="1075"/>
      <c r="Y51" s="1076"/>
    </row>
    <row r="52" spans="2:25" s="923" customFormat="1" ht="13.8">
      <c r="W52" s="1074"/>
      <c r="X52" s="1075"/>
      <c r="Y52" s="1076"/>
    </row>
    <row r="53" spans="2:25" s="923" customFormat="1" ht="13.8">
      <c r="W53" s="1074"/>
      <c r="X53" s="1075"/>
      <c r="Y53" s="1076"/>
    </row>
    <row r="54" spans="2:25" s="923" customFormat="1" ht="13.8">
      <c r="W54" s="1074"/>
      <c r="X54" s="1075"/>
      <c r="Y54" s="1076"/>
    </row>
    <row r="55" spans="2:25" s="923" customFormat="1" ht="13.8">
      <c r="W55" s="1074"/>
      <c r="X55" s="1075"/>
      <c r="Y55" s="1076"/>
    </row>
    <row r="56" spans="2:25" s="923" customFormat="1" ht="13.8">
      <c r="W56" s="1074"/>
      <c r="X56" s="1075"/>
      <c r="Y56" s="1076"/>
    </row>
    <row r="57" spans="2:25" s="923" customFormat="1" ht="13.8">
      <c r="W57" s="1074"/>
      <c r="X57" s="1075"/>
      <c r="Y57" s="1076"/>
    </row>
    <row r="58" spans="2:25" s="923" customFormat="1" ht="13.8">
      <c r="W58" s="1074"/>
      <c r="X58" s="1075"/>
      <c r="Y58" s="1076"/>
    </row>
    <row r="59" spans="2:25" s="923" customFormat="1" ht="13.8">
      <c r="W59" s="1074"/>
      <c r="X59" s="1075"/>
      <c r="Y59" s="1076"/>
    </row>
    <row r="60" spans="2:25" s="923" customFormat="1" ht="13.8">
      <c r="W60" s="1074"/>
      <c r="X60" s="1075"/>
      <c r="Y60" s="1076"/>
    </row>
    <row r="61" spans="2:25" s="923" customFormat="1" ht="13.8">
      <c r="W61" s="1074"/>
      <c r="X61" s="1075"/>
      <c r="Y61" s="1076"/>
    </row>
    <row r="62" spans="2:25" s="923" customFormat="1" ht="13.8">
      <c r="W62" s="1074"/>
      <c r="X62" s="1075"/>
      <c r="Y62" s="1076"/>
    </row>
    <row r="63" spans="2:25" s="923" customFormat="1" ht="13.8">
      <c r="W63" s="1074"/>
      <c r="X63" s="1075"/>
      <c r="Y63" s="1076"/>
    </row>
    <row r="64" spans="2:25" s="923" customFormat="1" ht="13.8">
      <c r="W64" s="1074"/>
      <c r="X64" s="1075"/>
      <c r="Y64" s="1076"/>
    </row>
    <row r="65" spans="23:25" s="923" customFormat="1" ht="13.8">
      <c r="W65" s="1074"/>
      <c r="X65" s="1075"/>
      <c r="Y65" s="1076"/>
    </row>
    <row r="66" spans="23:25" s="923" customFormat="1" ht="13.8">
      <c r="W66" s="1074"/>
      <c r="X66" s="1075"/>
      <c r="Y66" s="1076"/>
    </row>
    <row r="67" spans="23:25" s="923" customFormat="1" ht="13.8">
      <c r="W67" s="1074"/>
      <c r="X67" s="1075"/>
      <c r="Y67" s="1076"/>
    </row>
    <row r="68" spans="23:25" s="923" customFormat="1" ht="13.8">
      <c r="W68" s="1074"/>
      <c r="X68" s="1075"/>
      <c r="Y68" s="1076"/>
    </row>
    <row r="69" spans="23:25" s="923" customFormat="1" ht="13.8">
      <c r="W69" s="1074"/>
      <c r="X69" s="1075"/>
      <c r="Y69" s="1076"/>
    </row>
    <row r="70" spans="23:25" s="923" customFormat="1" ht="13.8">
      <c r="W70" s="1074"/>
      <c r="X70" s="1075"/>
      <c r="Y70" s="1076"/>
    </row>
    <row r="71" spans="23:25" s="923" customFormat="1" ht="13.8">
      <c r="W71" s="1074"/>
      <c r="X71" s="1075"/>
      <c r="Y71" s="1076"/>
    </row>
    <row r="72" spans="23:25" s="923" customFormat="1" ht="13.8">
      <c r="W72" s="1074"/>
      <c r="X72" s="1075"/>
      <c r="Y72" s="1076"/>
    </row>
    <row r="73" spans="23:25" s="923" customFormat="1" ht="13.8">
      <c r="W73" s="1074"/>
      <c r="X73" s="1075"/>
      <c r="Y73" s="1076"/>
    </row>
    <row r="74" spans="23:25" s="923" customFormat="1" ht="13.8">
      <c r="W74" s="1074"/>
      <c r="X74" s="1075"/>
      <c r="Y74" s="1076"/>
    </row>
    <row r="75" spans="23:25" s="923" customFormat="1" ht="13.8">
      <c r="W75" s="1074"/>
      <c r="X75" s="1075"/>
      <c r="Y75" s="1076"/>
    </row>
    <row r="76" spans="23:25" s="923" customFormat="1" ht="13.8">
      <c r="W76" s="1074"/>
      <c r="X76" s="1075"/>
      <c r="Y76" s="1076"/>
    </row>
    <row r="77" spans="23:25" s="923" customFormat="1" ht="13.8">
      <c r="W77" s="1074"/>
      <c r="X77" s="1075"/>
      <c r="Y77" s="1076"/>
    </row>
    <row r="78" spans="23:25" s="923" customFormat="1" ht="13.8">
      <c r="W78" s="1074"/>
      <c r="X78" s="1075"/>
      <c r="Y78" s="1076"/>
    </row>
    <row r="79" spans="23:25" s="923" customFormat="1" ht="13.8">
      <c r="W79" s="1074"/>
      <c r="X79" s="1075"/>
      <c r="Y79" s="1076"/>
    </row>
    <row r="80" spans="23:25" s="923" customFormat="1" ht="13.8">
      <c r="W80" s="1074"/>
      <c r="X80" s="1075"/>
      <c r="Y80" s="1076"/>
    </row>
    <row r="81" spans="23:25" s="923" customFormat="1" ht="13.8">
      <c r="W81" s="1074"/>
      <c r="X81" s="1075"/>
      <c r="Y81" s="1076"/>
    </row>
    <row r="82" spans="23:25" s="923" customFormat="1" ht="13.8">
      <c r="W82" s="1074"/>
      <c r="X82" s="1075"/>
      <c r="Y82" s="1076"/>
    </row>
    <row r="83" spans="23:25" s="923" customFormat="1" ht="13.8">
      <c r="W83" s="1074"/>
      <c r="X83" s="1075"/>
      <c r="Y83" s="1076"/>
    </row>
    <row r="84" spans="23:25" s="923" customFormat="1" ht="13.8">
      <c r="W84" s="1074"/>
      <c r="X84" s="1075"/>
      <c r="Y84" s="1076"/>
    </row>
    <row r="85" spans="23:25" s="923" customFormat="1" ht="13.8">
      <c r="W85" s="1074"/>
      <c r="X85" s="1075"/>
      <c r="Y85" s="1076"/>
    </row>
    <row r="86" spans="23:25" s="923" customFormat="1" ht="13.8">
      <c r="W86" s="1074"/>
      <c r="X86" s="1075"/>
      <c r="Y86" s="1076"/>
    </row>
    <row r="87" spans="23:25" s="923" customFormat="1" ht="13.8">
      <c r="W87" s="1074"/>
      <c r="X87" s="1075"/>
      <c r="Y87" s="1076"/>
    </row>
    <row r="88" spans="23:25" s="923" customFormat="1" ht="13.8">
      <c r="W88" s="1074"/>
      <c r="X88" s="1075"/>
      <c r="Y88" s="1076"/>
    </row>
    <row r="89" spans="23:25" s="923" customFormat="1" ht="13.8">
      <c r="W89" s="1074"/>
      <c r="X89" s="1075"/>
      <c r="Y89" s="1076"/>
    </row>
    <row r="90" spans="23:25" s="923" customFormat="1" ht="13.8">
      <c r="W90" s="1074"/>
      <c r="X90" s="1075"/>
      <c r="Y90" s="1076"/>
    </row>
    <row r="91" spans="23:25" s="923" customFormat="1" ht="13.8">
      <c r="W91" s="1074"/>
      <c r="X91" s="1075"/>
      <c r="Y91" s="1076"/>
    </row>
    <row r="92" spans="23:25" s="923" customFormat="1" ht="13.8">
      <c r="W92" s="1074"/>
      <c r="X92" s="1075"/>
      <c r="Y92" s="1076"/>
    </row>
    <row r="93" spans="23:25" s="923" customFormat="1" ht="13.8">
      <c r="W93" s="1074"/>
      <c r="X93" s="1075"/>
      <c r="Y93" s="1076"/>
    </row>
    <row r="94" spans="23:25" s="923" customFormat="1" ht="13.8">
      <c r="W94" s="1074"/>
      <c r="X94" s="1075"/>
      <c r="Y94" s="1076"/>
    </row>
    <row r="95" spans="23:25" s="923" customFormat="1" ht="13.8">
      <c r="W95" s="1074"/>
      <c r="X95" s="1075"/>
      <c r="Y95" s="1076"/>
    </row>
    <row r="96" spans="23:25" s="923" customFormat="1" ht="13.8">
      <c r="W96" s="1074"/>
      <c r="X96" s="1075"/>
      <c r="Y96" s="1076"/>
    </row>
    <row r="97" spans="23:25" s="923" customFormat="1" ht="13.8">
      <c r="W97" s="1074"/>
      <c r="X97" s="1075"/>
      <c r="Y97" s="1076"/>
    </row>
    <row r="98" spans="23:25" s="923" customFormat="1" ht="13.8">
      <c r="W98" s="1074"/>
      <c r="X98" s="1075"/>
      <c r="Y98" s="1076"/>
    </row>
    <row r="99" spans="23:25" s="923" customFormat="1" ht="13.8">
      <c r="W99" s="1074"/>
      <c r="X99" s="1075"/>
      <c r="Y99" s="1076"/>
    </row>
    <row r="100" spans="23:25" s="923" customFormat="1" ht="13.8">
      <c r="W100" s="1074"/>
      <c r="X100" s="1075"/>
      <c r="Y100" s="1076"/>
    </row>
    <row r="101" spans="23:25" s="923" customFormat="1" ht="13.8">
      <c r="W101" s="1074"/>
      <c r="X101" s="1075"/>
      <c r="Y101" s="1076"/>
    </row>
    <row r="102" spans="23:25" s="923" customFormat="1" ht="13.8">
      <c r="W102" s="1074"/>
      <c r="X102" s="1075"/>
      <c r="Y102" s="1076"/>
    </row>
    <row r="103" spans="23:25" s="923" customFormat="1" ht="13.8">
      <c r="W103" s="1074"/>
      <c r="X103" s="1075"/>
      <c r="Y103" s="1076"/>
    </row>
    <row r="104" spans="23:25" s="923" customFormat="1" ht="13.8">
      <c r="W104" s="1074"/>
      <c r="X104" s="1075"/>
      <c r="Y104" s="1076"/>
    </row>
    <row r="105" spans="23:25" s="923" customFormat="1" ht="13.8">
      <c r="W105" s="1074"/>
      <c r="X105" s="1075"/>
      <c r="Y105" s="1076"/>
    </row>
    <row r="106" spans="23:25" s="923" customFormat="1" ht="13.8">
      <c r="W106" s="1074"/>
      <c r="X106" s="1075"/>
      <c r="Y106" s="1076"/>
    </row>
    <row r="107" spans="23:25" s="923" customFormat="1" ht="13.8">
      <c r="W107" s="1074"/>
      <c r="X107" s="1075"/>
      <c r="Y107" s="1076"/>
    </row>
    <row r="108" spans="23:25" s="923" customFormat="1" ht="13.8">
      <c r="W108" s="1074"/>
      <c r="X108" s="1075"/>
      <c r="Y108" s="1076"/>
    </row>
    <row r="109" spans="23:25" s="923" customFormat="1" ht="13.8">
      <c r="W109" s="1074"/>
      <c r="X109" s="1075"/>
      <c r="Y109" s="1076"/>
    </row>
    <row r="110" spans="23:25" s="923" customFormat="1" ht="13.8">
      <c r="W110" s="1074"/>
      <c r="X110" s="1075"/>
      <c r="Y110" s="1076"/>
    </row>
    <row r="111" spans="23:25" s="923" customFormat="1" ht="13.8">
      <c r="W111" s="1074"/>
      <c r="X111" s="1075"/>
      <c r="Y111" s="1076"/>
    </row>
    <row r="112" spans="23:25" s="923" customFormat="1" ht="13.8">
      <c r="W112" s="1074"/>
      <c r="X112" s="1075"/>
      <c r="Y112" s="1076"/>
    </row>
    <row r="113" spans="23:25" s="923" customFormat="1" ht="13.8">
      <c r="W113" s="1074"/>
      <c r="X113" s="1075"/>
      <c r="Y113" s="1076"/>
    </row>
    <row r="114" spans="23:25" s="923" customFormat="1" ht="13.8">
      <c r="W114" s="1074"/>
      <c r="X114" s="1075"/>
      <c r="Y114" s="1076"/>
    </row>
    <row r="115" spans="23:25" s="923" customFormat="1" ht="13.8">
      <c r="W115" s="1074"/>
      <c r="X115" s="1075"/>
      <c r="Y115" s="1076"/>
    </row>
    <row r="116" spans="23:25" s="923" customFormat="1" ht="13.8">
      <c r="W116" s="1074"/>
      <c r="X116" s="1075"/>
      <c r="Y116" s="1076"/>
    </row>
    <row r="117" spans="23:25" s="923" customFormat="1" ht="13.8">
      <c r="W117" s="1074"/>
      <c r="X117" s="1075"/>
      <c r="Y117" s="1076"/>
    </row>
    <row r="118" spans="23:25" s="923" customFormat="1" ht="13.8">
      <c r="W118" s="1074"/>
      <c r="X118" s="1075"/>
      <c r="Y118" s="1076"/>
    </row>
    <row r="119" spans="23:25" s="923" customFormat="1" ht="13.8">
      <c r="W119" s="1074"/>
      <c r="X119" s="1075"/>
      <c r="Y119" s="1076"/>
    </row>
    <row r="120" spans="23:25" s="923" customFormat="1" ht="13.8">
      <c r="W120" s="1074"/>
      <c r="X120" s="1075"/>
      <c r="Y120" s="1076"/>
    </row>
    <row r="121" spans="23:25" s="923" customFormat="1" ht="13.8">
      <c r="W121" s="1074"/>
      <c r="X121" s="1075"/>
      <c r="Y121" s="1076"/>
    </row>
    <row r="122" spans="23:25" s="923" customFormat="1" ht="13.8">
      <c r="W122" s="1074"/>
      <c r="X122" s="1075"/>
      <c r="Y122" s="1076"/>
    </row>
    <row r="123" spans="23:25" s="923" customFormat="1" ht="13.8">
      <c r="W123" s="1074"/>
      <c r="X123" s="1075"/>
      <c r="Y123" s="1076"/>
    </row>
    <row r="124" spans="23:25" s="923" customFormat="1" ht="13.8">
      <c r="W124" s="1074"/>
      <c r="X124" s="1075"/>
      <c r="Y124" s="1076"/>
    </row>
    <row r="125" spans="23:25" s="923" customFormat="1" ht="13.8">
      <c r="W125" s="1074"/>
      <c r="X125" s="1075"/>
      <c r="Y125" s="1076"/>
    </row>
    <row r="126" spans="23:25" s="923" customFormat="1" ht="13.8">
      <c r="W126" s="1074"/>
      <c r="X126" s="1075"/>
      <c r="Y126" s="1076"/>
    </row>
    <row r="127" spans="23:25" s="923" customFormat="1" ht="13.8">
      <c r="W127" s="1074"/>
      <c r="X127" s="1075"/>
      <c r="Y127" s="1076"/>
    </row>
    <row r="128" spans="23:25" s="923" customFormat="1" ht="13.8">
      <c r="W128" s="1074"/>
      <c r="X128" s="1075"/>
      <c r="Y128" s="1076"/>
    </row>
    <row r="129" spans="23:25" s="923" customFormat="1" ht="13.8">
      <c r="W129" s="1074"/>
      <c r="X129" s="1075"/>
      <c r="Y129" s="1076"/>
    </row>
    <row r="130" spans="23:25" s="923" customFormat="1" ht="13.8">
      <c r="W130" s="1074"/>
      <c r="X130" s="1075"/>
      <c r="Y130" s="1076"/>
    </row>
    <row r="131" spans="23:25" s="923" customFormat="1" ht="13.8">
      <c r="W131" s="1074"/>
      <c r="X131" s="1075"/>
      <c r="Y131" s="1076"/>
    </row>
    <row r="132" spans="23:25" s="923" customFormat="1" ht="13.8">
      <c r="W132" s="1074"/>
      <c r="X132" s="1075"/>
      <c r="Y132" s="1076"/>
    </row>
    <row r="133" spans="23:25" s="923" customFormat="1" ht="13.8">
      <c r="W133" s="1074"/>
      <c r="X133" s="1075"/>
      <c r="Y133" s="1076"/>
    </row>
    <row r="134" spans="23:25" s="923" customFormat="1" ht="13.8">
      <c r="W134" s="1074"/>
      <c r="X134" s="1075"/>
      <c r="Y134" s="1076"/>
    </row>
    <row r="135" spans="23:25" s="923" customFormat="1" ht="13.8">
      <c r="W135" s="1074"/>
      <c r="X135" s="1075"/>
      <c r="Y135" s="1076"/>
    </row>
    <row r="136" spans="23:25" s="923" customFormat="1" ht="13.8">
      <c r="W136" s="1074"/>
      <c r="X136" s="1075"/>
      <c r="Y136" s="1076"/>
    </row>
    <row r="137" spans="23:25" s="923" customFormat="1" ht="13.8">
      <c r="W137" s="1074"/>
      <c r="X137" s="1075"/>
      <c r="Y137" s="1076"/>
    </row>
    <row r="138" spans="23:25" s="923" customFormat="1" ht="13.8">
      <c r="W138" s="1074"/>
      <c r="X138" s="1075"/>
      <c r="Y138" s="1076"/>
    </row>
    <row r="139" spans="23:25" s="923" customFormat="1" ht="13.8">
      <c r="W139" s="1074"/>
      <c r="X139" s="1075"/>
      <c r="Y139" s="1076"/>
    </row>
    <row r="140" spans="23:25" s="923" customFormat="1" ht="13.8">
      <c r="W140" s="1074"/>
      <c r="X140" s="1075"/>
      <c r="Y140" s="1076"/>
    </row>
    <row r="141" spans="23:25" s="923" customFormat="1" ht="13.8">
      <c r="W141" s="1074"/>
      <c r="X141" s="1075"/>
      <c r="Y141" s="1076"/>
    </row>
    <row r="142" spans="23:25" s="923" customFormat="1" ht="13.8">
      <c r="W142" s="1074"/>
      <c r="X142" s="1075"/>
      <c r="Y142" s="1076"/>
    </row>
    <row r="143" spans="23:25" s="923" customFormat="1" ht="13.8">
      <c r="W143" s="1074"/>
      <c r="X143" s="1075"/>
      <c r="Y143" s="1076"/>
    </row>
    <row r="144" spans="23:25" s="923" customFormat="1" ht="13.8">
      <c r="W144" s="1074"/>
      <c r="X144" s="1075"/>
      <c r="Y144" s="1076"/>
    </row>
    <row r="145" spans="23:25" s="923" customFormat="1" ht="13.8">
      <c r="W145" s="1074"/>
      <c r="X145" s="1075"/>
      <c r="Y145" s="1076"/>
    </row>
    <row r="146" spans="23:25" s="923" customFormat="1" ht="13.8">
      <c r="W146" s="1074"/>
      <c r="X146" s="1075"/>
      <c r="Y146" s="1076"/>
    </row>
    <row r="147" spans="23:25" s="923" customFormat="1" ht="13.8">
      <c r="W147" s="1074"/>
      <c r="X147" s="1075"/>
      <c r="Y147" s="1076"/>
    </row>
    <row r="148" spans="23:25" s="923" customFormat="1" ht="13.8">
      <c r="W148" s="1074"/>
      <c r="X148" s="1075"/>
      <c r="Y148" s="1076"/>
    </row>
    <row r="149" spans="23:25" s="923" customFormat="1" ht="13.8">
      <c r="W149" s="1074"/>
      <c r="X149" s="1075"/>
      <c r="Y149" s="1076"/>
    </row>
    <row r="150" spans="23:25" s="923" customFormat="1" ht="13.8">
      <c r="W150" s="1074"/>
      <c r="X150" s="1075"/>
      <c r="Y150" s="1076"/>
    </row>
    <row r="151" spans="23:25" s="923" customFormat="1" ht="13.8">
      <c r="W151" s="1074"/>
      <c r="X151" s="1075"/>
      <c r="Y151" s="1076"/>
    </row>
    <row r="152" spans="23:25" s="923" customFormat="1" ht="13.8">
      <c r="W152" s="1074"/>
      <c r="X152" s="1075"/>
      <c r="Y152" s="1076"/>
    </row>
    <row r="153" spans="23:25" s="923" customFormat="1" ht="13.8">
      <c r="W153" s="1074"/>
      <c r="X153" s="1075"/>
      <c r="Y153" s="1076"/>
    </row>
    <row r="154" spans="23:25" s="923" customFormat="1" ht="13.8">
      <c r="W154" s="1074"/>
      <c r="X154" s="1075"/>
      <c r="Y154" s="1076"/>
    </row>
    <row r="155" spans="23:25" s="923" customFormat="1" ht="13.8">
      <c r="W155" s="1074"/>
      <c r="X155" s="1075"/>
      <c r="Y155" s="1076"/>
    </row>
    <row r="156" spans="23:25" s="923" customFormat="1" ht="13.8">
      <c r="W156" s="1074"/>
      <c r="X156" s="1075"/>
      <c r="Y156" s="1076"/>
    </row>
    <row r="157" spans="23:25" s="923" customFormat="1" ht="13.8">
      <c r="W157" s="1074"/>
      <c r="X157" s="1075"/>
      <c r="Y157" s="1076"/>
    </row>
    <row r="158" spans="23:25" s="923" customFormat="1" ht="13.8">
      <c r="W158" s="1074"/>
      <c r="X158" s="1075"/>
      <c r="Y158" s="1076"/>
    </row>
    <row r="159" spans="23:25" s="923" customFormat="1" ht="13.8">
      <c r="W159" s="1074"/>
      <c r="X159" s="1075"/>
      <c r="Y159" s="1076"/>
    </row>
    <row r="160" spans="23:25" s="923" customFormat="1" ht="13.8">
      <c r="W160" s="1074"/>
      <c r="X160" s="1075"/>
      <c r="Y160" s="1076"/>
    </row>
    <row r="161" spans="23:25" s="923" customFormat="1" ht="13.8">
      <c r="W161" s="1074"/>
      <c r="X161" s="1075"/>
      <c r="Y161" s="1076"/>
    </row>
    <row r="162" spans="23:25" s="923" customFormat="1" ht="13.8">
      <c r="W162" s="1074"/>
      <c r="X162" s="1075"/>
      <c r="Y162" s="1076"/>
    </row>
    <row r="163" spans="23:25" s="923" customFormat="1" ht="13.8">
      <c r="W163" s="1074"/>
      <c r="X163" s="1075"/>
      <c r="Y163" s="1076"/>
    </row>
    <row r="164" spans="23:25" s="923" customFormat="1" ht="13.8">
      <c r="W164" s="1074"/>
      <c r="X164" s="1075"/>
      <c r="Y164" s="1076"/>
    </row>
    <row r="165" spans="23:25" s="923" customFormat="1" ht="13.8">
      <c r="W165" s="1074"/>
      <c r="X165" s="1075"/>
      <c r="Y165" s="1076"/>
    </row>
    <row r="166" spans="23:25" s="923" customFormat="1" ht="13.8">
      <c r="W166" s="1074"/>
      <c r="X166" s="1075"/>
      <c r="Y166" s="1076"/>
    </row>
    <row r="167" spans="23:25" s="923" customFormat="1" ht="13.8">
      <c r="W167" s="1074"/>
      <c r="X167" s="1075"/>
      <c r="Y167" s="1076"/>
    </row>
    <row r="168" spans="23:25" s="923" customFormat="1" ht="13.8">
      <c r="W168" s="1074"/>
      <c r="X168" s="1075"/>
      <c r="Y168" s="1076"/>
    </row>
    <row r="169" spans="23:25" s="923" customFormat="1" ht="13.8">
      <c r="W169" s="1074"/>
      <c r="X169" s="1075"/>
      <c r="Y169" s="1076"/>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7"/>
    <col min="3" max="3" width="10.54296875" style="1077" customWidth="1"/>
    <col min="4" max="4" width="11.81640625" style="1077" customWidth="1"/>
    <col min="5" max="6" width="17.1796875" style="1077" customWidth="1"/>
    <col min="7" max="7" width="17.1796875" style="1079" customWidth="1"/>
    <col min="8" max="8" width="17.1796875" style="1077" customWidth="1"/>
    <col min="9" max="9" width="11.90625" style="1077" customWidth="1"/>
    <col min="10" max="10" width="10.54296875" style="1079" customWidth="1"/>
    <col min="11" max="11" width="12.08984375" style="1077" bestFit="1" customWidth="1"/>
    <col min="12" max="12" width="15.90625" style="1077" customWidth="1"/>
    <col min="13" max="13" width="13.36328125" style="1077" customWidth="1"/>
    <col min="14" max="14" width="12.81640625" style="1077" bestFit="1" customWidth="1"/>
    <col min="15" max="15" width="10.54296875" style="1077" bestFit="1" customWidth="1"/>
    <col min="16" max="16" width="11" style="1077" customWidth="1"/>
    <col min="17" max="17" width="11.54296875" style="1077" customWidth="1"/>
    <col min="18" max="18" width="13.90625" style="1079" customWidth="1"/>
    <col min="19" max="19" width="14.6328125" style="1077" customWidth="1"/>
    <col min="20" max="20" width="18.90625" style="1080" customWidth="1"/>
    <col min="21" max="21" width="15.36328125" style="1077" customWidth="1"/>
    <col min="22" max="16384" width="8.90625" style="1077"/>
  </cols>
  <sheetData>
    <row r="4" spans="4:22" ht="13.8">
      <c r="D4" s="1844" t="s">
        <v>1724</v>
      </c>
      <c r="E4" s="1844"/>
      <c r="F4" s="1844"/>
      <c r="G4" s="1844"/>
      <c r="H4" s="1844"/>
      <c r="I4" s="1844"/>
      <c r="J4" s="1844"/>
      <c r="K4" s="1844"/>
      <c r="L4" s="1844"/>
      <c r="M4" s="1844"/>
      <c r="N4" s="1844"/>
      <c r="O4" s="1844"/>
      <c r="P4" s="1844"/>
      <c r="Q4" s="1844"/>
      <c r="R4" s="1844"/>
      <c r="S4" s="756"/>
      <c r="T4" s="1078"/>
      <c r="U4" s="755"/>
      <c r="V4" s="755"/>
    </row>
    <row r="5" spans="4:22" ht="13.8" thickBot="1"/>
    <row r="6" spans="4:22" ht="13.8" thickTop="1">
      <c r="D6" s="1033"/>
      <c r="E6" s="1082"/>
      <c r="F6" s="1082"/>
      <c r="G6" s="1083"/>
      <c r="H6" s="1082"/>
      <c r="I6" s="1082"/>
      <c r="J6" s="1084"/>
      <c r="K6" s="1085"/>
      <c r="L6" s="1086"/>
      <c r="M6" s="1081"/>
      <c r="N6" s="1082"/>
      <c r="O6" s="1085"/>
      <c r="P6" s="1086"/>
      <c r="Q6" s="1086"/>
      <c r="R6" s="1087"/>
    </row>
    <row r="7" spans="4:22" ht="14.4" thickBot="1">
      <c r="D7" s="1088"/>
      <c r="E7" s="1826"/>
      <c r="F7" s="1826"/>
      <c r="G7" s="1826"/>
      <c r="H7" s="1826"/>
      <c r="I7" s="1826"/>
      <c r="J7" s="1843"/>
      <c r="K7" s="1089" t="s">
        <v>1694</v>
      </c>
      <c r="L7" s="1089" t="s">
        <v>1169</v>
      </c>
      <c r="M7" s="1825" t="s">
        <v>1166</v>
      </c>
      <c r="N7" s="1826"/>
      <c r="O7" s="1843"/>
      <c r="P7" s="1045" t="s">
        <v>39</v>
      </c>
      <c r="Q7" s="1045" t="s">
        <v>31</v>
      </c>
      <c r="R7" s="1045" t="s">
        <v>37</v>
      </c>
    </row>
    <row r="8" spans="4:22" ht="15" thickTop="1" thickBot="1">
      <c r="D8" s="1090"/>
      <c r="E8" s="1041"/>
      <c r="F8" s="1041"/>
      <c r="G8" s="1092"/>
      <c r="H8" s="1041"/>
      <c r="I8" s="1041"/>
      <c r="J8" s="1093"/>
      <c r="K8" s="1048"/>
      <c r="L8" s="1042"/>
      <c r="M8" s="1044"/>
      <c r="N8" s="1041"/>
      <c r="O8" s="1052"/>
      <c r="P8" s="1045" t="s">
        <v>45</v>
      </c>
      <c r="Q8" s="1045" t="s">
        <v>1167</v>
      </c>
      <c r="R8" s="1045"/>
    </row>
    <row r="9" spans="4:22" ht="14.4" thickTop="1">
      <c r="D9" s="1094" t="s">
        <v>32</v>
      </c>
      <c r="E9" s="1042" t="s">
        <v>1007</v>
      </c>
      <c r="F9" s="1042" t="s">
        <v>1713</v>
      </c>
      <c r="G9" s="1045" t="s">
        <v>1714</v>
      </c>
      <c r="H9" s="1095" t="s">
        <v>1715</v>
      </c>
      <c r="I9" s="1042" t="s">
        <v>1716</v>
      </c>
      <c r="J9" s="1045" t="s">
        <v>37</v>
      </c>
      <c r="K9" s="1042"/>
      <c r="L9" s="1042"/>
      <c r="M9" s="1046" t="s">
        <v>1005</v>
      </c>
      <c r="N9" s="1046" t="s">
        <v>1699</v>
      </c>
      <c r="O9" s="1042" t="s">
        <v>1717</v>
      </c>
      <c r="P9" s="1045" t="s">
        <v>1008</v>
      </c>
      <c r="Q9" s="1042"/>
      <c r="R9" s="1045"/>
    </row>
    <row r="10" spans="4:22" ht="13.8">
      <c r="D10" s="1090"/>
      <c r="E10" s="1042"/>
      <c r="F10" s="1042"/>
      <c r="G10" s="1045" t="s">
        <v>1718</v>
      </c>
      <c r="H10" s="1042" t="s">
        <v>1706</v>
      </c>
      <c r="I10" s="1042"/>
      <c r="J10" s="1045"/>
      <c r="K10" s="1042"/>
      <c r="L10" s="1042"/>
      <c r="M10" s="1042"/>
      <c r="N10" s="1042" t="s">
        <v>1719</v>
      </c>
      <c r="O10" s="1042" t="s">
        <v>1719</v>
      </c>
      <c r="P10" s="1042"/>
      <c r="Q10" s="1042"/>
      <c r="R10" s="1045"/>
    </row>
    <row r="11" spans="4:22" ht="13.8">
      <c r="D11" s="1090"/>
      <c r="E11" s="1042"/>
      <c r="F11" s="1042"/>
      <c r="G11" s="1045"/>
      <c r="H11" s="1042"/>
      <c r="I11" s="1042"/>
      <c r="J11" s="1045"/>
      <c r="K11" s="1042"/>
      <c r="L11" s="1042"/>
      <c r="M11" s="1042"/>
      <c r="N11" s="1042"/>
      <c r="O11" s="1042"/>
      <c r="P11" s="1042"/>
      <c r="Q11" s="1042"/>
      <c r="R11" s="1045"/>
    </row>
    <row r="12" spans="4:22" ht="14.4" thickBot="1">
      <c r="D12" s="1090"/>
      <c r="E12" s="1051"/>
      <c r="F12" s="1051"/>
      <c r="G12" s="1097"/>
      <c r="H12" s="1051"/>
      <c r="I12" s="1051"/>
      <c r="J12" s="1097"/>
      <c r="K12" s="1051"/>
      <c r="L12" s="1051"/>
      <c r="M12" s="1051"/>
      <c r="N12" s="1051"/>
      <c r="O12" s="1051"/>
      <c r="P12" s="1051"/>
      <c r="Q12" s="1051"/>
      <c r="R12" s="1097"/>
    </row>
    <row r="13" spans="4:22" ht="14.4" thickTop="1">
      <c r="D13" s="1098"/>
      <c r="E13" s="1043"/>
      <c r="F13" s="1043"/>
      <c r="G13" s="1099"/>
      <c r="H13" s="1043"/>
      <c r="I13" s="1043"/>
      <c r="J13" s="1099"/>
      <c r="K13" s="1043"/>
      <c r="L13" s="1043"/>
      <c r="M13" s="1043"/>
      <c r="N13" s="1043"/>
      <c r="O13" s="1043"/>
      <c r="P13" s="1043"/>
      <c r="Q13" s="1043"/>
      <c r="R13" s="1099"/>
      <c r="T13" s="1100" t="s">
        <v>1720</v>
      </c>
    </row>
    <row r="14" spans="4:22" ht="13.8">
      <c r="D14" s="1101">
        <v>2015</v>
      </c>
      <c r="E14" s="1043"/>
      <c r="F14" s="1043"/>
      <c r="G14" s="1099"/>
      <c r="H14" s="1043"/>
      <c r="I14" s="1043"/>
      <c r="J14" s="1099"/>
      <c r="K14" s="1043"/>
      <c r="L14" s="1043"/>
      <c r="M14" s="1043"/>
      <c r="N14" s="1043"/>
      <c r="O14" s="1043"/>
      <c r="P14" s="1043"/>
      <c r="Q14" s="1043"/>
      <c r="R14" s="1043"/>
      <c r="T14" s="1102"/>
      <c r="U14" s="1103"/>
    </row>
    <row r="15" spans="4:22" ht="13.8">
      <c r="D15" s="1104" t="s">
        <v>1170</v>
      </c>
      <c r="E15" s="1059">
        <f>('Input POSB Liabilities'!C7-'Input POSB Liabilities'!G7-'Input POSB Liabilities'!H7-'Input POSB Liabilities'!J7)/1000000</f>
        <v>70.144769999999994</v>
      </c>
      <c r="F15" s="1059">
        <f>('Input POSB Liabilities'!O7-'Input POSB Liabilities'!Y7-'Input POSB Liabilities'!AC7-'Input POSB Liabilities'!AK7)/1000000</f>
        <v>13.74011</v>
      </c>
      <c r="G15" s="1136">
        <f>SUM(E15:F15)</f>
        <v>83.884879999999995</v>
      </c>
      <c r="H15" s="1061">
        <f>('Input POSB Liabilities'!G7+'Input POSB Liabilities'!I7+'Input POSB Liabilities'!Y7+'Input POSB Liabilities'!AC7)/1000000</f>
        <v>0</v>
      </c>
      <c r="I15" s="1059">
        <f>('Input POSB Liabilities'!J7+'Input POSB Liabilities'!AK7)/1000000</f>
        <v>2.3986610000000002</v>
      </c>
      <c r="J15" s="1061">
        <f>SUM(G15:I15)</f>
        <v>86.283541</v>
      </c>
      <c r="K15" s="1059">
        <f>'Input POSB Liabilities'!BX7/1000000</f>
        <v>0</v>
      </c>
      <c r="L15" s="1059">
        <f>'Input POSB Liabilities'!DA7/1000000</f>
        <v>0</v>
      </c>
      <c r="M15" s="1059">
        <v>0</v>
      </c>
      <c r="N15" s="1059">
        <f>('Input POSB Liabilities'!CD7+'Input POSB Liabilities'!CQ7)/1000000</f>
        <v>0</v>
      </c>
      <c r="O15" s="1059">
        <f>('Input POSB Liabilities'!CY7)/1000000</f>
        <v>2.391375</v>
      </c>
      <c r="P15" s="1059">
        <f>'Input POSB Liabilities'!DH7/1000000</f>
        <v>13.646174</v>
      </c>
      <c r="Q15" s="1059">
        <f>'Input POSB Liabilities'!DN7/1000000</f>
        <v>5.6404565199999954</v>
      </c>
      <c r="R15" s="1106">
        <f>SUM(J15:Q15)</f>
        <v>107.96154652</v>
      </c>
      <c r="T15" s="1107">
        <f>R15-'Input POSB Liabilities'!DQ7/1000000</f>
        <v>0</v>
      </c>
    </row>
    <row r="16" spans="4:22" ht="13.8">
      <c r="D16" s="1104" t="s">
        <v>1172</v>
      </c>
      <c r="E16" s="1059">
        <f>('Input POSB Liabilities'!C8-'Input POSB Liabilities'!G8-'Input POSB Liabilities'!H8-'Input POSB Liabilities'!J8)/1000000</f>
        <v>72.839135999999996</v>
      </c>
      <c r="F16" s="1059">
        <f>('Input POSB Liabilities'!O8-'Input POSB Liabilities'!Y8-'Input POSB Liabilities'!AC8-'Input POSB Liabilities'!AK8)/1000000</f>
        <v>15.108888</v>
      </c>
      <c r="G16" s="1136">
        <f t="shared" ref="G16:G41" si="0">SUM(E16:F16)</f>
        <v>87.948024000000004</v>
      </c>
      <c r="H16" s="1061">
        <f>('Input POSB Liabilities'!G8+'Input POSB Liabilities'!I8+'Input POSB Liabilities'!Y8+'Input POSB Liabilities'!AC8)/1000000</f>
        <v>0</v>
      </c>
      <c r="I16" s="1059">
        <f>('Input POSB Liabilities'!J8+'Input POSB Liabilities'!AK8)/1000000</f>
        <v>2.410917</v>
      </c>
      <c r="J16" s="1061">
        <f t="shared" ref="J16:J41" si="1">SUM(G16:I16)</f>
        <v>90.358941000000002</v>
      </c>
      <c r="K16" s="1059">
        <f>'Input POSB Liabilities'!BX8/1000000</f>
        <v>0</v>
      </c>
      <c r="L16" s="1059">
        <f>'Input POSB Liabilities'!DA8/1000000</f>
        <v>0</v>
      </c>
      <c r="M16" s="1059">
        <v>0</v>
      </c>
      <c r="N16" s="1059">
        <f>('Input POSB Liabilities'!CD8+'Input POSB Liabilities'!CQ8)/1000000</f>
        <v>0</v>
      </c>
      <c r="O16" s="1059">
        <f>('Input POSB Liabilities'!CY8)/1000000</f>
        <v>2.2241089999999999</v>
      </c>
      <c r="P16" s="1059">
        <f>'Input POSB Liabilities'!DH8/1000000</f>
        <v>14.200556199999999</v>
      </c>
      <c r="Q16" s="1059">
        <f>'Input POSB Liabilities'!DN8/1000000</f>
        <v>6.3393299500000033</v>
      </c>
      <c r="R16" s="1106">
        <f t="shared" ref="R16:R41" si="2">SUM(J16:Q16)</f>
        <v>113.12293615</v>
      </c>
      <c r="T16" s="1107">
        <f>R16-'Input POSB Liabilities'!DQ8/1000000</f>
        <v>0</v>
      </c>
    </row>
    <row r="17" spans="4:20" ht="13.8">
      <c r="D17" s="1104" t="s">
        <v>1173</v>
      </c>
      <c r="E17" s="1059">
        <f>('Input POSB Liabilities'!C9-'Input POSB Liabilities'!G9-'Input POSB Liabilities'!H9-'Input POSB Liabilities'!J9)/1000000</f>
        <v>75.993376999999995</v>
      </c>
      <c r="F17" s="1059">
        <f>('Input POSB Liabilities'!O9-'Input POSB Liabilities'!Y9-'Input POSB Liabilities'!AC9-'Input POSB Liabilities'!AK9)/1000000</f>
        <v>15.179594</v>
      </c>
      <c r="G17" s="1136">
        <f t="shared" si="0"/>
        <v>91.17297099999999</v>
      </c>
      <c r="H17" s="1061">
        <f>('Input POSB Liabilities'!G9+'Input POSB Liabilities'!I9+'Input POSB Liabilities'!Y9+'Input POSB Liabilities'!AC9)/1000000</f>
        <v>0</v>
      </c>
      <c r="I17" s="1059">
        <f>('Input POSB Liabilities'!J9+'Input POSB Liabilities'!AK9)/1000000</f>
        <v>2.4588950000000001</v>
      </c>
      <c r="J17" s="1061">
        <f t="shared" si="1"/>
        <v>93.631865999999988</v>
      </c>
      <c r="K17" s="1059">
        <f>'Input POSB Liabilities'!BX9/1000000</f>
        <v>0</v>
      </c>
      <c r="L17" s="1059">
        <f>'Input POSB Liabilities'!DA9/1000000</f>
        <v>0</v>
      </c>
      <c r="M17" s="1059">
        <v>0</v>
      </c>
      <c r="N17" s="1059">
        <f>('Input POSB Liabilities'!CD9+'Input POSB Liabilities'!CQ9)/1000000</f>
        <v>0</v>
      </c>
      <c r="O17" s="1059">
        <f>('Input POSB Liabilities'!CY9)/1000000</f>
        <v>2.0583749999999998</v>
      </c>
      <c r="P17" s="1059">
        <f>'Input POSB Liabilities'!DH9/1000000</f>
        <v>17.086306</v>
      </c>
      <c r="Q17" s="1059">
        <f>'Input POSB Liabilities'!DN9/1000000</f>
        <v>7.2054759000000059</v>
      </c>
      <c r="R17" s="1106">
        <f t="shared" si="2"/>
        <v>119.9820229</v>
      </c>
      <c r="T17" s="1107">
        <f>R17-'Input POSB Liabilities'!DQ9/1000000</f>
        <v>0</v>
      </c>
    </row>
    <row r="18" spans="4:20" ht="13.8">
      <c r="D18" s="1104" t="s">
        <v>1174</v>
      </c>
      <c r="E18" s="1059">
        <f>('Input POSB Liabilities'!C10-'Input POSB Liabilities'!G10-'Input POSB Liabilities'!H10-'Input POSB Liabilities'!J10)/1000000</f>
        <v>74.678115000000005</v>
      </c>
      <c r="F18" s="1059">
        <f>('Input POSB Liabilities'!O10-'Input POSB Liabilities'!Y10-'Input POSB Liabilities'!AC10-'Input POSB Liabilities'!AK10)/1000000</f>
        <v>13.255049</v>
      </c>
      <c r="G18" s="1136">
        <f t="shared" si="0"/>
        <v>87.933164000000005</v>
      </c>
      <c r="H18" s="1061">
        <f>('Input POSB Liabilities'!G10+'Input POSB Liabilities'!I10+'Input POSB Liabilities'!Y10+'Input POSB Liabilities'!AC10)/1000000</f>
        <v>0</v>
      </c>
      <c r="I18" s="1059">
        <f>('Input POSB Liabilities'!J10+'Input POSB Liabilities'!AK10)/1000000</f>
        <v>2.4787400000000002</v>
      </c>
      <c r="J18" s="1061">
        <f t="shared" si="1"/>
        <v>90.411904000000007</v>
      </c>
      <c r="K18" s="1059">
        <f>'Input POSB Liabilities'!BX10/1000000</f>
        <v>0</v>
      </c>
      <c r="L18" s="1059">
        <f>'Input POSB Liabilities'!DA10/1000000</f>
        <v>0</v>
      </c>
      <c r="M18" s="1059">
        <v>0</v>
      </c>
      <c r="N18" s="1059">
        <f>('Input POSB Liabilities'!CD10+'Input POSB Liabilities'!CQ10)/1000000</f>
        <v>0</v>
      </c>
      <c r="O18" s="1059">
        <f>('Input POSB Liabilities'!CY10)/1000000</f>
        <v>1.88883</v>
      </c>
      <c r="P18" s="1059">
        <f>'Input POSB Liabilities'!DH10/1000000</f>
        <v>17.608854000000001</v>
      </c>
      <c r="Q18" s="1059">
        <f>'Input POSB Liabilities'!DN10/1000000</f>
        <v>6.5197703700000051</v>
      </c>
      <c r="R18" s="1106">
        <f t="shared" si="2"/>
        <v>116.42935837000002</v>
      </c>
      <c r="T18" s="1107">
        <f>R18-'Input POSB Liabilities'!DQ10/1000000</f>
        <v>0</v>
      </c>
    </row>
    <row r="19" spans="4:20" ht="13.8">
      <c r="D19" s="1104" t="s">
        <v>1165</v>
      </c>
      <c r="E19" s="1059">
        <f>('Input POSB Liabilities'!C11-'Input POSB Liabilities'!G11-'Input POSB Liabilities'!H11-'Input POSB Liabilities'!J11)/1000000</f>
        <v>71.195609000000005</v>
      </c>
      <c r="F19" s="1059">
        <f>('Input POSB Liabilities'!O11-'Input POSB Liabilities'!Y11-'Input POSB Liabilities'!AC11-'Input POSB Liabilities'!AK11)/1000000</f>
        <v>15.524421999999999</v>
      </c>
      <c r="G19" s="1136">
        <f t="shared" si="0"/>
        <v>86.720031000000006</v>
      </c>
      <c r="H19" s="1061">
        <f>('Input POSB Liabilities'!G11+'Input POSB Liabilities'!I11+'Input POSB Liabilities'!Y11+'Input POSB Liabilities'!AC11)/1000000</f>
        <v>0</v>
      </c>
      <c r="I19" s="1059">
        <f>('Input POSB Liabilities'!J11+'Input POSB Liabilities'!AK11)/1000000</f>
        <v>2.4873460000000001</v>
      </c>
      <c r="J19" s="1061">
        <f t="shared" si="1"/>
        <v>89.207377000000008</v>
      </c>
      <c r="K19" s="1059">
        <f>'Input POSB Liabilities'!BX11/1000000</f>
        <v>0</v>
      </c>
      <c r="L19" s="1059">
        <f>'Input POSB Liabilities'!DA11/1000000</f>
        <v>0</v>
      </c>
      <c r="M19" s="1059">
        <v>0</v>
      </c>
      <c r="N19" s="1059">
        <f>('Input POSB Liabilities'!CD11+'Input POSB Liabilities'!CQ11)/1000000</f>
        <v>0</v>
      </c>
      <c r="O19" s="1059">
        <f>('Input POSB Liabilities'!CY11)/1000000</f>
        <v>1.719139</v>
      </c>
      <c r="P19" s="1059">
        <f>'Input POSB Liabilities'!DH11/1000000</f>
        <v>9.7345381399999997</v>
      </c>
      <c r="Q19" s="1059">
        <f>'Input POSB Liabilities'!DN11/1000000</f>
        <v>6.903969</v>
      </c>
      <c r="R19" s="1106">
        <f t="shared" si="2"/>
        <v>107.56502314000001</v>
      </c>
      <c r="T19" s="1107">
        <f>R19-'Input POSB Liabilities'!DQ11/1000000</f>
        <v>0</v>
      </c>
    </row>
    <row r="20" spans="4:20" ht="13.8">
      <c r="D20" s="1104" t="s">
        <v>1175</v>
      </c>
      <c r="E20" s="1059">
        <f>('Input POSB Liabilities'!C12-'Input POSB Liabilities'!G12-'Input POSB Liabilities'!H12-'Input POSB Liabilities'!J12)/1000000</f>
        <v>73.397564000000003</v>
      </c>
      <c r="F20" s="1059">
        <f>('Input POSB Liabilities'!O12-'Input POSB Liabilities'!Y12-'Input POSB Liabilities'!AC12-'Input POSB Liabilities'!AK12)/1000000</f>
        <v>14.761278000000001</v>
      </c>
      <c r="G20" s="1136">
        <f t="shared" si="0"/>
        <v>88.158842000000007</v>
      </c>
      <c r="H20" s="1061">
        <f>('Input POSB Liabilities'!G12+'Input POSB Liabilities'!I12+'Input POSB Liabilities'!Y12+'Input POSB Liabilities'!AC12)/1000000</f>
        <v>4.4329190000000001</v>
      </c>
      <c r="I20" s="1059">
        <f>('Input POSB Liabilities'!J12+'Input POSB Liabilities'!AK12)/1000000</f>
        <v>2.5003470000000001</v>
      </c>
      <c r="J20" s="1061">
        <f t="shared" si="1"/>
        <v>95.09210800000001</v>
      </c>
      <c r="K20" s="1059">
        <f>'Input POSB Liabilities'!BX12/1000000</f>
        <v>0</v>
      </c>
      <c r="L20" s="1059">
        <f>'Input POSB Liabilities'!DA12/1000000</f>
        <v>0</v>
      </c>
      <c r="M20" s="1059">
        <v>0</v>
      </c>
      <c r="N20" s="1059">
        <f>('Input POSB Liabilities'!CD12+'Input POSB Liabilities'!CQ12)/1000000</f>
        <v>0</v>
      </c>
      <c r="O20" s="1059">
        <f>('Input POSB Liabilities'!CY12)/1000000</f>
        <v>1.594104</v>
      </c>
      <c r="P20" s="1059">
        <f>'Input POSB Liabilities'!DH12/1000000</f>
        <v>18.669711</v>
      </c>
      <c r="Q20" s="1059">
        <f>'Input POSB Liabilities'!DN12/1000000</f>
        <v>7.2535499999999997</v>
      </c>
      <c r="R20" s="1106">
        <f t="shared" si="2"/>
        <v>122.60947300000002</v>
      </c>
      <c r="T20" s="1107">
        <f>R20-'Input POSB Liabilities'!DQ12/1000000</f>
        <v>0</v>
      </c>
    </row>
    <row r="21" spans="4:20" ht="13.8">
      <c r="D21" s="1104" t="s">
        <v>1176</v>
      </c>
      <c r="E21" s="1059">
        <f>('Input POSB Liabilities'!C13-'Input POSB Liabilities'!G13-'Input POSB Liabilities'!H13-'Input POSB Liabilities'!J13)/1000000</f>
        <v>68.785674999999998</v>
      </c>
      <c r="F21" s="1059">
        <f>('Input POSB Liabilities'!O13-'Input POSB Liabilities'!Y13-'Input POSB Liabilities'!AC13-'Input POSB Liabilities'!AK13)/1000000</f>
        <v>21.127124999999999</v>
      </c>
      <c r="G21" s="1136">
        <f t="shared" si="0"/>
        <v>89.912800000000004</v>
      </c>
      <c r="H21" s="1061">
        <f>('Input POSB Liabilities'!G13+'Input POSB Liabilities'!I13+'Input POSB Liabilities'!Y13+'Input POSB Liabilities'!AC13)/1000000</f>
        <v>0</v>
      </c>
      <c r="I21" s="1059">
        <f>('Input POSB Liabilities'!J13+'Input POSB Liabilities'!AK13)/1000000</f>
        <v>2.5193889999999999</v>
      </c>
      <c r="J21" s="1061">
        <f t="shared" si="1"/>
        <v>92.432189000000008</v>
      </c>
      <c r="K21" s="1059">
        <f>'Input POSB Liabilities'!BX13/1000000</f>
        <v>0</v>
      </c>
      <c r="L21" s="1059">
        <f>'Input POSB Liabilities'!DA13/1000000</f>
        <v>0</v>
      </c>
      <c r="M21" s="1059">
        <v>0</v>
      </c>
      <c r="N21" s="1059">
        <f>('Input POSB Liabilities'!CD13+'Input POSB Liabilities'!CQ13)/1000000</f>
        <v>0</v>
      </c>
      <c r="O21" s="1059">
        <f>('Input POSB Liabilities'!CY13)/1000000</f>
        <v>1.4683520000000001</v>
      </c>
      <c r="P21" s="1059">
        <f>'Input POSB Liabilities'!DH13/1000000</f>
        <v>19.625655999999999</v>
      </c>
      <c r="Q21" s="1059">
        <f>'Input POSB Liabilities'!DN13/1000000</f>
        <v>4.5008528400000039</v>
      </c>
      <c r="R21" s="1106">
        <f t="shared" si="2"/>
        <v>118.02704984</v>
      </c>
      <c r="T21" s="1107">
        <f>R21-'Input POSB Liabilities'!DQ13/1000000</f>
        <v>0</v>
      </c>
    </row>
    <row r="22" spans="4:20" ht="13.8">
      <c r="D22" s="1104" t="s">
        <v>1177</v>
      </c>
      <c r="E22" s="1059">
        <f>('Input POSB Liabilities'!C14-'Input POSB Liabilities'!G14-'Input POSB Liabilities'!H14-'Input POSB Liabilities'!J14)/1000000</f>
        <v>71.554185000000004</v>
      </c>
      <c r="F22" s="1059">
        <f>('Input POSB Liabilities'!O14-'Input POSB Liabilities'!Y14-'Input POSB Liabilities'!AC14-'Input POSB Liabilities'!AK14)/1000000</f>
        <v>19.042363000000002</v>
      </c>
      <c r="G22" s="1136">
        <f t="shared" si="0"/>
        <v>90.596548000000013</v>
      </c>
      <c r="H22" s="1061">
        <f>('Input POSB Liabilities'!G14+'Input POSB Liabilities'!I14+'Input POSB Liabilities'!Y14+'Input POSB Liabilities'!AC14)/1000000</f>
        <v>0</v>
      </c>
      <c r="I22" s="1059">
        <f>('Input POSB Liabilities'!J14+'Input POSB Liabilities'!AK14)/1000000</f>
        <v>2.4979019999999998</v>
      </c>
      <c r="J22" s="1061">
        <f t="shared" si="1"/>
        <v>93.094450000000009</v>
      </c>
      <c r="K22" s="1059">
        <f>'Input POSB Liabilities'!BX14/1000000</f>
        <v>0</v>
      </c>
      <c r="L22" s="1059">
        <f>'Input POSB Liabilities'!DA14/1000000</f>
        <v>0</v>
      </c>
      <c r="M22" s="1059">
        <v>0</v>
      </c>
      <c r="N22" s="1059">
        <f>('Input POSB Liabilities'!CD14+'Input POSB Liabilities'!CQ14)/1000000</f>
        <v>0</v>
      </c>
      <c r="O22" s="1059">
        <f>('Input POSB Liabilities'!CY14)/1000000</f>
        <v>1.341353</v>
      </c>
      <c r="P22" s="1059">
        <f>'Input POSB Liabilities'!DH14/1000000</f>
        <v>20.226050000000001</v>
      </c>
      <c r="Q22" s="1059">
        <f>'Input POSB Liabilities'!DN14/1000000</f>
        <v>5.1297329999999999</v>
      </c>
      <c r="R22" s="1106">
        <f t="shared" si="2"/>
        <v>119.79158600000001</v>
      </c>
      <c r="T22" s="1107">
        <f>R22-'Input POSB Liabilities'!DQ14/1000000</f>
        <v>0</v>
      </c>
    </row>
    <row r="23" spans="4:20" ht="13.8">
      <c r="D23" s="1104" t="s">
        <v>1178</v>
      </c>
      <c r="E23" s="1059">
        <f>('Input POSB Liabilities'!C15-'Input POSB Liabilities'!G15-'Input POSB Liabilities'!H15-'Input POSB Liabilities'!J15)/1000000</f>
        <v>77.161539000000005</v>
      </c>
      <c r="F23" s="1059">
        <f>('Input POSB Liabilities'!O15-'Input POSB Liabilities'!Y15-'Input POSB Liabilities'!AC15-'Input POSB Liabilities'!AK15)/1000000</f>
        <v>21.517557</v>
      </c>
      <c r="G23" s="1136">
        <f t="shared" si="0"/>
        <v>98.679096000000001</v>
      </c>
      <c r="H23" s="1061">
        <f>('Input POSB Liabilities'!G15+'Input POSB Liabilities'!I15+'Input POSB Liabilities'!Y15+'Input POSB Liabilities'!AC15)/1000000</f>
        <v>0.110988</v>
      </c>
      <c r="I23" s="1059">
        <f>('Input POSB Liabilities'!J15+'Input POSB Liabilities'!AK15)/1000000</f>
        <v>2.5014569999999998</v>
      </c>
      <c r="J23" s="1061">
        <f t="shared" si="1"/>
        <v>101.29154100000001</v>
      </c>
      <c r="K23" s="1059">
        <f>'Input POSB Liabilities'!BX15/1000000</f>
        <v>0</v>
      </c>
      <c r="L23" s="1059">
        <f>'Input POSB Liabilities'!DA15/1000000</f>
        <v>0</v>
      </c>
      <c r="M23" s="1059">
        <v>0</v>
      </c>
      <c r="N23" s="1059">
        <f>('Input POSB Liabilities'!CD15+'Input POSB Liabilities'!CQ15)/1000000</f>
        <v>0</v>
      </c>
      <c r="O23" s="1059">
        <f>('Input POSB Liabilities'!CY15)/1000000</f>
        <v>1.212901</v>
      </c>
      <c r="P23" s="1059">
        <f>'Input POSB Liabilities'!DH15/1000000</f>
        <v>20.898347999999999</v>
      </c>
      <c r="Q23" s="1059">
        <f>'Input POSB Liabilities'!DN15/1000000</f>
        <v>5.6836029999999997</v>
      </c>
      <c r="R23" s="1106">
        <f t="shared" si="2"/>
        <v>129.08639300000002</v>
      </c>
      <c r="T23" s="1107">
        <f>R23-'Input POSB Liabilities'!DQ15/1000000</f>
        <v>0</v>
      </c>
    </row>
    <row r="24" spans="4:20" ht="13.8">
      <c r="D24" s="1104" t="s">
        <v>1179</v>
      </c>
      <c r="E24" s="1059">
        <f>('Input POSB Liabilities'!C16-'Input POSB Liabilities'!G16-'Input POSB Liabilities'!H16-'Input POSB Liabilities'!J16)/1000000</f>
        <v>73.380492000000004</v>
      </c>
      <c r="F24" s="1059">
        <f>('Input POSB Liabilities'!O16-'Input POSB Liabilities'!Y16-'Input POSB Liabilities'!AC16-'Input POSB Liabilities'!AK16)/1000000</f>
        <v>21.482641000000001</v>
      </c>
      <c r="G24" s="1136">
        <f t="shared" si="0"/>
        <v>94.863133000000005</v>
      </c>
      <c r="H24" s="1061">
        <f>('Input POSB Liabilities'!G16+'Input POSB Liabilities'!I16+'Input POSB Liabilities'!Y16+'Input POSB Liabilities'!AC16)/1000000</f>
        <v>0.111223</v>
      </c>
      <c r="I24" s="1059">
        <f>('Input POSB Liabilities'!J16+'Input POSB Liabilities'!AK16)/1000000</f>
        <v>2.5276079999999999</v>
      </c>
      <c r="J24" s="1061">
        <f t="shared" si="1"/>
        <v>97.501964000000001</v>
      </c>
      <c r="K24" s="1059">
        <f>'Input POSB Liabilities'!BX16/1000000</f>
        <v>0</v>
      </c>
      <c r="L24" s="1059">
        <f>'Input POSB Liabilities'!DA16/1000000</f>
        <v>0</v>
      </c>
      <c r="M24" s="1059">
        <v>0</v>
      </c>
      <c r="N24" s="1059">
        <f>('Input POSB Liabilities'!CD16+'Input POSB Liabilities'!CQ16)/1000000</f>
        <v>0</v>
      </c>
      <c r="O24" s="1059">
        <f>('Input POSB Liabilities'!CY16)/1000000</f>
        <v>1.083046</v>
      </c>
      <c r="P24" s="1059">
        <f>'Input POSB Liabilities'!DH16/1000000</f>
        <v>21.653881999999999</v>
      </c>
      <c r="Q24" s="1059">
        <f>'Input POSB Liabilities'!DN16/1000000</f>
        <v>6.4395709999999999</v>
      </c>
      <c r="R24" s="1106">
        <f t="shared" si="2"/>
        <v>126.67846299999999</v>
      </c>
      <c r="T24" s="1107">
        <f>R24-'Input POSB Liabilities'!DQ16/1000000</f>
        <v>0</v>
      </c>
    </row>
    <row r="25" spans="4:20" ht="13.8">
      <c r="D25" s="1104" t="s">
        <v>1180</v>
      </c>
      <c r="E25" s="1059">
        <f>('Input POSB Liabilities'!C17-'Input POSB Liabilities'!G17-'Input POSB Liabilities'!H17-'Input POSB Liabilities'!J17)/1000000</f>
        <v>76.307696000000007</v>
      </c>
      <c r="F25" s="1059">
        <f>('Input POSB Liabilities'!O17-'Input POSB Liabilities'!Y17-'Input POSB Liabilities'!AC17-'Input POSB Liabilities'!AK17)/1000000</f>
        <v>21.142665999999998</v>
      </c>
      <c r="G25" s="1136">
        <f t="shared" si="0"/>
        <v>97.450362000000013</v>
      </c>
      <c r="H25" s="1061">
        <f>('Input POSB Liabilities'!G17+'Input POSB Liabilities'!I17+'Input POSB Liabilities'!Y17+'Input POSB Liabilities'!AC17)/1000000</f>
        <v>1.1398999999999999E-2</v>
      </c>
      <c r="I25" s="1059">
        <f>('Input POSB Liabilities'!J17+'Input POSB Liabilities'!AK17)/1000000</f>
        <v>2.5258099999999999</v>
      </c>
      <c r="J25" s="1061">
        <f t="shared" si="1"/>
        <v>99.987571000000003</v>
      </c>
      <c r="K25" s="1059">
        <f>'Input POSB Liabilities'!BX17/1000000</f>
        <v>0</v>
      </c>
      <c r="L25" s="1059">
        <f>'Input POSB Liabilities'!DA17/1000000</f>
        <v>0</v>
      </c>
      <c r="M25" s="1059">
        <v>0</v>
      </c>
      <c r="N25" s="1059">
        <f>('Input POSB Liabilities'!CD17+'Input POSB Liabilities'!CQ17)/1000000</f>
        <v>0</v>
      </c>
      <c r="O25" s="1059">
        <f>('Input POSB Liabilities'!CY17)/1000000</f>
        <v>0.95214200000000004</v>
      </c>
      <c r="P25" s="1059">
        <f>'Input POSB Liabilities'!DH17/1000000</f>
        <v>21.919605000000001</v>
      </c>
      <c r="Q25" s="1059">
        <f>'Input POSB Liabilities'!DN17/1000000</f>
        <v>6.3851399999999998</v>
      </c>
      <c r="R25" s="1106">
        <f t="shared" si="2"/>
        <v>129.24445800000001</v>
      </c>
      <c r="T25" s="1107">
        <f>R25-'Input POSB Liabilities'!DQ17/1000000</f>
        <v>0</v>
      </c>
    </row>
    <row r="26" spans="4:20" ht="13.8">
      <c r="D26" s="1104" t="s">
        <v>1181</v>
      </c>
      <c r="E26" s="1059">
        <f>('Input POSB Liabilities'!C18-'Input POSB Liabilities'!G18-'Input POSB Liabilities'!H18-'Input POSB Liabilities'!J18)/1000000</f>
        <v>72.505780999999999</v>
      </c>
      <c r="F26" s="1059">
        <f>('Input POSB Liabilities'!O18-'Input POSB Liabilities'!Y18-'Input POSB Liabilities'!AC18-'Input POSB Liabilities'!AK18)/1000000</f>
        <v>19.314613999999999</v>
      </c>
      <c r="G26" s="1136">
        <f t="shared" si="0"/>
        <v>91.820394999999991</v>
      </c>
      <c r="H26" s="1061">
        <f>('Input POSB Liabilities'!G18+'Input POSB Liabilities'!I18+'Input POSB Liabilities'!Y18+'Input POSB Liabilities'!AC18)/1000000</f>
        <v>1.1423000000000001E-2</v>
      </c>
      <c r="I26" s="1059">
        <f>('Input POSB Liabilities'!J18+'Input POSB Liabilities'!AK18)/1000000</f>
        <v>2.5366430000000002</v>
      </c>
      <c r="J26" s="1061">
        <f t="shared" si="1"/>
        <v>94.368460999999982</v>
      </c>
      <c r="K26" s="1059">
        <f>'Input POSB Liabilities'!BX18/1000000</f>
        <v>0</v>
      </c>
      <c r="L26" s="1059">
        <f>'Input POSB Liabilities'!DA18/1000000</f>
        <v>0</v>
      </c>
      <c r="M26" s="1059">
        <v>0</v>
      </c>
      <c r="N26" s="1059">
        <f>('Input POSB Liabilities'!CD18+'Input POSB Liabilities'!CQ18)/1000000</f>
        <v>0</v>
      </c>
      <c r="O26" s="1059">
        <f>('Input POSB Liabilities'!CY18)/1000000</f>
        <v>0.82024300000000006</v>
      </c>
      <c r="P26" s="1059">
        <f>'Input POSB Liabilities'!DH18/1000000</f>
        <v>42.781306000000001</v>
      </c>
      <c r="Q26" s="1059">
        <f>'Input POSB Liabilities'!DN18/1000000</f>
        <v>5.5104990000000003</v>
      </c>
      <c r="R26" s="1106">
        <f t="shared" si="2"/>
        <v>143.48050900000001</v>
      </c>
      <c r="T26" s="1107">
        <f>R26-'Input POSB Liabilities'!DQ18/1000000</f>
        <v>0</v>
      </c>
    </row>
    <row r="27" spans="4:20" ht="13.8">
      <c r="D27" s="1104"/>
      <c r="E27" s="1059">
        <f>('Input POSB Liabilities'!C19-'Input POSB Liabilities'!G19-'Input POSB Liabilities'!H19-'Input POSB Liabilities'!J19)/1000000</f>
        <v>0</v>
      </c>
      <c r="F27" s="1059">
        <f>('Input POSB Liabilities'!O19-'Input POSB Liabilities'!Y19-'Input POSB Liabilities'!AC19-'Input POSB Liabilities'!AK19)/1000000</f>
        <v>0</v>
      </c>
      <c r="G27" s="1136">
        <f t="shared" si="0"/>
        <v>0</v>
      </c>
      <c r="H27" s="1061">
        <f>('Input POSB Liabilities'!G19+'Input POSB Liabilities'!I19+'Input POSB Liabilities'!Y19+'Input POSB Liabilities'!AC19)/1000000</f>
        <v>0</v>
      </c>
      <c r="I27" s="1059">
        <f>('Input POSB Liabilities'!J19+'Input POSB Liabilities'!AK19)/1000000</f>
        <v>0</v>
      </c>
      <c r="J27" s="1061">
        <f t="shared" si="1"/>
        <v>0</v>
      </c>
      <c r="K27" s="1059">
        <f>'Input POSB Liabilities'!BX19/1000000</f>
        <v>0</v>
      </c>
      <c r="L27" s="1059">
        <f>'Input POSB Liabilities'!DA19/1000000</f>
        <v>0</v>
      </c>
      <c r="M27" s="1059">
        <v>0</v>
      </c>
      <c r="N27" s="1059">
        <f>('Input POSB Liabilities'!CD19+'Input POSB Liabilities'!CQ19)/1000000</f>
        <v>0</v>
      </c>
      <c r="O27" s="1059">
        <f>('Input POSB Liabilities'!CY19)/1000000</f>
        <v>0</v>
      </c>
      <c r="P27" s="1059">
        <f>'Input POSB Liabilities'!DH19/1000000</f>
        <v>0</v>
      </c>
      <c r="Q27" s="1059">
        <f>'Input POSB Liabilities'!DN19/1000000</f>
        <v>0</v>
      </c>
      <c r="R27" s="1106">
        <f t="shared" si="2"/>
        <v>0</v>
      </c>
      <c r="T27" s="1107">
        <f>R27-'Input POSB Liabilities'!DQ19/1000000</f>
        <v>0</v>
      </c>
    </row>
    <row r="28" spans="4:20" ht="13.8">
      <c r="D28" s="1101">
        <v>2016</v>
      </c>
      <c r="E28" s="1059">
        <f>('Input POSB Liabilities'!C20-'Input POSB Liabilities'!G20-'Input POSB Liabilities'!H20-'Input POSB Liabilities'!J20)/1000000</f>
        <v>0</v>
      </c>
      <c r="F28" s="1059">
        <f>('Input POSB Liabilities'!O20-'Input POSB Liabilities'!Y20-'Input POSB Liabilities'!AC20-'Input POSB Liabilities'!AK20)/1000000</f>
        <v>0</v>
      </c>
      <c r="G28" s="1136">
        <f t="shared" si="0"/>
        <v>0</v>
      </c>
      <c r="H28" s="1061">
        <f>('Input POSB Liabilities'!G20+'Input POSB Liabilities'!I20+'Input POSB Liabilities'!Y20+'Input POSB Liabilities'!AC20)/1000000</f>
        <v>0</v>
      </c>
      <c r="I28" s="1059">
        <f>('Input POSB Liabilities'!J20+'Input POSB Liabilities'!AK20)/1000000</f>
        <v>0</v>
      </c>
      <c r="J28" s="1061">
        <f t="shared" si="1"/>
        <v>0</v>
      </c>
      <c r="K28" s="1059">
        <f>'Input POSB Liabilities'!BX20/1000000</f>
        <v>0</v>
      </c>
      <c r="L28" s="1059">
        <f>'Input POSB Liabilities'!DA20/1000000</f>
        <v>0</v>
      </c>
      <c r="M28" s="1059">
        <v>0</v>
      </c>
      <c r="N28" s="1059">
        <f>('Input POSB Liabilities'!CD20+'Input POSB Liabilities'!CQ20)/1000000</f>
        <v>0</v>
      </c>
      <c r="O28" s="1059">
        <f>('Input POSB Liabilities'!CY20)/1000000</f>
        <v>0</v>
      </c>
      <c r="P28" s="1059">
        <f>'Input POSB Liabilities'!DH20/1000000</f>
        <v>0</v>
      </c>
      <c r="Q28" s="1059">
        <f>'Input POSB Liabilities'!DN20/1000000</f>
        <v>0</v>
      </c>
      <c r="R28" s="1106">
        <f t="shared" si="2"/>
        <v>0</v>
      </c>
      <c r="T28" s="1107">
        <f>R28-'Input POSB Liabilities'!DQ20/1000000</f>
        <v>0</v>
      </c>
    </row>
    <row r="29" spans="4:20" ht="13.8">
      <c r="D29" s="1104" t="s">
        <v>1170</v>
      </c>
      <c r="E29" s="1059">
        <f>('Input POSB Liabilities'!C21-'Input POSB Liabilities'!G21-'Input POSB Liabilities'!H21-'Input POSB Liabilities'!J21)/1000000</f>
        <v>73.735740000000007</v>
      </c>
      <c r="F29" s="1059">
        <f>('Input POSB Liabilities'!O21-'Input POSB Liabilities'!Y21-'Input POSB Liabilities'!AC21-'Input POSB Liabilities'!AK21)/1000000</f>
        <v>23.767052</v>
      </c>
      <c r="G29" s="1136">
        <f t="shared" si="0"/>
        <v>97.502791999999999</v>
      </c>
      <c r="H29" s="1061">
        <f>('Input POSB Liabilities'!G21+'Input POSB Liabilities'!I21+'Input POSB Liabilities'!Y21+'Input POSB Liabilities'!AC21)/1000000</f>
        <v>0.51177799999999996</v>
      </c>
      <c r="I29" s="1059">
        <f>('Input POSB Liabilities'!J21+'Input POSB Liabilities'!AK21)/1000000</f>
        <v>1.5594980000000001</v>
      </c>
      <c r="J29" s="1061">
        <f t="shared" si="1"/>
        <v>99.574068000000011</v>
      </c>
      <c r="K29" s="1059">
        <f>'Input POSB Liabilities'!BX21/1000000</f>
        <v>0</v>
      </c>
      <c r="L29" s="1059">
        <f>'Input POSB Liabilities'!DA21/1000000</f>
        <v>0</v>
      </c>
      <c r="M29" s="1059">
        <v>0</v>
      </c>
      <c r="N29" s="1059">
        <f>('Input POSB Liabilities'!CD21+'Input POSB Liabilities'!CQ21)/1000000</f>
        <v>0</v>
      </c>
      <c r="O29" s="1059">
        <f>('Input POSB Liabilities'!CY21)/1000000</f>
        <v>0.68666499999999997</v>
      </c>
      <c r="P29" s="1059">
        <f>'Input POSB Liabilities'!DH21/1000000</f>
        <v>43.58023</v>
      </c>
      <c r="Q29" s="1059">
        <f>'Input POSB Liabilities'!DN21/1000000</f>
        <v>4.6756130000000002</v>
      </c>
      <c r="R29" s="1106">
        <f t="shared" si="2"/>
        <v>148.51657600000001</v>
      </c>
      <c r="T29" s="1107">
        <f>R29-'Input POSB Liabilities'!DQ21/1000000</f>
        <v>0</v>
      </c>
    </row>
    <row r="30" spans="4:20" ht="13.8">
      <c r="D30" s="1104" t="s">
        <v>1172</v>
      </c>
      <c r="E30" s="1059">
        <f>('Input POSB Liabilities'!C22-'Input POSB Liabilities'!G22-'Input POSB Liabilities'!H22-'Input POSB Liabilities'!J22)/1000000</f>
        <v>73.847949</v>
      </c>
      <c r="F30" s="1059">
        <f>('Input POSB Liabilities'!O22-'Input POSB Liabilities'!Y22-'Input POSB Liabilities'!AC22-'Input POSB Liabilities'!AK22)/1000000</f>
        <v>23.333269000000001</v>
      </c>
      <c r="G30" s="1136">
        <f t="shared" si="0"/>
        <v>97.181218000000001</v>
      </c>
      <c r="H30" s="1061">
        <f>('Input POSB Liabilities'!G22+'Input POSB Liabilities'!I22+'Input POSB Liabilities'!Y22+'Input POSB Liabilities'!AC22)/1000000</f>
        <v>0.51151899999999995</v>
      </c>
      <c r="I30" s="1059">
        <f>('Input POSB Liabilities'!J22+'Input POSB Liabilities'!AK22)/1000000</f>
        <v>1.5478829999999999</v>
      </c>
      <c r="J30" s="1061">
        <f t="shared" si="1"/>
        <v>99.240620000000007</v>
      </c>
      <c r="K30" s="1059">
        <f>'Input POSB Liabilities'!BX22/1000000</f>
        <v>0</v>
      </c>
      <c r="L30" s="1059">
        <f>'Input POSB Liabilities'!DA22/1000000</f>
        <v>0</v>
      </c>
      <c r="M30" s="1059">
        <v>0</v>
      </c>
      <c r="N30" s="1059">
        <f>('Input POSB Liabilities'!CD22+'Input POSB Liabilities'!CQ22)/1000000</f>
        <v>0</v>
      </c>
      <c r="O30" s="1059">
        <f>('Input POSB Liabilities'!CY22)/1000000</f>
        <v>0.55176400000000003</v>
      </c>
      <c r="P30" s="1059">
        <f>'Input POSB Liabilities'!DH22/1000000</f>
        <v>41.587667000000003</v>
      </c>
      <c r="Q30" s="1059">
        <f>'Input POSB Liabilities'!DN22/1000000</f>
        <v>4.5528269999999997</v>
      </c>
      <c r="R30" s="1106">
        <f t="shared" si="2"/>
        <v>145.93287800000002</v>
      </c>
      <c r="T30" s="1107">
        <f>R30-'Input POSB Liabilities'!DQ22/1000000</f>
        <v>0</v>
      </c>
    </row>
    <row r="31" spans="4:20" ht="13.8">
      <c r="D31" s="1104" t="s">
        <v>1173</v>
      </c>
      <c r="E31" s="1059">
        <f>('Input POSB Liabilities'!C23-'Input POSB Liabilities'!G23-'Input POSB Liabilities'!H23-'Input POSB Liabilities'!J23)/1000000</f>
        <v>74.405884</v>
      </c>
      <c r="F31" s="1059">
        <f>('Input POSB Liabilities'!O23-'Input POSB Liabilities'!Y23-'Input POSB Liabilities'!AC23-'Input POSB Liabilities'!AK23)/1000000</f>
        <v>23.085552</v>
      </c>
      <c r="G31" s="1136">
        <f t="shared" si="0"/>
        <v>97.491435999999993</v>
      </c>
      <c r="H31" s="1061">
        <f>('Input POSB Liabilities'!G23+'Input POSB Liabilities'!I23+'Input POSB Liabilities'!Y23+'Input POSB Liabilities'!AC23)/1000000</f>
        <v>0.51159399999999999</v>
      </c>
      <c r="I31" s="1059">
        <f>('Input POSB Liabilities'!J23+'Input POSB Liabilities'!AK23)/1000000</f>
        <v>1.5553729999999999</v>
      </c>
      <c r="J31" s="1061">
        <f t="shared" si="1"/>
        <v>99.558402999999998</v>
      </c>
      <c r="K31" s="1059">
        <f>'Input POSB Liabilities'!BX23/1000000</f>
        <v>0</v>
      </c>
      <c r="L31" s="1059">
        <f>'Input POSB Liabilities'!DA23/1000000</f>
        <v>0</v>
      </c>
      <c r="M31" s="1059">
        <v>0</v>
      </c>
      <c r="N31" s="1059">
        <f>('Input POSB Liabilities'!CD23+'Input POSB Liabilities'!CQ23)/1000000</f>
        <v>0</v>
      </c>
      <c r="O31" s="1059">
        <f>('Input POSB Liabilities'!CY23)/1000000</f>
        <v>0.41592200000000001</v>
      </c>
      <c r="P31" s="1059">
        <f>'Input POSB Liabilities'!DH23/1000000</f>
        <v>34.498247999999997</v>
      </c>
      <c r="Q31" s="1059">
        <f>'Input POSB Liabilities'!DN23/1000000</f>
        <v>5.0060419999999999</v>
      </c>
      <c r="R31" s="1106">
        <f t="shared" si="2"/>
        <v>139.47861499999999</v>
      </c>
      <c r="T31" s="1107">
        <f>R31-'Input POSB Liabilities'!DQ23/1000000</f>
        <v>0</v>
      </c>
    </row>
    <row r="32" spans="4:20" ht="13.8">
      <c r="D32" s="1104" t="s">
        <v>1174</v>
      </c>
      <c r="E32" s="1059">
        <f>('Input POSB Liabilities'!C24-'Input POSB Liabilities'!G24-'Input POSB Liabilities'!H24-'Input POSB Liabilities'!J24)/1000000</f>
        <v>80.067644000000001</v>
      </c>
      <c r="F32" s="1059">
        <f>('Input POSB Liabilities'!O24-'Input POSB Liabilities'!Y24-'Input POSB Liabilities'!AC24-'Input POSB Liabilities'!AK24)/1000000</f>
        <v>21.765543999999998</v>
      </c>
      <c r="G32" s="1136">
        <f t="shared" si="0"/>
        <v>101.83318800000001</v>
      </c>
      <c r="H32" s="1061">
        <f>('Input POSB Liabilities'!G24+'Input POSB Liabilities'!I24+'Input POSB Liabilities'!Y24+'Input POSB Liabilities'!AC24)/1000000</f>
        <v>0.51331599999999999</v>
      </c>
      <c r="I32" s="1059">
        <f>('Input POSB Liabilities'!J24+'Input POSB Liabilities'!AK24)/1000000</f>
        <v>1.5557970000000001</v>
      </c>
      <c r="J32" s="1061">
        <f t="shared" si="1"/>
        <v>103.90230100000001</v>
      </c>
      <c r="K32" s="1059">
        <f>'Input POSB Liabilities'!BX24/1000000</f>
        <v>0</v>
      </c>
      <c r="L32" s="1059">
        <f>'Input POSB Liabilities'!DA24/1000000</f>
        <v>0</v>
      </c>
      <c r="M32" s="1059">
        <v>0</v>
      </c>
      <c r="N32" s="1059">
        <f>('Input POSB Liabilities'!CD24+'Input POSB Liabilities'!CQ24)/1000000</f>
        <v>0</v>
      </c>
      <c r="O32" s="1059">
        <f>('Input POSB Liabilities'!CY24)/1000000</f>
        <v>0.27710200000000001</v>
      </c>
      <c r="P32" s="1059">
        <f>'Input POSB Liabilities'!DH24/1000000</f>
        <v>35.212420999999999</v>
      </c>
      <c r="Q32" s="1059">
        <f>'Input POSB Liabilities'!DN24/1000000</f>
        <v>7.9267089999999998</v>
      </c>
      <c r="R32" s="1106">
        <f t="shared" si="2"/>
        <v>147.318533</v>
      </c>
      <c r="T32" s="1107">
        <f>R32-'Input POSB Liabilities'!DQ24/1000000</f>
        <v>0</v>
      </c>
    </row>
    <row r="33" spans="4:21" ht="13.8">
      <c r="D33" s="1104" t="s">
        <v>1165</v>
      </c>
      <c r="E33" s="1059">
        <f>('Input POSB Liabilities'!C25-'Input POSB Liabilities'!G25-'Input POSB Liabilities'!H25-'Input POSB Liabilities'!J25)/1000000</f>
        <v>79.203425999999993</v>
      </c>
      <c r="F33" s="1059">
        <f>('Input POSB Liabilities'!O25-'Input POSB Liabilities'!Y25-'Input POSB Liabilities'!AC25-'Input POSB Liabilities'!AK25)/1000000</f>
        <v>24.850553000000001</v>
      </c>
      <c r="G33" s="1136">
        <f t="shared" si="0"/>
        <v>104.053979</v>
      </c>
      <c r="H33" s="1061">
        <f>('Input POSB Liabilities'!G25+'Input POSB Liabilities'!I25+'Input POSB Liabilities'!Y25+'Input POSB Liabilities'!AC25)/1000000</f>
        <v>0.51250300000000004</v>
      </c>
      <c r="I33" s="1059">
        <f>('Input POSB Liabilities'!J25+'Input POSB Liabilities'!AK25)/1000000</f>
        <v>1.5803389999999999</v>
      </c>
      <c r="J33" s="1061">
        <f t="shared" si="1"/>
        <v>106.14682099999999</v>
      </c>
      <c r="K33" s="1059">
        <f>'Input POSB Liabilities'!BX25/1000000</f>
        <v>0</v>
      </c>
      <c r="L33" s="1059">
        <f>'Input POSB Liabilities'!DA25/1000000</f>
        <v>0</v>
      </c>
      <c r="M33" s="1059">
        <v>0</v>
      </c>
      <c r="N33" s="1059">
        <f>('Input POSB Liabilities'!CD25+'Input POSB Liabilities'!CQ25)/1000000</f>
        <v>0</v>
      </c>
      <c r="O33" s="1059">
        <f>('Input POSB Liabilities'!CY25)/1000000</f>
        <v>0.13996</v>
      </c>
      <c r="P33" s="1059">
        <f>'Input POSB Liabilities'!DH25/1000000</f>
        <v>34.448593000000002</v>
      </c>
      <c r="Q33" s="1059">
        <f>'Input POSB Liabilities'!DN25/1000000</f>
        <v>5.60738</v>
      </c>
      <c r="R33" s="1106">
        <f t="shared" si="2"/>
        <v>146.34275399999999</v>
      </c>
      <c r="T33" s="1107">
        <f>R33-'Input POSB Liabilities'!DQ25/1000000</f>
        <v>0</v>
      </c>
    </row>
    <row r="34" spans="4:21" ht="13.8">
      <c r="D34" s="1104" t="s">
        <v>1203</v>
      </c>
      <c r="E34" s="1059">
        <f>('Input POSB Liabilities'!C26-'Input POSB Liabilities'!G26-'Input POSB Liabilities'!H26-'Input POSB Liabilities'!J26)/1000000</f>
        <v>79.502731999999995</v>
      </c>
      <c r="F34" s="1059">
        <f>('Input POSB Liabilities'!O26-'Input POSB Liabilities'!Y26-'Input POSB Liabilities'!AC26-'Input POSB Liabilities'!AK26)/1000000</f>
        <v>26.580628999999998</v>
      </c>
      <c r="G34" s="1136">
        <f t="shared" si="0"/>
        <v>106.083361</v>
      </c>
      <c r="H34" s="1061">
        <f>('Input POSB Liabilities'!G26+'Input POSB Liabilities'!I26+'Input POSB Liabilities'!Y26+'Input POSB Liabilities'!AC26)/1000000</f>
        <v>0.61314000000000002</v>
      </c>
      <c r="I34" s="1059">
        <f>('Input POSB Liabilities'!J26+'Input POSB Liabilities'!AK26)/1000000</f>
        <v>1.594284</v>
      </c>
      <c r="J34" s="1061">
        <f t="shared" si="1"/>
        <v>108.290785</v>
      </c>
      <c r="K34" s="1059">
        <f>'Input POSB Liabilities'!BX26/1000000</f>
        <v>0</v>
      </c>
      <c r="L34" s="1059">
        <f>'Input POSB Liabilities'!DA26/1000000</f>
        <v>0</v>
      </c>
      <c r="M34" s="1059">
        <v>0</v>
      </c>
      <c r="N34" s="1059">
        <f>('Input POSB Liabilities'!CD26+'Input POSB Liabilities'!CQ26)/1000000</f>
        <v>0</v>
      </c>
      <c r="O34" s="1059">
        <f>('Input POSB Liabilities'!CY26)/1000000</f>
        <v>0</v>
      </c>
      <c r="P34" s="1059">
        <f>'Input POSB Liabilities'!DH26/1000000</f>
        <v>34.878706999999999</v>
      </c>
      <c r="Q34" s="1059">
        <f>'Input POSB Liabilities'!DN26/1000000</f>
        <v>5.780983</v>
      </c>
      <c r="R34" s="1106">
        <f t="shared" si="2"/>
        <v>148.95047499999998</v>
      </c>
      <c r="T34" s="1107">
        <f>R34-'Input POSB Liabilities'!DQ26/1000000</f>
        <v>0</v>
      </c>
    </row>
    <row r="35" spans="4:21" ht="13.8">
      <c r="D35" s="1104" t="s">
        <v>1205</v>
      </c>
      <c r="E35" s="1059">
        <f>('Input POSB Liabilities'!C27-'Input POSB Liabilities'!G27-'Input POSB Liabilities'!H27-'Input POSB Liabilities'!J27)/1000000</f>
        <v>75.483286000000007</v>
      </c>
      <c r="F35" s="1059">
        <f>('Input POSB Liabilities'!O27-'Input POSB Liabilities'!Y27-'Input POSB Liabilities'!AC27-'Input POSB Liabilities'!AK27)/1000000</f>
        <v>28.288126999999999</v>
      </c>
      <c r="G35" s="1136">
        <f t="shared" si="0"/>
        <v>103.77141300000001</v>
      </c>
      <c r="H35" s="1061">
        <f>('Input POSB Liabilities'!G27+'Input POSB Liabilities'!I27+'Input POSB Liabilities'!Y27+'Input POSB Liabilities'!AC27)/1000000</f>
        <v>1.1560000000000001E-2</v>
      </c>
      <c r="I35" s="1059">
        <f>('Input POSB Liabilities'!J27+'Input POSB Liabilities'!AK27)/1000000</f>
        <v>1.603156</v>
      </c>
      <c r="J35" s="1061">
        <f t="shared" si="1"/>
        <v>105.38612900000001</v>
      </c>
      <c r="K35" s="1059">
        <f>'Input POSB Liabilities'!BX27/1000000</f>
        <v>0</v>
      </c>
      <c r="L35" s="1059">
        <f>'Input POSB Liabilities'!DA27/1000000</f>
        <v>0</v>
      </c>
      <c r="M35" s="1059">
        <v>0</v>
      </c>
      <c r="N35" s="1059">
        <f>('Input POSB Liabilities'!CD27+'Input POSB Liabilities'!CQ27)/1000000</f>
        <v>0</v>
      </c>
      <c r="O35" s="1059">
        <f>('Input POSB Liabilities'!CY27)/1000000</f>
        <v>0</v>
      </c>
      <c r="P35" s="1059">
        <f>'Input POSB Liabilities'!DH27/1000000</f>
        <v>35.715373</v>
      </c>
      <c r="Q35" s="1059">
        <f>'Input POSB Liabilities'!DN27/1000000</f>
        <v>6.3409050000000002</v>
      </c>
      <c r="R35" s="1106">
        <f t="shared" si="2"/>
        <v>147.442407</v>
      </c>
      <c r="T35" s="1107">
        <f>R35-'Input POSB Liabilities'!DQ27/1000000</f>
        <v>0</v>
      </c>
    </row>
    <row r="36" spans="4:21" ht="13.8">
      <c r="D36" s="1104" t="s">
        <v>1177</v>
      </c>
      <c r="E36" s="1059">
        <f>('Input POSB Liabilities'!C28-'Input POSB Liabilities'!G28-'Input POSB Liabilities'!H28-'Input POSB Liabilities'!J28)/1000000</f>
        <v>74.820393999999993</v>
      </c>
      <c r="F36" s="1059">
        <f>('Input POSB Liabilities'!O28-'Input POSB Liabilities'!Y28-'Input POSB Liabilities'!AC28-'Input POSB Liabilities'!AK28)/1000000</f>
        <v>28.967252999999999</v>
      </c>
      <c r="G36" s="1136">
        <f t="shared" si="0"/>
        <v>103.78764699999999</v>
      </c>
      <c r="H36" s="1061">
        <f>('Input POSB Liabilities'!G28+'Input POSB Liabilities'!I28+'Input POSB Liabilities'!Y28+'Input POSB Liabilities'!AC28)/1000000</f>
        <v>0</v>
      </c>
      <c r="I36" s="1059">
        <f>('Input POSB Liabilities'!J28+'Input POSB Liabilities'!AK28)/1000000</f>
        <v>1.61236</v>
      </c>
      <c r="J36" s="1061">
        <f t="shared" si="1"/>
        <v>105.40000699999999</v>
      </c>
      <c r="K36" s="1059">
        <f>'Input POSB Liabilities'!BX28/1000000</f>
        <v>0</v>
      </c>
      <c r="L36" s="1059">
        <f>'Input POSB Liabilities'!DA28/1000000</f>
        <v>0</v>
      </c>
      <c r="M36" s="1059">
        <v>0</v>
      </c>
      <c r="N36" s="1059">
        <f>('Input POSB Liabilities'!CD28+'Input POSB Liabilities'!CQ28)/1000000</f>
        <v>0</v>
      </c>
      <c r="O36" s="1059">
        <f>('Input POSB Liabilities'!CY28)/1000000</f>
        <v>0</v>
      </c>
      <c r="P36" s="1059">
        <f>'Input POSB Liabilities'!DH28/1000000</f>
        <v>36.531973999999998</v>
      </c>
      <c r="Q36" s="1059">
        <f>'Input POSB Liabilities'!DN28/1000000</f>
        <v>6.9042050000000001</v>
      </c>
      <c r="R36" s="1106">
        <f t="shared" si="2"/>
        <v>148.83618599999997</v>
      </c>
      <c r="T36" s="1107">
        <f>R36-'Input POSB Liabilities'!DQ28/1000000</f>
        <v>0</v>
      </c>
    </row>
    <row r="37" spans="4:21" ht="13.8">
      <c r="D37" s="1104" t="s">
        <v>1178</v>
      </c>
      <c r="E37" s="1059">
        <f>('Input POSB Liabilities'!C29-'Input POSB Liabilities'!G29-'Input POSB Liabilities'!H29-'Input POSB Liabilities'!J29)/1000000</f>
        <v>74.238601000000003</v>
      </c>
      <c r="F37" s="1059">
        <f>('Input POSB Liabilities'!O29-'Input POSB Liabilities'!Y29-'Input POSB Liabilities'!AC29-'Input POSB Liabilities'!AK29)/1000000</f>
        <v>28.508247000000001</v>
      </c>
      <c r="G37" s="1136">
        <f t="shared" si="0"/>
        <v>102.746848</v>
      </c>
      <c r="H37" s="1061">
        <f>('Input POSB Liabilities'!G29+'Input POSB Liabilities'!I29+'Input POSB Liabilities'!Y29+'Input POSB Liabilities'!AC29)/1000000</f>
        <v>0</v>
      </c>
      <c r="I37" s="1059">
        <f>('Input POSB Liabilities'!J29+'Input POSB Liabilities'!AK29)/1000000</f>
        <v>1.618522</v>
      </c>
      <c r="J37" s="1061">
        <f t="shared" si="1"/>
        <v>104.36537</v>
      </c>
      <c r="K37" s="1059">
        <f>'Input POSB Liabilities'!BX29/1000000</f>
        <v>0</v>
      </c>
      <c r="L37" s="1059">
        <f>'Input POSB Liabilities'!DA29/1000000</f>
        <v>0</v>
      </c>
      <c r="M37" s="1059">
        <v>0</v>
      </c>
      <c r="N37" s="1059">
        <f>('Input POSB Liabilities'!CD29+'Input POSB Liabilities'!CQ29)/1000000</f>
        <v>0</v>
      </c>
      <c r="O37" s="1059">
        <f>('Input POSB Liabilities'!CY29)/1000000</f>
        <v>0</v>
      </c>
      <c r="P37" s="1059">
        <f>'Input POSB Liabilities'!DH29/1000000</f>
        <v>37.472839999999998</v>
      </c>
      <c r="Q37" s="1059">
        <f>'Input POSB Liabilities'!DN29/1000000</f>
        <v>13.855085000000001</v>
      </c>
      <c r="R37" s="1106">
        <f t="shared" si="2"/>
        <v>155.69329500000001</v>
      </c>
      <c r="T37" s="1107">
        <f>R37-'Input POSB Liabilities'!DQ29/1000000</f>
        <v>0</v>
      </c>
    </row>
    <row r="38" spans="4:21" ht="13.8">
      <c r="D38" s="1104" t="s">
        <v>1179</v>
      </c>
      <c r="E38" s="1059">
        <f>('Input POSB Liabilities'!C30-'Input POSB Liabilities'!G30-'Input POSB Liabilities'!H30-'Input POSB Liabilities'!J30)/1000000</f>
        <v>70.818066999999999</v>
      </c>
      <c r="F38" s="1059">
        <f>('Input POSB Liabilities'!O30-'Input POSB Liabilities'!Y30-'Input POSB Liabilities'!AC30-'Input POSB Liabilities'!AK30)/1000000</f>
        <v>30.795819999999999</v>
      </c>
      <c r="G38" s="1136">
        <f t="shared" si="0"/>
        <v>101.61388700000001</v>
      </c>
      <c r="H38" s="1061">
        <f>('Input POSB Liabilities'!G30+'Input POSB Liabilities'!I30+'Input POSB Liabilities'!Y30+'Input POSB Liabilities'!AC30)/1000000</f>
        <v>0</v>
      </c>
      <c r="I38" s="1059">
        <f>('Input POSB Liabilities'!J30+'Input POSB Liabilities'!AK30)/1000000</f>
        <v>1.630042</v>
      </c>
      <c r="J38" s="1061">
        <f t="shared" si="1"/>
        <v>103.24392900000001</v>
      </c>
      <c r="K38" s="1059">
        <f>'Input POSB Liabilities'!BX30/1000000</f>
        <v>0</v>
      </c>
      <c r="L38" s="1059">
        <f>'Input POSB Liabilities'!DA30/1000000</f>
        <v>0</v>
      </c>
      <c r="M38" s="1059">
        <v>0</v>
      </c>
      <c r="N38" s="1059">
        <f>('Input POSB Liabilities'!CD30+'Input POSB Liabilities'!CQ30)/1000000</f>
        <v>0</v>
      </c>
      <c r="O38" s="1059">
        <f>('Input POSB Liabilities'!CY30)/1000000</f>
        <v>0</v>
      </c>
      <c r="P38" s="1059">
        <f>'Input POSB Liabilities'!DH30/1000000</f>
        <v>38.641750999999999</v>
      </c>
      <c r="Q38" s="1059">
        <f>'Input POSB Liabilities'!DN30/1000000</f>
        <v>6.9180320000000002</v>
      </c>
      <c r="R38" s="1106">
        <f t="shared" si="2"/>
        <v>148.80371200000002</v>
      </c>
      <c r="T38" s="1107">
        <f>R38-'Input POSB Liabilities'!DQ30/1000000</f>
        <v>0</v>
      </c>
    </row>
    <row r="39" spans="4:21" ht="13.8">
      <c r="D39" s="1104" t="s">
        <v>1180</v>
      </c>
      <c r="E39" s="1059">
        <f>('Input POSB Liabilities'!C31-'Input POSB Liabilities'!G31-'Input POSB Liabilities'!H31-'Input POSB Liabilities'!J31)/1000000</f>
        <v>74.466932</v>
      </c>
      <c r="F39" s="1059">
        <f>('Input POSB Liabilities'!O31-'Input POSB Liabilities'!Y31-'Input POSB Liabilities'!AC31-'Input POSB Liabilities'!AK31)/1000000</f>
        <v>30.390280000000001</v>
      </c>
      <c r="G39" s="1136">
        <f t="shared" si="0"/>
        <v>104.857212</v>
      </c>
      <c r="H39" s="1061">
        <f>('Input POSB Liabilities'!G31+'Input POSB Liabilities'!I31+'Input POSB Liabilities'!Y31+'Input POSB Liabilities'!AC31)/1000000</f>
        <v>3.0000000000000001E-6</v>
      </c>
      <c r="I39" s="1059">
        <f>('Input POSB Liabilities'!J31+'Input POSB Liabilities'!AK31)/1000000</f>
        <v>1.6375630000000001</v>
      </c>
      <c r="J39" s="1061">
        <f t="shared" si="1"/>
        <v>106.49477800000001</v>
      </c>
      <c r="K39" s="1059">
        <f>'Input POSB Liabilities'!BX31/1000000</f>
        <v>0</v>
      </c>
      <c r="L39" s="1059">
        <f>'Input POSB Liabilities'!DA31/1000000</f>
        <v>0</v>
      </c>
      <c r="M39" s="1059">
        <v>0</v>
      </c>
      <c r="N39" s="1059">
        <f>('Input POSB Liabilities'!CD31+'Input POSB Liabilities'!CQ31)/1000000</f>
        <v>0</v>
      </c>
      <c r="O39" s="1059">
        <f>('Input POSB Liabilities'!CY31)/1000000</f>
        <v>0</v>
      </c>
      <c r="P39" s="1059">
        <f>'Input POSB Liabilities'!DH31/1000000</f>
        <v>39.326072000000003</v>
      </c>
      <c r="Q39" s="1059">
        <f>'Input POSB Liabilities'!DN31/1000000</f>
        <v>6.9124879999999997</v>
      </c>
      <c r="R39" s="1106">
        <f t="shared" si="2"/>
        <v>152.733338</v>
      </c>
      <c r="T39" s="1107">
        <f>R39-'Input POSB Liabilities'!DQ31/1000000</f>
        <v>0</v>
      </c>
    </row>
    <row r="40" spans="4:21" ht="13.8">
      <c r="D40" s="1104" t="s">
        <v>1181</v>
      </c>
      <c r="E40" s="1059">
        <f>('Input POSB Liabilities'!C32-'Input POSB Liabilities'!G32-'Input POSB Liabilities'!H32-'Input POSB Liabilities'!J32)/1000000</f>
        <v>77.733107000000004</v>
      </c>
      <c r="F40" s="1059">
        <f>('Input POSB Liabilities'!O32-'Input POSB Liabilities'!Y32-'Input POSB Liabilities'!AC32-'Input POSB Liabilities'!AK32)/1000000</f>
        <v>31.438427999999998</v>
      </c>
      <c r="G40" s="1136">
        <f t="shared" si="0"/>
        <v>109.17153500000001</v>
      </c>
      <c r="H40" s="1061">
        <f>('Input POSB Liabilities'!G32+'Input POSB Liabilities'!I32+'Input POSB Liabilities'!Y32+'Input POSB Liabilities'!AC32)/1000000</f>
        <v>3.0000000000000001E-6</v>
      </c>
      <c r="I40" s="1059">
        <f>('Input POSB Liabilities'!J32+'Input POSB Liabilities'!AK32)/1000000</f>
        <v>5.9831070000000004</v>
      </c>
      <c r="J40" s="1061">
        <f t="shared" si="1"/>
        <v>115.15464500000002</v>
      </c>
      <c r="K40" s="1059">
        <f>'Input POSB Liabilities'!BX32/1000000</f>
        <v>0</v>
      </c>
      <c r="L40" s="1059">
        <f>'Input POSB Liabilities'!DA32/1000000</f>
        <v>0</v>
      </c>
      <c r="M40" s="1059">
        <v>0</v>
      </c>
      <c r="N40" s="1059">
        <f>('Input POSB Liabilities'!CD32+'Input POSB Liabilities'!CQ32)/1000000</f>
        <v>0</v>
      </c>
      <c r="O40" s="1059">
        <f>('Input POSB Liabilities'!CY32)/1000000</f>
        <v>0</v>
      </c>
      <c r="P40" s="1059">
        <f>'Input POSB Liabilities'!DH32/1000000</f>
        <v>41.188575999999998</v>
      </c>
      <c r="Q40" s="1059">
        <f>'Input POSB Liabilities'!DN32/1000000</f>
        <v>7.9860660000000001</v>
      </c>
      <c r="R40" s="1106">
        <f t="shared" si="2"/>
        <v>164.32928700000002</v>
      </c>
      <c r="T40" s="1107">
        <f>R40-'Input POSB Liabilities'!DQ32/1000000</f>
        <v>0</v>
      </c>
    </row>
    <row r="41" spans="4:21" ht="13.8">
      <c r="D41" s="1104"/>
      <c r="E41" s="1059">
        <f>('Input POSB Liabilities'!C33-'Input POSB Liabilities'!G33-'Input POSB Liabilities'!H33-'Input POSB Liabilities'!J33)/1000000</f>
        <v>0</v>
      </c>
      <c r="F41" s="1059">
        <f>('Input POSB Liabilities'!O33-'Input POSB Liabilities'!Y33-'Input POSB Liabilities'!AC33-'Input POSB Liabilities'!AK33)/1000000</f>
        <v>0</v>
      </c>
      <c r="G41" s="1136">
        <f t="shared" si="0"/>
        <v>0</v>
      </c>
      <c r="H41" s="1061">
        <f>('Input POSB Liabilities'!G33+'Input POSB Liabilities'!I33+'Input POSB Liabilities'!Y33+'Input POSB Liabilities'!AC33)/1000000</f>
        <v>0</v>
      </c>
      <c r="I41" s="1059">
        <f>('Input POSB Liabilities'!J33+'Input POSB Liabilities'!AK33)/1000000</f>
        <v>0</v>
      </c>
      <c r="J41" s="1061">
        <f t="shared" si="1"/>
        <v>0</v>
      </c>
      <c r="K41" s="1059">
        <f>'Input POSB Liabilities'!BX33/1000000</f>
        <v>0</v>
      </c>
      <c r="L41" s="1059">
        <f>'Input POSB Liabilities'!DA33/1000000</f>
        <v>0</v>
      </c>
      <c r="M41" s="1059">
        <v>0</v>
      </c>
      <c r="N41" s="1059">
        <f>('Input POSB Liabilities'!CD33+'Input POSB Liabilities'!CQ33)/1000000</f>
        <v>0</v>
      </c>
      <c r="O41" s="1059">
        <f>('Input POSB Liabilities'!CY33)/1000000</f>
        <v>0</v>
      </c>
      <c r="P41" s="1059">
        <f>'Input POSB Liabilities'!DH33/1000000</f>
        <v>0</v>
      </c>
      <c r="Q41" s="1059">
        <f>'Input POSB Liabilities'!DN33/1000000</f>
        <v>0</v>
      </c>
      <c r="R41" s="1106">
        <f t="shared" si="2"/>
        <v>0</v>
      </c>
      <c r="T41" s="1107">
        <f>R41-'Input POSB Liabilities'!DQ33/1000000</f>
        <v>0</v>
      </c>
      <c r="U41" s="1108"/>
    </row>
    <row r="42" spans="4:21" ht="13.8">
      <c r="D42" s="1101">
        <v>2017</v>
      </c>
      <c r="E42" s="1059"/>
      <c r="F42" s="1059"/>
      <c r="G42" s="1061"/>
      <c r="H42" s="1059"/>
      <c r="I42" s="1059"/>
      <c r="J42" s="1061"/>
      <c r="K42" s="1059"/>
      <c r="L42" s="1059"/>
      <c r="M42" s="1059"/>
      <c r="N42" s="1059"/>
      <c r="O42" s="1059"/>
      <c r="P42" s="1059"/>
      <c r="Q42" s="1059"/>
      <c r="R42" s="1061"/>
      <c r="S42" s="1109"/>
      <c r="T42" s="1111"/>
      <c r="U42" s="1108"/>
    </row>
    <row r="43" spans="4:21" ht="13.8">
      <c r="D43" s="1104" t="s">
        <v>1170</v>
      </c>
      <c r="E43" s="1059">
        <f>('Input POSB Liabilities'!C35-'Input POSB Liabilities'!G35-'Input POSB Liabilities'!H35-'Input POSB Liabilities'!J35)/1000000</f>
        <v>77.253141999999997</v>
      </c>
      <c r="F43" s="1059">
        <f>('Input POSB Liabilities'!O35-'Input POSB Liabilities'!Y35-'Input POSB Liabilities'!AC35-'Input POSB Liabilities'!AK35)/1000000</f>
        <v>29.840132000000001</v>
      </c>
      <c r="G43" s="1136">
        <f>SUM(E43:F43)</f>
        <v>107.09327399999999</v>
      </c>
      <c r="H43" s="1061">
        <f>('Input POSB Liabilities'!G35+'Input POSB Liabilities'!I35+'Input POSB Liabilities'!Y35+'Input POSB Liabilities'!AC35)/1000000</f>
        <v>0</v>
      </c>
      <c r="I43" s="1059">
        <f>('Input POSB Liabilities'!J35+'Input POSB Liabilities'!AK35)/1000000</f>
        <v>5.995031</v>
      </c>
      <c r="J43" s="1061">
        <f>SUM(G43:I43)</f>
        <v>113.08830499999999</v>
      </c>
      <c r="K43" s="1059">
        <f>'Input POSB Liabilities'!BX35/1000000</f>
        <v>0</v>
      </c>
      <c r="L43" s="1059">
        <f>'Input POSB Liabilities'!DA35/1000000</f>
        <v>0</v>
      </c>
      <c r="M43" s="1059">
        <v>0</v>
      </c>
      <c r="N43" s="1059">
        <f>('Input POSB Liabilities'!CD35+'Input POSB Liabilities'!CQ35)/1000000</f>
        <v>0</v>
      </c>
      <c r="O43" s="1059">
        <f>('Input POSB Liabilities'!CY35)/1000000</f>
        <v>0</v>
      </c>
      <c r="P43" s="1059">
        <f>'Input POSB Liabilities'!DH35/1000000</f>
        <v>41.919767999999998</v>
      </c>
      <c r="Q43" s="1059">
        <f>'Input POSB Liabilities'!DN35/1000000</f>
        <v>6.8252026399999997</v>
      </c>
      <c r="R43" s="1106">
        <f>SUM(J43:Q43)</f>
        <v>161.83327563999998</v>
      </c>
      <c r="T43" s="1107">
        <f>R43-'Input POSB Liabilities'!DQ35/1000000</f>
        <v>0</v>
      </c>
    </row>
    <row r="44" spans="4:21" ht="13.8">
      <c r="D44" s="1104" t="s">
        <v>1172</v>
      </c>
      <c r="E44" s="1059">
        <f>('Input POSB Liabilities'!C36-'Input POSB Liabilities'!G36-'Input POSB Liabilities'!H36-'Input POSB Liabilities'!J36)/1000000</f>
        <v>77.529897000000005</v>
      </c>
      <c r="F44" s="1059">
        <f>('Input POSB Liabilities'!O36-'Input POSB Liabilities'!Y36-'Input POSB Liabilities'!AC36-'Input POSB Liabilities'!AK36)/1000000</f>
        <v>29.896003</v>
      </c>
      <c r="G44" s="1136">
        <f>SUM(E44:F44)</f>
        <v>107.42590000000001</v>
      </c>
      <c r="H44" s="1061">
        <f>('Input POSB Liabilities'!G36+'Input POSB Liabilities'!I36+'Input POSB Liabilities'!Y36+'Input POSB Liabilities'!AC36)/1000000</f>
        <v>0</v>
      </c>
      <c r="I44" s="1059">
        <f>('Input POSB Liabilities'!J36+'Input POSB Liabilities'!AK36)/1000000</f>
        <v>5.9896570000000002</v>
      </c>
      <c r="J44" s="1061">
        <f>SUM(G44:I44)</f>
        <v>113.41555700000001</v>
      </c>
      <c r="K44" s="1059">
        <f>'Input POSB Liabilities'!BX36/1000000</f>
        <v>0</v>
      </c>
      <c r="L44" s="1059">
        <f>'Input POSB Liabilities'!DA36/1000000</f>
        <v>0</v>
      </c>
      <c r="M44" s="1059">
        <v>0</v>
      </c>
      <c r="N44" s="1059">
        <f>('Input POSB Liabilities'!CD36+'Input POSB Liabilities'!CQ36)/1000000</f>
        <v>0</v>
      </c>
      <c r="O44" s="1059">
        <f>('Input POSB Liabilities'!CY36)/1000000</f>
        <v>0</v>
      </c>
      <c r="P44" s="1059">
        <f>'Input POSB Liabilities'!DH36/1000000</f>
        <v>42.604984999999999</v>
      </c>
      <c r="Q44" s="1059">
        <f>'Input POSB Liabilities'!DN36/1000000</f>
        <v>7.3872871500000059</v>
      </c>
      <c r="R44" s="1106">
        <f>SUM(J44:Q44)</f>
        <v>163.40782915</v>
      </c>
      <c r="T44" s="1107">
        <f>R44-'Input POSB Liabilities'!DQ36/1000000</f>
        <v>0</v>
      </c>
    </row>
    <row r="45" spans="4:21" ht="13.8">
      <c r="D45" s="1104" t="s">
        <v>1173</v>
      </c>
      <c r="E45" s="1059"/>
      <c r="F45" s="1059"/>
      <c r="G45" s="1061"/>
      <c r="H45" s="1059"/>
      <c r="I45" s="1059"/>
      <c r="J45" s="1061"/>
      <c r="K45" s="1059"/>
      <c r="L45" s="1059"/>
      <c r="M45" s="1059"/>
      <c r="N45" s="1059"/>
      <c r="O45" s="1059"/>
      <c r="P45" s="1059"/>
      <c r="Q45" s="1059"/>
      <c r="R45" s="1061"/>
      <c r="S45" s="1109"/>
      <c r="T45" s="1110"/>
    </row>
    <row r="46" spans="4:21" ht="13.8">
      <c r="D46" s="1104" t="s">
        <v>1174</v>
      </c>
      <c r="E46" s="1059"/>
      <c r="F46" s="1059"/>
      <c r="G46" s="1061"/>
      <c r="H46" s="1059"/>
      <c r="I46" s="1059"/>
      <c r="J46" s="1061"/>
      <c r="K46" s="1059"/>
      <c r="L46" s="1059"/>
      <c r="M46" s="1059"/>
      <c r="N46" s="1059"/>
      <c r="O46" s="1059"/>
      <c r="P46" s="1059"/>
      <c r="Q46" s="1059"/>
      <c r="R46" s="1059"/>
      <c r="T46" s="1110"/>
    </row>
    <row r="47" spans="4:21" ht="13.8">
      <c r="D47" s="1104" t="s">
        <v>1165</v>
      </c>
      <c r="E47" s="1059"/>
      <c r="F47" s="1059"/>
      <c r="G47" s="1061"/>
      <c r="H47" s="1059"/>
      <c r="I47" s="1059"/>
      <c r="J47" s="1061"/>
      <c r="K47" s="1059"/>
      <c r="L47" s="1059"/>
      <c r="M47" s="1059"/>
      <c r="N47" s="1059"/>
      <c r="O47" s="1059"/>
      <c r="P47" s="1059"/>
      <c r="Q47" s="1059"/>
      <c r="R47" s="1059"/>
    </row>
    <row r="48" spans="4:21" ht="13.8">
      <c r="D48" s="1104" t="s">
        <v>1203</v>
      </c>
      <c r="E48" s="1059"/>
      <c r="F48" s="1059"/>
      <c r="G48" s="1061"/>
      <c r="H48" s="1059"/>
      <c r="I48" s="1059"/>
      <c r="J48" s="1061"/>
      <c r="K48" s="1059"/>
      <c r="L48" s="1059"/>
      <c r="M48" s="1059"/>
      <c r="N48" s="1059"/>
      <c r="O48" s="1059"/>
      <c r="P48" s="1059"/>
      <c r="Q48" s="1059"/>
      <c r="R48" s="1059"/>
    </row>
    <row r="49" spans="4:21" ht="13.8">
      <c r="D49" s="1104" t="s">
        <v>1205</v>
      </c>
      <c r="E49" s="1059"/>
      <c r="F49" s="1059"/>
      <c r="G49" s="1061"/>
      <c r="H49" s="1059"/>
      <c r="I49" s="1059"/>
      <c r="J49" s="1061"/>
      <c r="K49" s="1059"/>
      <c r="L49" s="1059"/>
      <c r="M49" s="1059"/>
      <c r="N49" s="1059"/>
      <c r="O49" s="1059"/>
      <c r="P49" s="1059"/>
      <c r="Q49" s="1059"/>
      <c r="R49" s="1061"/>
      <c r="S49" s="1109"/>
      <c r="T49" s="1111"/>
      <c r="U49" s="1108"/>
    </row>
    <row r="50" spans="4:21" ht="13.8">
      <c r="D50" s="1104" t="s">
        <v>1177</v>
      </c>
      <c r="E50" s="1059"/>
      <c r="F50" s="1059"/>
      <c r="G50" s="1061"/>
      <c r="H50" s="1059"/>
      <c r="I50" s="1059"/>
      <c r="J50" s="1061"/>
      <c r="K50" s="1059"/>
      <c r="L50" s="1059"/>
      <c r="M50" s="1059"/>
      <c r="N50" s="1059"/>
      <c r="O50" s="1059"/>
      <c r="P50" s="1059"/>
      <c r="Q50" s="1059"/>
      <c r="R50" s="1061"/>
      <c r="S50" s="1109"/>
      <c r="T50" s="1111"/>
      <c r="U50" s="1108"/>
    </row>
    <row r="51" spans="4:21" ht="13.8">
      <c r="D51" s="1104" t="s">
        <v>1178</v>
      </c>
      <c r="E51" s="1059"/>
      <c r="F51" s="1059"/>
      <c r="G51" s="1061"/>
      <c r="H51" s="1059"/>
      <c r="I51" s="1059"/>
      <c r="J51" s="1061"/>
      <c r="K51" s="1059"/>
      <c r="L51" s="1059"/>
      <c r="M51" s="1059"/>
      <c r="N51" s="1059"/>
      <c r="O51" s="1059"/>
      <c r="P51" s="1059"/>
      <c r="Q51" s="1059"/>
      <c r="R51" s="1061"/>
      <c r="S51" s="1109"/>
      <c r="T51" s="1110"/>
    </row>
    <row r="52" spans="4:21" ht="13.8">
      <c r="D52" s="1104" t="s">
        <v>1208</v>
      </c>
      <c r="E52" s="1059"/>
      <c r="F52" s="1059"/>
      <c r="G52" s="1061"/>
      <c r="H52" s="1059"/>
      <c r="I52" s="1059"/>
      <c r="J52" s="1061"/>
      <c r="K52" s="1059"/>
      <c r="L52" s="1059"/>
      <c r="M52" s="1059"/>
      <c r="N52" s="1059"/>
      <c r="O52" s="1059"/>
      <c r="P52" s="1059"/>
      <c r="Q52" s="1059"/>
      <c r="R52" s="1061"/>
      <c r="S52" s="1109"/>
      <c r="T52" s="1111"/>
      <c r="U52" s="1108"/>
    </row>
    <row r="53" spans="4:21" ht="13.8">
      <c r="D53" s="1104" t="s">
        <v>1180</v>
      </c>
      <c r="E53" s="1059"/>
      <c r="F53" s="1059"/>
      <c r="G53" s="1061"/>
      <c r="H53" s="1059"/>
      <c r="I53" s="1059"/>
      <c r="J53" s="1061"/>
      <c r="K53" s="1059"/>
      <c r="L53" s="1059"/>
      <c r="M53" s="1059"/>
      <c r="N53" s="1059"/>
      <c r="O53" s="1059"/>
      <c r="P53" s="1059"/>
      <c r="Q53" s="1059"/>
      <c r="R53" s="1061"/>
      <c r="S53" s="1109"/>
      <c r="T53" s="1110"/>
    </row>
    <row r="54" spans="4:21" ht="13.8">
      <c r="D54" s="1104" t="s">
        <v>1181</v>
      </c>
      <c r="E54" s="1059"/>
      <c r="F54" s="1059"/>
      <c r="G54" s="1061"/>
      <c r="H54" s="1059"/>
      <c r="I54" s="1059"/>
      <c r="J54" s="1061"/>
      <c r="K54" s="1059"/>
      <c r="L54" s="1059"/>
      <c r="M54" s="1059"/>
      <c r="N54" s="1059"/>
      <c r="O54" s="1059"/>
      <c r="P54" s="1059"/>
      <c r="Q54" s="1059"/>
      <c r="R54" s="1059"/>
      <c r="T54" s="1110"/>
    </row>
    <row r="55" spans="4:21" ht="13.8">
      <c r="D55" s="1112"/>
      <c r="E55" s="1113"/>
      <c r="F55" s="1113"/>
      <c r="G55" s="1114"/>
      <c r="H55" s="1113"/>
      <c r="I55" s="1113"/>
      <c r="J55" s="1114"/>
      <c r="K55" s="1113"/>
      <c r="L55" s="1113"/>
      <c r="M55" s="1113"/>
      <c r="N55" s="1113"/>
      <c r="O55" s="1113"/>
      <c r="P55" s="1113"/>
      <c r="Q55" s="1113"/>
      <c r="R55" s="1114"/>
    </row>
    <row r="56" spans="4:21" ht="13.8">
      <c r="D56" s="1115">
        <v>2013</v>
      </c>
      <c r="E56" s="1113"/>
      <c r="F56" s="1113"/>
      <c r="G56" s="1114"/>
      <c r="H56" s="1113"/>
      <c r="I56" s="1113"/>
      <c r="J56" s="1114"/>
      <c r="K56" s="1113"/>
      <c r="L56" s="1113"/>
      <c r="M56" s="1113"/>
      <c r="N56" s="1113"/>
      <c r="O56" s="1113"/>
      <c r="P56" s="1113"/>
      <c r="Q56" s="1113"/>
      <c r="R56" s="1114"/>
    </row>
    <row r="57" spans="4:21" ht="13.8">
      <c r="D57" s="1116" t="s">
        <v>1170</v>
      </c>
      <c r="E57" s="1117"/>
      <c r="F57" s="1117"/>
      <c r="G57" s="1118"/>
      <c r="H57" s="1117"/>
      <c r="I57" s="1117"/>
      <c r="J57" s="1118"/>
      <c r="K57" s="1117"/>
      <c r="L57" s="1117"/>
      <c r="M57" s="1117"/>
      <c r="N57" s="1117"/>
      <c r="O57" s="1117"/>
      <c r="P57" s="1117"/>
      <c r="Q57" s="1117"/>
      <c r="R57" s="1118"/>
    </row>
    <row r="58" spans="4:21" ht="13.8">
      <c r="D58" s="1116" t="s">
        <v>1172</v>
      </c>
      <c r="E58" s="1117"/>
      <c r="F58" s="1117"/>
      <c r="G58" s="1118"/>
      <c r="H58" s="1117"/>
      <c r="I58" s="1117"/>
      <c r="J58" s="1118"/>
      <c r="K58" s="1117"/>
      <c r="L58" s="1117"/>
      <c r="M58" s="1117"/>
      <c r="N58" s="1117"/>
      <c r="O58" s="1117"/>
      <c r="P58" s="1117"/>
      <c r="Q58" s="1117"/>
      <c r="R58" s="1118"/>
    </row>
    <row r="59" spans="4:21" ht="13.8">
      <c r="D59" s="1116" t="s">
        <v>1173</v>
      </c>
      <c r="E59" s="1117"/>
      <c r="F59" s="1117"/>
      <c r="G59" s="1118"/>
      <c r="H59" s="1117"/>
      <c r="I59" s="1117"/>
      <c r="J59" s="1118"/>
      <c r="K59" s="1117"/>
      <c r="L59" s="1117"/>
      <c r="M59" s="1117"/>
      <c r="N59" s="1117"/>
      <c r="O59" s="1117"/>
      <c r="P59" s="1117"/>
      <c r="Q59" s="1117"/>
      <c r="R59" s="1118"/>
    </row>
    <row r="60" spans="4:21" ht="13.8">
      <c r="D60" s="1116" t="s">
        <v>1174</v>
      </c>
      <c r="E60" s="1117"/>
      <c r="F60" s="1117"/>
      <c r="G60" s="1118"/>
      <c r="H60" s="1117"/>
      <c r="I60" s="1117"/>
      <c r="J60" s="1118"/>
      <c r="K60" s="1117"/>
      <c r="L60" s="1117"/>
      <c r="M60" s="1117"/>
      <c r="N60" s="1117"/>
      <c r="O60" s="1117"/>
      <c r="P60" s="1117"/>
      <c r="Q60" s="1117"/>
      <c r="R60" s="1118"/>
    </row>
    <row r="61" spans="4:21" ht="13.8">
      <c r="D61" s="1116" t="s">
        <v>1165</v>
      </c>
      <c r="E61" s="1117"/>
      <c r="F61" s="1117"/>
      <c r="G61" s="1118"/>
      <c r="H61" s="1117"/>
      <c r="I61" s="1117"/>
      <c r="J61" s="1118"/>
      <c r="K61" s="1117"/>
      <c r="L61" s="1117"/>
      <c r="M61" s="1117"/>
      <c r="N61" s="1117"/>
      <c r="O61" s="1117"/>
      <c r="P61" s="1117"/>
      <c r="Q61" s="1117"/>
      <c r="R61" s="1118"/>
    </row>
    <row r="62" spans="4:21" ht="13.8">
      <c r="D62" s="1116" t="s">
        <v>1175</v>
      </c>
      <c r="E62" s="1117"/>
      <c r="F62" s="1117"/>
      <c r="G62" s="1118"/>
      <c r="H62" s="1117"/>
      <c r="I62" s="1117"/>
      <c r="J62" s="1118"/>
      <c r="K62" s="1117"/>
      <c r="L62" s="1117"/>
      <c r="M62" s="1117"/>
      <c r="N62" s="1117"/>
      <c r="O62" s="1117"/>
      <c r="P62" s="1117"/>
      <c r="Q62" s="1117"/>
      <c r="R62" s="1118"/>
    </row>
    <row r="63" spans="4:21" ht="13.8">
      <c r="D63" s="1116" t="s">
        <v>1176</v>
      </c>
      <c r="E63" s="1117"/>
      <c r="F63" s="1117"/>
      <c r="G63" s="1118"/>
      <c r="H63" s="1117"/>
      <c r="I63" s="1117"/>
      <c r="J63" s="1118"/>
      <c r="K63" s="1117"/>
      <c r="L63" s="1117"/>
      <c r="M63" s="1117"/>
      <c r="N63" s="1117"/>
      <c r="O63" s="1117"/>
      <c r="P63" s="1117"/>
      <c r="Q63" s="1117"/>
      <c r="R63" s="1118"/>
    </row>
    <row r="64" spans="4:21" ht="13.8">
      <c r="D64" s="1116" t="s">
        <v>1206</v>
      </c>
      <c r="E64" s="1117"/>
      <c r="F64" s="1117"/>
      <c r="G64" s="1118"/>
      <c r="H64" s="1117"/>
      <c r="I64" s="1117"/>
      <c r="J64" s="1118"/>
      <c r="K64" s="1117"/>
      <c r="L64" s="1117"/>
      <c r="M64" s="1117"/>
      <c r="N64" s="1117"/>
      <c r="O64" s="1117"/>
      <c r="P64" s="1117"/>
      <c r="Q64" s="1117"/>
      <c r="R64" s="1118"/>
    </row>
    <row r="65" spans="4:21" ht="13.8">
      <c r="D65" s="1116" t="s">
        <v>1178</v>
      </c>
      <c r="E65" s="1117"/>
      <c r="F65" s="1117"/>
      <c r="G65" s="1118"/>
      <c r="H65" s="1117"/>
      <c r="I65" s="1117"/>
      <c r="J65" s="1118"/>
      <c r="K65" s="1117"/>
      <c r="L65" s="1117"/>
      <c r="M65" s="1117"/>
      <c r="N65" s="1117"/>
      <c r="O65" s="1117"/>
      <c r="P65" s="1117"/>
      <c r="Q65" s="1117"/>
      <c r="R65" s="1118"/>
    </row>
    <row r="66" spans="4:21" ht="13.8">
      <c r="D66" s="1116" t="s">
        <v>1179</v>
      </c>
      <c r="E66" s="1117"/>
      <c r="F66" s="1117"/>
      <c r="G66" s="1118"/>
      <c r="H66" s="1117"/>
      <c r="I66" s="1117"/>
      <c r="J66" s="1118"/>
      <c r="K66" s="1117"/>
      <c r="L66" s="1117"/>
      <c r="M66" s="1117"/>
      <c r="N66" s="1117"/>
      <c r="O66" s="1117"/>
      <c r="P66" s="1117"/>
      <c r="Q66" s="1117"/>
      <c r="R66" s="1118"/>
    </row>
    <row r="67" spans="4:21" ht="13.8">
      <c r="D67" s="1116" t="s">
        <v>1180</v>
      </c>
      <c r="E67" s="1117"/>
      <c r="F67" s="1117"/>
      <c r="G67" s="1118"/>
      <c r="H67" s="1117"/>
      <c r="I67" s="1117"/>
      <c r="J67" s="1118"/>
      <c r="K67" s="1117"/>
      <c r="L67" s="1117"/>
      <c r="M67" s="1117"/>
      <c r="N67" s="1117"/>
      <c r="O67" s="1117"/>
      <c r="P67" s="1117"/>
      <c r="Q67" s="1117"/>
      <c r="R67" s="1118"/>
    </row>
    <row r="68" spans="4:21" ht="13.8">
      <c r="D68" s="1116" t="s">
        <v>1181</v>
      </c>
      <c r="E68" s="1117"/>
      <c r="F68" s="1117"/>
      <c r="G68" s="1118"/>
      <c r="H68" s="1117"/>
      <c r="I68" s="1117"/>
      <c r="J68" s="1118"/>
      <c r="K68" s="1117"/>
      <c r="L68" s="1117"/>
      <c r="M68" s="1117"/>
      <c r="N68" s="1117"/>
      <c r="O68" s="1117"/>
      <c r="P68" s="1117"/>
      <c r="Q68" s="1117"/>
      <c r="R68" s="1118"/>
      <c r="S68" s="1119"/>
    </row>
    <row r="69" spans="4:21" ht="13.8">
      <c r="D69" s="1112"/>
      <c r="E69" s="1120"/>
      <c r="F69" s="1120"/>
      <c r="G69" s="1121"/>
      <c r="H69" s="1120"/>
      <c r="I69" s="1120"/>
      <c r="J69" s="1121"/>
      <c r="K69" s="1120"/>
      <c r="L69" s="1120"/>
      <c r="M69" s="1120"/>
      <c r="N69" s="1120"/>
      <c r="O69" s="1120"/>
      <c r="P69" s="1120"/>
      <c r="Q69" s="1120"/>
      <c r="R69" s="1121"/>
    </row>
    <row r="70" spans="4:21" ht="13.8">
      <c r="D70" s="1122">
        <v>2014</v>
      </c>
      <c r="E70" s="1120"/>
      <c r="F70" s="1120"/>
      <c r="G70" s="1121"/>
      <c r="H70" s="1120"/>
      <c r="I70" s="1120"/>
      <c r="J70" s="1121"/>
      <c r="K70" s="1120"/>
      <c r="L70" s="1120"/>
      <c r="M70" s="1120"/>
      <c r="N70" s="1120"/>
      <c r="O70" s="1120"/>
      <c r="P70" s="1120"/>
      <c r="Q70" s="1120"/>
      <c r="R70" s="1121"/>
    </row>
    <row r="71" spans="4:21" ht="13.8">
      <c r="D71" s="1116" t="s">
        <v>1170</v>
      </c>
      <c r="E71" s="1117"/>
      <c r="F71" s="1117"/>
      <c r="G71" s="1118"/>
      <c r="H71" s="1117"/>
      <c r="I71" s="1117"/>
      <c r="J71" s="1118"/>
      <c r="K71" s="1117"/>
      <c r="L71" s="1117"/>
      <c r="M71" s="1117"/>
      <c r="N71" s="1117"/>
      <c r="O71" s="1117"/>
      <c r="P71" s="1117"/>
      <c r="Q71" s="1117"/>
      <c r="R71" s="1118"/>
    </row>
    <row r="72" spans="4:21" ht="13.8">
      <c r="D72" s="1116" t="s">
        <v>1172</v>
      </c>
      <c r="E72" s="1117"/>
      <c r="F72" s="1117"/>
      <c r="G72" s="1118"/>
      <c r="H72" s="1117"/>
      <c r="I72" s="1117"/>
      <c r="J72" s="1118"/>
      <c r="K72" s="1117"/>
      <c r="L72" s="1117"/>
      <c r="M72" s="1117"/>
      <c r="N72" s="1117"/>
      <c r="O72" s="1117"/>
      <c r="P72" s="1117"/>
      <c r="Q72" s="1117"/>
      <c r="R72" s="1118"/>
    </row>
    <row r="73" spans="4:21" ht="13.8">
      <c r="D73" s="1116" t="s">
        <v>1173</v>
      </c>
      <c r="E73" s="1117"/>
      <c r="F73" s="1117"/>
      <c r="G73" s="1118"/>
      <c r="H73" s="1117"/>
      <c r="I73" s="1117"/>
      <c r="J73" s="1118"/>
      <c r="K73" s="1117"/>
      <c r="L73" s="1117"/>
      <c r="M73" s="1117"/>
      <c r="N73" s="1117"/>
      <c r="O73" s="1117"/>
      <c r="P73" s="1117"/>
      <c r="Q73" s="1117"/>
      <c r="R73" s="1118"/>
    </row>
    <row r="74" spans="4:21" ht="13.8">
      <c r="D74" s="1116" t="s">
        <v>1174</v>
      </c>
      <c r="E74" s="1117"/>
      <c r="F74" s="1117"/>
      <c r="G74" s="1118"/>
      <c r="H74" s="1117"/>
      <c r="I74" s="1117"/>
      <c r="J74" s="1118"/>
      <c r="K74" s="1117"/>
      <c r="L74" s="1117"/>
      <c r="M74" s="1117"/>
      <c r="N74" s="1117"/>
      <c r="O74" s="1117"/>
      <c r="P74" s="1117"/>
      <c r="Q74" s="1117"/>
      <c r="R74" s="1118"/>
    </row>
    <row r="75" spans="4:21" ht="13.8">
      <c r="D75" s="1116" t="s">
        <v>1165</v>
      </c>
      <c r="E75" s="1117"/>
      <c r="F75" s="1117"/>
      <c r="G75" s="1118"/>
      <c r="H75" s="1117"/>
      <c r="I75" s="1117"/>
      <c r="J75" s="1118"/>
      <c r="K75" s="1117"/>
      <c r="L75" s="1117"/>
      <c r="M75" s="1117"/>
      <c r="N75" s="1117"/>
      <c r="O75" s="1117"/>
      <c r="P75" s="1117"/>
      <c r="Q75" s="1117"/>
      <c r="R75" s="1118"/>
    </row>
    <row r="76" spans="4:21" ht="13.8">
      <c r="D76" s="1116" t="s">
        <v>1175</v>
      </c>
      <c r="E76" s="1117"/>
      <c r="F76" s="1117"/>
      <c r="G76" s="1118"/>
      <c r="H76" s="1117"/>
      <c r="I76" s="1117"/>
      <c r="J76" s="1118"/>
      <c r="K76" s="1117"/>
      <c r="L76" s="1117"/>
      <c r="M76" s="1117"/>
      <c r="N76" s="1117"/>
      <c r="O76" s="1117"/>
      <c r="P76" s="1117"/>
      <c r="Q76" s="1117"/>
      <c r="R76" s="1118"/>
    </row>
    <row r="77" spans="4:21" ht="13.8">
      <c r="D77" s="1116" t="s">
        <v>1176</v>
      </c>
      <c r="E77" s="1117"/>
      <c r="F77" s="1117"/>
      <c r="G77" s="1118"/>
      <c r="H77" s="1117"/>
      <c r="I77" s="1117"/>
      <c r="J77" s="1118"/>
      <c r="K77" s="1117"/>
      <c r="L77" s="1117"/>
      <c r="M77" s="1117"/>
      <c r="N77" s="1117"/>
      <c r="O77" s="1117"/>
      <c r="P77" s="1117"/>
      <c r="Q77" s="1117"/>
      <c r="R77" s="1118"/>
    </row>
    <row r="78" spans="4:21" ht="13.8">
      <c r="D78" s="1116" t="s">
        <v>1177</v>
      </c>
      <c r="E78" s="1117"/>
      <c r="F78" s="1117"/>
      <c r="G78" s="1118"/>
      <c r="H78" s="1117"/>
      <c r="I78" s="1117"/>
      <c r="J78" s="1118"/>
      <c r="K78" s="1117"/>
      <c r="L78" s="1117"/>
      <c r="M78" s="1117"/>
      <c r="N78" s="1117"/>
      <c r="O78" s="1117"/>
      <c r="P78" s="1117"/>
      <c r="Q78" s="1117"/>
      <c r="R78" s="1118"/>
      <c r="S78" s="1123"/>
      <c r="U78" s="1123"/>
    </row>
    <row r="79" spans="4:21" ht="13.8">
      <c r="D79" s="1116" t="s">
        <v>1178</v>
      </c>
      <c r="E79" s="1117"/>
      <c r="F79" s="1117"/>
      <c r="G79" s="1118"/>
      <c r="H79" s="1117"/>
      <c r="I79" s="1117"/>
      <c r="J79" s="1118"/>
      <c r="K79" s="1117"/>
      <c r="L79" s="1117"/>
      <c r="M79" s="1117"/>
      <c r="N79" s="1117"/>
      <c r="O79" s="1117"/>
      <c r="P79" s="1117"/>
      <c r="Q79" s="1117"/>
      <c r="R79" s="1118"/>
    </row>
    <row r="80" spans="4:21" ht="13.8">
      <c r="D80" s="1116" t="s">
        <v>1179</v>
      </c>
      <c r="E80" s="1117"/>
      <c r="F80" s="1117"/>
      <c r="G80" s="1118"/>
      <c r="H80" s="1117"/>
      <c r="I80" s="1117"/>
      <c r="J80" s="1118"/>
      <c r="K80" s="1117"/>
      <c r="L80" s="1117"/>
      <c r="M80" s="1117"/>
      <c r="N80" s="1117"/>
      <c r="O80" s="1117"/>
      <c r="P80" s="1117"/>
      <c r="Q80" s="1117"/>
      <c r="R80" s="1118"/>
    </row>
    <row r="81" spans="4:18" ht="13.8">
      <c r="D81" s="1116" t="s">
        <v>1180</v>
      </c>
      <c r="E81" s="1117"/>
      <c r="F81" s="1117"/>
      <c r="G81" s="1118"/>
      <c r="H81" s="1117"/>
      <c r="I81" s="1117"/>
      <c r="J81" s="1118"/>
      <c r="K81" s="1117"/>
      <c r="L81" s="1117"/>
      <c r="M81" s="1117"/>
      <c r="N81" s="1117"/>
      <c r="O81" s="1117"/>
      <c r="P81" s="1117"/>
      <c r="Q81" s="1117"/>
      <c r="R81" s="1118"/>
    </row>
    <row r="82" spans="4:18" ht="13.8">
      <c r="D82" s="1116" t="s">
        <v>1181</v>
      </c>
      <c r="E82" s="1117"/>
      <c r="F82" s="1117"/>
      <c r="G82" s="1118"/>
      <c r="H82" s="1117"/>
      <c r="I82" s="1117"/>
      <c r="J82" s="1118"/>
      <c r="K82" s="1117"/>
      <c r="L82" s="1117"/>
      <c r="M82" s="1117"/>
      <c r="N82" s="1117"/>
      <c r="O82" s="1117"/>
      <c r="P82" s="1117"/>
      <c r="Q82" s="1117"/>
      <c r="R82" s="1118"/>
    </row>
    <row r="83" spans="4:18" ht="13.8">
      <c r="D83" s="1122"/>
      <c r="E83" s="1120"/>
      <c r="F83" s="1120"/>
      <c r="G83" s="1121"/>
      <c r="H83" s="1120"/>
      <c r="I83" s="1120"/>
      <c r="J83" s="1121"/>
      <c r="K83" s="1120"/>
      <c r="L83" s="1120"/>
      <c r="M83" s="1120"/>
      <c r="N83" s="1120"/>
      <c r="O83" s="1120"/>
      <c r="P83" s="1120"/>
      <c r="Q83" s="1120"/>
      <c r="R83" s="1118"/>
    </row>
    <row r="84" spans="4:18" ht="15.75" customHeight="1">
      <c r="D84" s="1122">
        <v>2015</v>
      </c>
      <c r="E84" s="1117"/>
      <c r="F84" s="1117"/>
      <c r="G84" s="1118"/>
      <c r="H84" s="1117"/>
      <c r="I84" s="1117"/>
      <c r="J84" s="1118"/>
      <c r="K84" s="1117"/>
      <c r="L84" s="1117"/>
      <c r="M84" s="1117"/>
      <c r="N84" s="1117"/>
      <c r="O84" s="1117"/>
      <c r="P84" s="1117"/>
      <c r="Q84" s="1117"/>
      <c r="R84" s="1118"/>
    </row>
    <row r="85" spans="4:18" ht="16.5" customHeight="1">
      <c r="D85" s="1116" t="s">
        <v>345</v>
      </c>
      <c r="E85" s="1117"/>
      <c r="F85" s="1117"/>
      <c r="G85" s="1118"/>
      <c r="H85" s="1117"/>
      <c r="I85" s="1117"/>
      <c r="J85" s="1125"/>
      <c r="K85" s="1124"/>
      <c r="L85" s="1117"/>
      <c r="M85" s="1117"/>
      <c r="N85" s="1117"/>
      <c r="O85" s="1117"/>
      <c r="P85" s="1117"/>
      <c r="Q85" s="1117"/>
      <c r="R85" s="1125"/>
    </row>
    <row r="86" spans="4:18" ht="18.75" customHeight="1">
      <c r="D86" s="1116" t="s">
        <v>334</v>
      </c>
      <c r="E86" s="1117"/>
      <c r="F86" s="1117"/>
      <c r="G86" s="1118"/>
      <c r="H86" s="1117"/>
      <c r="I86" s="1117"/>
      <c r="J86" s="1125"/>
      <c r="K86" s="1124"/>
      <c r="L86" s="1117"/>
      <c r="M86" s="1117"/>
      <c r="N86" s="1117"/>
      <c r="O86" s="1117"/>
      <c r="P86" s="1117"/>
      <c r="Q86" s="1117"/>
      <c r="R86" s="1125"/>
    </row>
    <row r="87" spans="4:18" ht="15.75" customHeight="1">
      <c r="D87" s="1116" t="s">
        <v>335</v>
      </c>
      <c r="E87" s="1117"/>
      <c r="F87" s="1117"/>
      <c r="G87" s="1118"/>
      <c r="H87" s="1117"/>
      <c r="I87" s="1117"/>
      <c r="J87" s="1125"/>
      <c r="K87" s="1124"/>
      <c r="L87" s="1117"/>
      <c r="M87" s="1117"/>
      <c r="N87" s="1117"/>
      <c r="O87" s="1117"/>
      <c r="P87" s="1117"/>
      <c r="Q87" s="1117"/>
      <c r="R87" s="1125"/>
    </row>
    <row r="88" spans="4:18" ht="13.8">
      <c r="D88" s="1116" t="s">
        <v>336</v>
      </c>
      <c r="E88" s="1117"/>
      <c r="F88" s="1117"/>
      <c r="G88" s="1118"/>
      <c r="H88" s="1117"/>
      <c r="I88" s="1117"/>
      <c r="J88" s="1125"/>
      <c r="K88" s="1124"/>
      <c r="L88" s="1117"/>
      <c r="M88" s="1117"/>
      <c r="N88" s="1117"/>
      <c r="O88" s="1117"/>
      <c r="P88" s="1117"/>
      <c r="Q88" s="1117"/>
      <c r="R88" s="1125"/>
    </row>
    <row r="89" spans="4:18" ht="15.75" customHeight="1">
      <c r="D89" s="1116" t="s">
        <v>337</v>
      </c>
      <c r="E89" s="1117"/>
      <c r="F89" s="1117"/>
      <c r="G89" s="1118"/>
      <c r="H89" s="1117"/>
      <c r="I89" s="1117"/>
      <c r="J89" s="1125"/>
      <c r="K89" s="1124"/>
      <c r="L89" s="1117"/>
      <c r="M89" s="1117"/>
      <c r="N89" s="1117"/>
      <c r="O89" s="1117"/>
      <c r="P89" s="1117"/>
      <c r="Q89" s="1117"/>
      <c r="R89" s="1125"/>
    </row>
    <row r="90" spans="4:18" ht="15.75" customHeight="1">
      <c r="D90" s="1116" t="s">
        <v>338</v>
      </c>
      <c r="E90" s="1117"/>
      <c r="F90" s="1117"/>
      <c r="G90" s="1118"/>
      <c r="H90" s="1117"/>
      <c r="I90" s="1117"/>
      <c r="J90" s="1125"/>
      <c r="K90" s="1124"/>
      <c r="L90" s="1117"/>
      <c r="M90" s="1117"/>
      <c r="N90" s="1117"/>
      <c r="O90" s="1117"/>
      <c r="P90" s="1117"/>
      <c r="Q90" s="1117"/>
      <c r="R90" s="1125"/>
    </row>
    <row r="91" spans="4:18" ht="15.75" customHeight="1">
      <c r="D91" s="1116" t="s">
        <v>339</v>
      </c>
      <c r="E91" s="1117"/>
      <c r="F91" s="1117"/>
      <c r="G91" s="1118"/>
      <c r="H91" s="1117"/>
      <c r="I91" s="1117"/>
      <c r="J91" s="1125"/>
      <c r="K91" s="1124"/>
      <c r="L91" s="1117"/>
      <c r="M91" s="1117"/>
      <c r="N91" s="1117"/>
      <c r="O91" s="1117"/>
      <c r="P91" s="1117"/>
      <c r="Q91" s="1117"/>
      <c r="R91" s="1125"/>
    </row>
    <row r="92" spans="4:18" ht="13.8">
      <c r="D92" s="1116" t="s">
        <v>340</v>
      </c>
      <c r="E92" s="1117"/>
      <c r="F92" s="1117"/>
      <c r="G92" s="1118"/>
      <c r="H92" s="1117"/>
      <c r="I92" s="1117"/>
      <c r="J92" s="1125"/>
      <c r="K92" s="1124"/>
      <c r="L92" s="1117"/>
      <c r="M92" s="1117"/>
      <c r="N92" s="1117"/>
      <c r="O92" s="1117"/>
      <c r="P92" s="1117"/>
      <c r="Q92" s="1117"/>
      <c r="R92" s="1125"/>
    </row>
    <row r="93" spans="4:18" ht="13.8">
      <c r="D93" s="1116" t="s">
        <v>341</v>
      </c>
      <c r="E93" s="1117"/>
      <c r="F93" s="1117"/>
      <c r="G93" s="1118"/>
      <c r="H93" s="1117"/>
      <c r="I93" s="1117"/>
      <c r="J93" s="1125"/>
      <c r="K93" s="1124"/>
      <c r="L93" s="1117"/>
      <c r="M93" s="1117"/>
      <c r="N93" s="1117"/>
      <c r="O93" s="1117"/>
      <c r="P93" s="1117"/>
      <c r="Q93" s="1117"/>
      <c r="R93" s="1125"/>
    </row>
    <row r="94" spans="4:18" ht="16.5" customHeight="1">
      <c r="D94" s="1116" t="s">
        <v>342</v>
      </c>
      <c r="E94" s="1117"/>
      <c r="F94" s="1117"/>
      <c r="G94" s="1118"/>
      <c r="H94" s="1117"/>
      <c r="I94" s="1117"/>
      <c r="J94" s="1125"/>
      <c r="K94" s="1124"/>
      <c r="L94" s="1117"/>
      <c r="M94" s="1117"/>
      <c r="N94" s="1117"/>
      <c r="O94" s="1117"/>
      <c r="P94" s="1117"/>
      <c r="Q94" s="1117"/>
      <c r="R94" s="1125"/>
    </row>
    <row r="95" spans="4:18" ht="13.8">
      <c r="D95" s="1116" t="s">
        <v>343</v>
      </c>
      <c r="E95" s="1117"/>
      <c r="F95" s="1117"/>
      <c r="G95" s="1118"/>
      <c r="H95" s="1117"/>
      <c r="I95" s="1117"/>
      <c r="J95" s="1125"/>
      <c r="K95" s="1124"/>
      <c r="L95" s="1117"/>
      <c r="M95" s="1117"/>
      <c r="N95" s="1117"/>
      <c r="O95" s="1117"/>
      <c r="P95" s="1117"/>
      <c r="Q95" s="1117"/>
      <c r="R95" s="1125"/>
    </row>
    <row r="96" spans="4:18" ht="13.8">
      <c r="D96" s="1116" t="s">
        <v>344</v>
      </c>
      <c r="E96" s="1117"/>
      <c r="F96" s="1117"/>
      <c r="G96" s="1118"/>
      <c r="H96" s="1117"/>
      <c r="I96" s="1117"/>
      <c r="J96" s="1125"/>
      <c r="K96" s="1124"/>
      <c r="L96" s="1117"/>
      <c r="M96" s="1117"/>
      <c r="N96" s="1117"/>
      <c r="O96" s="1117"/>
      <c r="P96" s="1117"/>
      <c r="Q96" s="1117"/>
      <c r="R96" s="1125"/>
    </row>
    <row r="97" spans="4:20" ht="13.8">
      <c r="D97" s="1116"/>
      <c r="E97" s="1117"/>
      <c r="F97" s="1117"/>
      <c r="G97" s="1118"/>
      <c r="H97" s="1117"/>
      <c r="I97" s="1117"/>
      <c r="J97" s="1125"/>
      <c r="K97" s="1124"/>
      <c r="L97" s="1117"/>
      <c r="M97" s="1117"/>
      <c r="N97" s="1117"/>
      <c r="O97" s="1117"/>
      <c r="P97" s="1117"/>
      <c r="Q97" s="1117"/>
      <c r="R97" s="1125"/>
    </row>
    <row r="98" spans="4:20" ht="13.8">
      <c r="D98" s="1122">
        <v>2016</v>
      </c>
      <c r="E98" s="1117"/>
      <c r="F98" s="1117"/>
      <c r="G98" s="1118"/>
      <c r="H98" s="1117"/>
      <c r="I98" s="1117"/>
      <c r="J98" s="1125"/>
      <c r="K98" s="1124"/>
      <c r="L98" s="1117"/>
      <c r="M98" s="1117"/>
      <c r="N98" s="1117"/>
      <c r="O98" s="1117"/>
      <c r="P98" s="1117"/>
      <c r="Q98" s="1117"/>
      <c r="R98" s="1125"/>
    </row>
    <row r="99" spans="4:20" ht="20.25" customHeight="1">
      <c r="D99" s="1116" t="s">
        <v>345</v>
      </c>
      <c r="E99" s="1117"/>
      <c r="F99" s="1117"/>
      <c r="G99" s="1118"/>
      <c r="H99" s="1117"/>
      <c r="I99" s="1117"/>
      <c r="J99" s="1125"/>
      <c r="K99" s="1124"/>
      <c r="L99" s="1117"/>
      <c r="M99" s="1117"/>
      <c r="N99" s="1117"/>
      <c r="O99" s="1117"/>
      <c r="P99" s="1117"/>
      <c r="Q99" s="1117"/>
      <c r="R99" s="1125"/>
    </row>
    <row r="100" spans="4:20" ht="16.5" customHeight="1">
      <c r="D100" s="1116" t="s">
        <v>334</v>
      </c>
      <c r="E100" s="1117"/>
      <c r="F100" s="1117"/>
      <c r="G100" s="1118"/>
      <c r="H100" s="1117"/>
      <c r="I100" s="1117"/>
      <c r="J100" s="1125"/>
      <c r="K100" s="1124"/>
      <c r="L100" s="1117"/>
      <c r="M100" s="1117"/>
      <c r="N100" s="1117"/>
      <c r="O100" s="1117"/>
      <c r="P100" s="1117"/>
      <c r="Q100" s="1117"/>
      <c r="R100" s="1125"/>
    </row>
    <row r="101" spans="4:20" ht="18" customHeight="1">
      <c r="D101" s="1116" t="s">
        <v>335</v>
      </c>
      <c r="E101" s="1117"/>
      <c r="F101" s="1117"/>
      <c r="G101" s="1118"/>
      <c r="H101" s="1117"/>
      <c r="I101" s="1117"/>
      <c r="J101" s="1125"/>
      <c r="K101" s="1124"/>
      <c r="L101" s="1117"/>
      <c r="M101" s="1117"/>
      <c r="N101" s="1117"/>
      <c r="O101" s="1117"/>
      <c r="P101" s="1117"/>
      <c r="Q101" s="1117"/>
      <c r="R101" s="1125"/>
    </row>
    <row r="102" spans="4:20" ht="18.75" customHeight="1">
      <c r="D102" s="1116" t="s">
        <v>336</v>
      </c>
      <c r="E102" s="1117"/>
      <c r="F102" s="1117"/>
      <c r="G102" s="1118"/>
      <c r="H102" s="1117"/>
      <c r="I102" s="1117"/>
      <c r="J102" s="1125"/>
      <c r="K102" s="1124"/>
      <c r="L102" s="1117"/>
      <c r="M102" s="1117"/>
      <c r="N102" s="1117"/>
      <c r="O102" s="1117"/>
      <c r="P102" s="1117"/>
      <c r="Q102" s="1117"/>
      <c r="R102" s="1125"/>
    </row>
    <row r="103" spans="4:20" ht="20.25" customHeight="1">
      <c r="D103" s="1116" t="s">
        <v>337</v>
      </c>
      <c r="E103" s="1117"/>
      <c r="F103" s="1117"/>
      <c r="G103" s="1118"/>
      <c r="H103" s="1117"/>
      <c r="I103" s="1117"/>
      <c r="J103" s="1125"/>
      <c r="K103" s="1124"/>
      <c r="L103" s="1117"/>
      <c r="M103" s="1117"/>
      <c r="N103" s="1117"/>
      <c r="O103" s="1117"/>
      <c r="P103" s="1117"/>
      <c r="Q103" s="1117"/>
      <c r="R103" s="1125"/>
    </row>
    <row r="104" spans="4:20" ht="20.25" customHeight="1">
      <c r="D104" s="1116" t="s">
        <v>338</v>
      </c>
      <c r="E104" s="1117"/>
      <c r="F104" s="1117"/>
      <c r="G104" s="1118"/>
      <c r="H104" s="1117"/>
      <c r="I104" s="1117"/>
      <c r="J104" s="1125"/>
      <c r="K104" s="1124"/>
      <c r="L104" s="1117"/>
      <c r="M104" s="1117"/>
      <c r="N104" s="1117"/>
      <c r="O104" s="1117"/>
      <c r="P104" s="1117"/>
      <c r="Q104" s="1117"/>
      <c r="R104" s="1125"/>
    </row>
    <row r="105" spans="4:20" ht="20.25" customHeight="1">
      <c r="D105" s="1116" t="s">
        <v>339</v>
      </c>
      <c r="E105" s="1117"/>
      <c r="F105" s="1117"/>
      <c r="G105" s="1118"/>
      <c r="H105" s="1117"/>
      <c r="I105" s="1117"/>
      <c r="J105" s="1125"/>
      <c r="K105" s="1124"/>
      <c r="L105" s="1117"/>
      <c r="M105" s="1117"/>
      <c r="N105" s="1117"/>
      <c r="O105" s="1117"/>
      <c r="P105" s="1117"/>
      <c r="Q105" s="1117"/>
      <c r="R105" s="1125"/>
    </row>
    <row r="106" spans="4:20" ht="20.25" customHeight="1">
      <c r="D106" s="1116" t="s">
        <v>340</v>
      </c>
      <c r="E106" s="1117"/>
      <c r="F106" s="1117"/>
      <c r="G106" s="1118"/>
      <c r="H106" s="1117"/>
      <c r="I106" s="1117"/>
      <c r="J106" s="1125"/>
      <c r="K106" s="1124"/>
      <c r="L106" s="1117"/>
      <c r="M106" s="1117"/>
      <c r="N106" s="1117"/>
      <c r="O106" s="1117"/>
      <c r="P106" s="1117"/>
      <c r="Q106" s="1117"/>
      <c r="R106" s="1125"/>
    </row>
    <row r="107" spans="4:20" ht="20.25" customHeight="1">
      <c r="D107" s="1116" t="s">
        <v>341</v>
      </c>
      <c r="E107" s="1117"/>
      <c r="F107" s="1117"/>
      <c r="G107" s="1118"/>
      <c r="H107" s="1117"/>
      <c r="I107" s="1117"/>
      <c r="J107" s="1125"/>
      <c r="K107" s="1124"/>
      <c r="L107" s="1117"/>
      <c r="M107" s="1117"/>
      <c r="N107" s="1117"/>
      <c r="O107" s="1117"/>
      <c r="P107" s="1117"/>
      <c r="Q107" s="1117"/>
      <c r="R107" s="1125"/>
    </row>
    <row r="108" spans="4:20" ht="20.25" customHeight="1">
      <c r="D108" s="1116" t="s">
        <v>342</v>
      </c>
      <c r="E108" s="1117"/>
      <c r="F108" s="1117"/>
      <c r="G108" s="1118"/>
      <c r="H108" s="1117"/>
      <c r="I108" s="1117"/>
      <c r="J108" s="1127"/>
      <c r="K108" s="1126"/>
      <c r="L108" s="1117"/>
      <c r="M108" s="1117"/>
      <c r="N108" s="1117"/>
      <c r="O108" s="1117"/>
      <c r="P108" s="1117"/>
      <c r="Q108" s="1117"/>
      <c r="R108" s="1127"/>
      <c r="T108" s="1128"/>
    </row>
    <row r="109" spans="4:20" ht="20.25" customHeight="1">
      <c r="D109" s="1116" t="s">
        <v>343</v>
      </c>
      <c r="E109" s="1117"/>
      <c r="F109" s="1117"/>
      <c r="G109" s="1118"/>
      <c r="H109" s="1117"/>
      <c r="I109" s="1117"/>
      <c r="J109" s="1127"/>
      <c r="K109" s="1126"/>
      <c r="L109" s="1117"/>
      <c r="M109" s="1117"/>
      <c r="N109" s="1117"/>
      <c r="O109" s="1117"/>
      <c r="P109" s="1117"/>
      <c r="Q109" s="1117"/>
      <c r="R109" s="1127"/>
      <c r="T109" s="1128"/>
    </row>
    <row r="110" spans="4:20" ht="14.4" thickBot="1">
      <c r="D110" s="1116"/>
      <c r="E110" s="1129"/>
      <c r="F110" s="1129"/>
      <c r="G110" s="1130"/>
      <c r="H110" s="1129"/>
      <c r="I110" s="1129"/>
      <c r="J110" s="1130"/>
      <c r="K110" s="1129"/>
      <c r="L110" s="1129"/>
      <c r="M110" s="1129"/>
      <c r="N110" s="1129"/>
      <c r="O110" s="1129"/>
      <c r="P110" s="1129"/>
      <c r="Q110" s="1129"/>
      <c r="R110" s="1130"/>
      <c r="S110" s="1102"/>
    </row>
    <row r="111" spans="4:20" ht="13.8" thickTop="1">
      <c r="D111" s="1131"/>
      <c r="E111" s="1132"/>
      <c r="F111" s="1132"/>
      <c r="G111" s="1133"/>
      <c r="H111" s="1132"/>
      <c r="I111" s="1132"/>
      <c r="J111" s="1134"/>
      <c r="K111" s="1135"/>
      <c r="L111" s="1135"/>
      <c r="M111" s="1135"/>
      <c r="N111" s="1135"/>
      <c r="O111" s="1135"/>
      <c r="P111" s="1135"/>
      <c r="Q111" s="1135"/>
      <c r="R111" s="1134"/>
      <c r="S111" s="1102"/>
    </row>
    <row r="112" spans="4:20" ht="16.8">
      <c r="D112" s="965" t="s">
        <v>1360</v>
      </c>
      <c r="E112" s="928"/>
      <c r="F112" s="928"/>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6" customWidth="1"/>
    <col min="2" max="3" width="8.90625" style="616" customWidth="1"/>
    <col min="4" max="4" width="10.81640625" style="616" customWidth="1"/>
    <col min="5" max="5" width="11" style="616" customWidth="1"/>
    <col min="6" max="6" width="13.81640625" style="616" customWidth="1"/>
    <col min="7" max="8" width="12.90625" style="616" customWidth="1"/>
    <col min="9" max="9" width="11.08984375" style="616" customWidth="1"/>
    <col min="10" max="10" width="12.1796875" style="616" bestFit="1" customWidth="1"/>
    <col min="11" max="11" width="15" style="616" customWidth="1"/>
    <col min="12" max="12" width="10.36328125" style="616" customWidth="1"/>
    <col min="13" max="13" width="9.90625" style="616" bestFit="1" customWidth="1"/>
    <col min="14" max="14" width="13" style="616" bestFit="1" customWidth="1"/>
    <col min="15" max="15" width="12.6328125" style="616" bestFit="1" customWidth="1"/>
    <col min="16" max="16" width="17.453125" style="616" bestFit="1" customWidth="1"/>
    <col min="17" max="20" width="11.453125" style="616" customWidth="1"/>
    <col min="21" max="21" width="12.1796875" style="616" customWidth="1"/>
    <col min="22" max="22" width="17.54296875" style="616" customWidth="1"/>
    <col min="23" max="23" width="12.54296875" style="1030" bestFit="1" customWidth="1"/>
    <col min="24" max="24" width="8.90625" style="1031" bestFit="1" customWidth="1"/>
    <col min="25" max="25" width="9.36328125" style="1032" bestFit="1" customWidth="1"/>
    <col min="26" max="16384" width="8.6328125" style="616"/>
  </cols>
  <sheetData>
    <row r="1" spans="1:25" ht="27" customHeight="1">
      <c r="B1" s="1844" t="s">
        <v>1725</v>
      </c>
      <c r="C1" s="1844"/>
      <c r="D1" s="1844"/>
      <c r="E1" s="1844"/>
      <c r="F1" s="1844"/>
      <c r="G1" s="1844"/>
      <c r="H1" s="1844"/>
      <c r="I1" s="1844"/>
      <c r="J1" s="1844"/>
      <c r="K1" s="1844"/>
      <c r="L1" s="1844"/>
      <c r="M1" s="1844"/>
      <c r="N1" s="1844"/>
      <c r="O1" s="1844"/>
      <c r="P1" s="1844"/>
      <c r="Q1" s="1844"/>
      <c r="R1" s="1844"/>
      <c r="S1" s="1844"/>
      <c r="T1" s="1844"/>
      <c r="U1" s="1844"/>
    </row>
    <row r="2" spans="1:25" ht="13.95" customHeight="1">
      <c r="A2" s="618"/>
      <c r="B2" s="959"/>
      <c r="C2" s="959"/>
      <c r="D2" s="959"/>
      <c r="E2" s="959"/>
      <c r="F2" s="959"/>
      <c r="G2" s="959"/>
      <c r="H2" s="959"/>
      <c r="I2" s="959"/>
      <c r="J2" s="959"/>
      <c r="K2" s="959"/>
      <c r="L2" s="959"/>
      <c r="M2" s="959"/>
      <c r="N2" s="959"/>
      <c r="O2" s="959"/>
      <c r="P2" s="959"/>
      <c r="Q2" s="959"/>
      <c r="R2" s="959"/>
      <c r="S2" s="959"/>
      <c r="T2" s="959"/>
      <c r="U2" s="959"/>
    </row>
    <row r="3" spans="1:25" ht="19.5" customHeight="1">
      <c r="A3" s="617"/>
      <c r="B3" s="1818" t="s">
        <v>1349</v>
      </c>
      <c r="C3" s="1818"/>
      <c r="D3" s="1818"/>
      <c r="E3" s="1818"/>
      <c r="F3" s="1818"/>
      <c r="G3" s="1818"/>
      <c r="H3" s="1818"/>
      <c r="I3" s="1818"/>
      <c r="J3" s="1818"/>
      <c r="K3" s="1818"/>
      <c r="L3" s="1818"/>
      <c r="M3" s="1818"/>
      <c r="N3" s="1818"/>
      <c r="O3" s="1818"/>
      <c r="P3" s="1818"/>
      <c r="Q3" s="1818"/>
      <c r="R3" s="1818"/>
      <c r="S3" s="1818"/>
      <c r="T3" s="1818"/>
      <c r="U3" s="1818"/>
    </row>
    <row r="4" spans="1:25" ht="13.95" customHeight="1" thickBot="1">
      <c r="A4" s="618"/>
      <c r="B4" s="754"/>
      <c r="C4" s="754"/>
      <c r="D4" s="754"/>
      <c r="E4" s="754"/>
      <c r="F4" s="754"/>
      <c r="G4" s="754"/>
      <c r="H4" s="754"/>
      <c r="I4" s="754"/>
      <c r="J4" s="754"/>
      <c r="K4" s="754"/>
      <c r="L4" s="754"/>
      <c r="M4" s="754"/>
      <c r="N4" s="754"/>
      <c r="O4" s="754"/>
      <c r="P4" s="754"/>
      <c r="Q4" s="754"/>
      <c r="R4" s="754"/>
      <c r="S4" s="754"/>
      <c r="T4" s="754"/>
      <c r="U4" s="754"/>
    </row>
    <row r="5" spans="1:25" ht="15" customHeight="1" thickTop="1">
      <c r="B5" s="1033"/>
      <c r="C5" s="1034"/>
      <c r="D5" s="1035"/>
      <c r="E5" s="1036"/>
      <c r="F5" s="1036"/>
      <c r="G5" s="1037"/>
      <c r="H5" s="1036"/>
      <c r="I5" s="1035"/>
      <c r="J5" s="1036"/>
      <c r="K5" s="1036"/>
      <c r="L5" s="1037"/>
      <c r="M5" s="1038"/>
      <c r="N5" s="1038"/>
      <c r="O5" s="1038"/>
      <c r="P5" s="1038"/>
      <c r="Q5" s="1038"/>
      <c r="R5" s="1038"/>
      <c r="S5" s="1038"/>
      <c r="T5" s="1038"/>
      <c r="U5" s="1038"/>
    </row>
    <row r="6" spans="1:25" ht="19.5" customHeight="1" thickBot="1">
      <c r="B6" s="1039"/>
      <c r="C6" s="1040"/>
      <c r="D6" s="1819"/>
      <c r="E6" s="1820"/>
      <c r="F6" s="1820"/>
      <c r="G6" s="1821"/>
      <c r="H6" s="1041"/>
      <c r="I6" s="1822"/>
      <c r="J6" s="1823"/>
      <c r="K6" s="1823"/>
      <c r="L6" s="1824"/>
      <c r="M6" s="1042"/>
      <c r="N6" s="1042"/>
      <c r="O6" s="1042"/>
      <c r="P6" s="1042"/>
      <c r="Q6" s="1042"/>
      <c r="R6" s="1042"/>
      <c r="S6" s="1042"/>
      <c r="T6" s="1042"/>
      <c r="U6" s="1042"/>
    </row>
    <row r="7" spans="1:25" ht="15" customHeight="1" thickTop="1" thickBot="1">
      <c r="B7" s="1043"/>
      <c r="C7" s="1043"/>
      <c r="D7" s="1042" t="s">
        <v>35</v>
      </c>
      <c r="E7" s="1042"/>
      <c r="F7" s="1042"/>
      <c r="G7" s="1042"/>
      <c r="H7" s="1044"/>
      <c r="I7" s="1825" t="s">
        <v>1694</v>
      </c>
      <c r="J7" s="1826"/>
      <c r="K7" s="1826"/>
      <c r="L7" s="1843"/>
      <c r="M7" s="1825" t="s">
        <v>1695</v>
      </c>
      <c r="N7" s="1826"/>
      <c r="O7" s="1826"/>
      <c r="P7" s="1843"/>
      <c r="Q7" s="1042" t="s">
        <v>1722</v>
      </c>
      <c r="R7" s="1042" t="s">
        <v>1696</v>
      </c>
      <c r="S7" s="1042" t="s">
        <v>1479</v>
      </c>
      <c r="T7" s="1042" t="s">
        <v>1164</v>
      </c>
      <c r="U7" s="1045" t="s">
        <v>287</v>
      </c>
    </row>
    <row r="8" spans="1:25" ht="16.5" customHeight="1" thickTop="1">
      <c r="B8" s="1042" t="s">
        <v>32</v>
      </c>
      <c r="C8" s="1042"/>
      <c r="D8" s="1042" t="s">
        <v>998</v>
      </c>
      <c r="E8" s="1042"/>
      <c r="F8" s="1042"/>
      <c r="G8" s="1042"/>
      <c r="H8" s="1042"/>
      <c r="I8" s="1046"/>
      <c r="J8" s="1047"/>
      <c r="K8" s="1047"/>
      <c r="L8" s="1047"/>
      <c r="M8" s="1042"/>
      <c r="N8" s="1042"/>
      <c r="O8" s="1042"/>
      <c r="P8" s="1042"/>
      <c r="Q8" s="1042"/>
      <c r="R8" s="1042"/>
      <c r="S8" s="1042"/>
      <c r="T8" s="1042" t="s">
        <v>1026</v>
      </c>
      <c r="U8" s="1042"/>
    </row>
    <row r="9" spans="1:25" ht="18" customHeight="1">
      <c r="B9" s="1043"/>
      <c r="C9" s="1042" t="s">
        <v>1326</v>
      </c>
      <c r="D9" s="1042" t="s">
        <v>766</v>
      </c>
      <c r="E9" s="1042" t="s">
        <v>999</v>
      </c>
      <c r="F9" s="1042" t="s">
        <v>1697</v>
      </c>
      <c r="G9" s="1042" t="s">
        <v>999</v>
      </c>
      <c r="H9" s="1042" t="s">
        <v>1698</v>
      </c>
      <c r="I9" s="1042"/>
      <c r="J9" s="1048"/>
      <c r="K9" s="1048"/>
      <c r="L9" s="1048"/>
      <c r="M9" s="1042"/>
      <c r="N9" s="1042"/>
      <c r="O9" s="1042"/>
      <c r="P9" s="1042"/>
      <c r="Q9" s="1042"/>
      <c r="R9" s="1042"/>
      <c r="S9" s="1042"/>
      <c r="T9" s="1042"/>
      <c r="U9" s="1042"/>
    </row>
    <row r="10" spans="1:25" ht="17.25" customHeight="1">
      <c r="B10" s="1043"/>
      <c r="C10" s="1042" t="s">
        <v>1351</v>
      </c>
      <c r="D10" s="1042" t="s">
        <v>1004</v>
      </c>
      <c r="E10" s="1042" t="s">
        <v>1001</v>
      </c>
      <c r="F10" s="1042" t="s">
        <v>1699</v>
      </c>
      <c r="G10" s="1042" t="s">
        <v>1001</v>
      </c>
      <c r="H10" s="1042" t="s">
        <v>1700</v>
      </c>
      <c r="I10" s="1048" t="s">
        <v>1701</v>
      </c>
      <c r="J10" s="1048" t="s">
        <v>1702</v>
      </c>
      <c r="K10" s="1042" t="s">
        <v>1141</v>
      </c>
      <c r="L10" s="1048" t="s">
        <v>1703</v>
      </c>
      <c r="M10" s="1042" t="s">
        <v>64</v>
      </c>
      <c r="N10" s="1042" t="s">
        <v>1704</v>
      </c>
      <c r="O10" s="1042" t="s">
        <v>1141</v>
      </c>
      <c r="P10" s="1048" t="s">
        <v>1705</v>
      </c>
      <c r="Q10" s="1042"/>
      <c r="R10" s="1042"/>
      <c r="S10" s="1042"/>
      <c r="T10" s="1042"/>
      <c r="U10" s="1042"/>
    </row>
    <row r="11" spans="1:25" ht="18.75" customHeight="1" thickBot="1">
      <c r="B11" s="1049"/>
      <c r="C11" s="1050" t="s">
        <v>1324</v>
      </c>
      <c r="D11" s="1051"/>
      <c r="E11" s="1051" t="s">
        <v>1005</v>
      </c>
      <c r="F11" s="1051" t="s">
        <v>1706</v>
      </c>
      <c r="G11" s="1051" t="s">
        <v>1187</v>
      </c>
      <c r="H11" s="1051" t="s">
        <v>1707</v>
      </c>
      <c r="I11" s="1051" t="s">
        <v>1163</v>
      </c>
      <c r="J11" s="1052" t="s">
        <v>1708</v>
      </c>
      <c r="K11" s="1052"/>
      <c r="L11" s="1052"/>
      <c r="M11" s="1051"/>
      <c r="N11" s="1051"/>
      <c r="O11" s="1051"/>
      <c r="P11" s="1051"/>
      <c r="Q11" s="1051"/>
      <c r="R11" s="1051"/>
      <c r="S11" s="1051"/>
      <c r="T11" s="1051"/>
      <c r="U11" s="1051"/>
    </row>
    <row r="12" spans="1:25" ht="15" customHeight="1" thickTop="1">
      <c r="B12" s="1053"/>
      <c r="C12" s="1053"/>
      <c r="D12" s="1046"/>
      <c r="E12" s="1042"/>
      <c r="F12" s="1042"/>
      <c r="G12" s="1042"/>
      <c r="H12" s="1042"/>
      <c r="I12" s="1046"/>
      <c r="J12" s="1048"/>
      <c r="K12" s="1048"/>
      <c r="L12" s="1048"/>
      <c r="M12" s="1042"/>
      <c r="N12" s="1042"/>
      <c r="O12" s="1042"/>
      <c r="P12" s="1042"/>
      <c r="Q12" s="1042"/>
      <c r="R12" s="1042"/>
      <c r="S12" s="1042"/>
      <c r="T12" s="1042"/>
      <c r="U12" s="1042"/>
      <c r="W12" s="1054" t="s">
        <v>1709</v>
      </c>
    </row>
    <row r="13" spans="1:25" ht="15" customHeight="1">
      <c r="B13" s="1055">
        <v>2015</v>
      </c>
      <c r="C13" s="1055"/>
      <c r="D13" s="1042"/>
      <c r="E13" s="1042"/>
      <c r="F13" s="1042"/>
      <c r="G13" s="1042"/>
      <c r="H13" s="1042"/>
      <c r="I13" s="1042"/>
      <c r="J13" s="1048"/>
      <c r="K13" s="1048"/>
      <c r="L13" s="1048"/>
      <c r="M13" s="1042"/>
      <c r="N13" s="1042"/>
      <c r="O13" s="1042"/>
      <c r="P13" s="1042"/>
      <c r="Q13" s="1042"/>
      <c r="R13" s="1042"/>
      <c r="S13" s="1042"/>
      <c r="T13" s="1042"/>
      <c r="U13" s="1042"/>
    </row>
    <row r="14" spans="1:25" ht="15" customHeight="1">
      <c r="B14" s="1056" t="s">
        <v>1170</v>
      </c>
      <c r="C14" s="1057" t="e">
        <f>#REF!+'Table 7 Merchant Bank Assets'!C14</f>
        <v>#REF!</v>
      </c>
      <c r="D14" s="1058" t="e">
        <f>#REF!+'Table 7 Merchant Bank Assets'!D14</f>
        <v>#REF!</v>
      </c>
      <c r="E14" s="1058" t="e">
        <f>#REF!+'Table 7 Merchant Bank Assets'!E14</f>
        <v>#REF!</v>
      </c>
      <c r="F14" s="1058" t="e">
        <f>#REF!+'Table 7 Merchant Bank Assets'!F14</f>
        <v>#REF!</v>
      </c>
      <c r="G14" s="1059" t="e">
        <f>+#REF!+'Table 7 Merchant Bank Assets'!G14</f>
        <v>#REF!</v>
      </c>
      <c r="H14" s="1059" t="e">
        <f>+#REF!+'Table 7 Merchant Bank Assets'!H14</f>
        <v>#REF!</v>
      </c>
      <c r="I14" s="1059" t="e">
        <f>#REF!+'Table 7 Merchant Bank Assets'!I14</f>
        <v>#REF!</v>
      </c>
      <c r="J14" s="1060" t="e">
        <f>#REF!+'Table 7 Merchant Bank Assets'!J14</f>
        <v>#REF!</v>
      </c>
      <c r="K14" s="1060" t="e">
        <f>#REF!+'Table 7 Merchant Bank Assets'!K14</f>
        <v>#REF!</v>
      </c>
      <c r="L14" s="1060" t="e">
        <f>'Table 7 Merchant Bank Assets'!L14+#REF!</f>
        <v>#REF!</v>
      </c>
      <c r="M14" s="1059" t="e">
        <f>#REF!+'Table 7 Merchant Bank Assets'!M14</f>
        <v>#REF!</v>
      </c>
      <c r="N14" s="1059" t="e">
        <f>#REF!+'Table 7 Merchant Bank Assets'!N14</f>
        <v>#REF!</v>
      </c>
      <c r="O14" s="1059" t="e">
        <f>#REF!+'Table 7 Merchant Bank Assets'!O14</f>
        <v>#REF!</v>
      </c>
      <c r="P14" s="1059" t="e">
        <f>#REF!+'Table 7 Merchant Bank Assets'!P14</f>
        <v>#REF!</v>
      </c>
      <c r="Q14" s="1059" t="e">
        <f>#REF!</f>
        <v>#REF!</v>
      </c>
      <c r="R14" s="1059" t="e">
        <f>#REF!+'Table 7 Merchant Bank Assets'!Q14</f>
        <v>#REF!</v>
      </c>
      <c r="S14" s="1059" t="e">
        <f>#REF!+'Table 7 Merchant Bank Assets'!R14</f>
        <v>#REF!</v>
      </c>
      <c r="T14" s="1059" t="e">
        <f>+#REF!+'Table 7 Merchant Bank Assets'!S14</f>
        <v>#REF!</v>
      </c>
      <c r="U14" s="1061" t="e">
        <f>SUM(C14:T14)</f>
        <v>#REF!</v>
      </c>
      <c r="W14" s="1062" t="e">
        <f>+U14-'Table 7 Merchant Bank Assets'!T14-#REF!</f>
        <v>#REF!</v>
      </c>
      <c r="X14" s="1063" t="e">
        <f>+W14/U14</f>
        <v>#REF!</v>
      </c>
      <c r="Y14" s="1032" t="e">
        <f>+W14*1000000</f>
        <v>#REF!</v>
      </c>
    </row>
    <row r="15" spans="1:25" ht="15" customHeight="1">
      <c r="B15" s="1056" t="s">
        <v>1172</v>
      </c>
      <c r="C15" s="1057" t="e">
        <f>#REF!+'Table 7 Merchant Bank Assets'!C15</f>
        <v>#REF!</v>
      </c>
      <c r="D15" s="1058" t="e">
        <f>#REF!+'Table 7 Merchant Bank Assets'!D15</f>
        <v>#REF!</v>
      </c>
      <c r="E15" s="1058" t="e">
        <f>#REF!+'Table 7 Merchant Bank Assets'!E15</f>
        <v>#REF!</v>
      </c>
      <c r="F15" s="1058" t="e">
        <f>#REF!+'Table 7 Merchant Bank Assets'!F15</f>
        <v>#REF!</v>
      </c>
      <c r="G15" s="1059" t="e">
        <f>+#REF!+'Table 7 Merchant Bank Assets'!G15</f>
        <v>#REF!</v>
      </c>
      <c r="H15" s="1059" t="e">
        <f>+#REF!+'Table 7 Merchant Bank Assets'!H15</f>
        <v>#REF!</v>
      </c>
      <c r="I15" s="1059" t="e">
        <f>#REF!+'Table 7 Merchant Bank Assets'!I15</f>
        <v>#REF!</v>
      </c>
      <c r="J15" s="1060" t="e">
        <f>#REF!+'Table 7 Merchant Bank Assets'!J15</f>
        <v>#REF!</v>
      </c>
      <c r="K15" s="1060" t="e">
        <f>#REF!+'Table 7 Merchant Bank Assets'!K15</f>
        <v>#REF!</v>
      </c>
      <c r="L15" s="1060" t="e">
        <f>'Table 7 Merchant Bank Assets'!L15+#REF!</f>
        <v>#REF!</v>
      </c>
      <c r="M15" s="1059" t="e">
        <f>#REF!+'Table 7 Merchant Bank Assets'!M15</f>
        <v>#REF!</v>
      </c>
      <c r="N15" s="1059" t="e">
        <f>#REF!+'Table 7 Merchant Bank Assets'!N15</f>
        <v>#REF!</v>
      </c>
      <c r="O15" s="1059" t="e">
        <f>#REF!+'Table 7 Merchant Bank Assets'!O15</f>
        <v>#REF!</v>
      </c>
      <c r="P15" s="1059" t="e">
        <f>#REF!+'Table 7 Merchant Bank Assets'!P15</f>
        <v>#REF!</v>
      </c>
      <c r="Q15" s="1059" t="e">
        <f>#REF!</f>
        <v>#REF!</v>
      </c>
      <c r="R15" s="1059" t="e">
        <f>#REF!+'Table 7 Merchant Bank Assets'!Q15</f>
        <v>#REF!</v>
      </c>
      <c r="S15" s="1059" t="e">
        <f>#REF!+'Table 7 Merchant Bank Assets'!R15</f>
        <v>#REF!</v>
      </c>
      <c r="T15" s="1059" t="e">
        <f>+#REF!+'Table 7 Merchant Bank Assets'!S15</f>
        <v>#REF!</v>
      </c>
      <c r="U15" s="1061" t="e">
        <f t="shared" ref="U15:U39" si="0">SUM(C15:T15)</f>
        <v>#REF!</v>
      </c>
      <c r="W15" s="1062" t="e">
        <f>+U15-'Table 7 Merchant Bank Assets'!T15-#REF!</f>
        <v>#REF!</v>
      </c>
      <c r="X15" s="1063" t="e">
        <f t="shared" ref="X15:X39" si="1">+W15/U15</f>
        <v>#REF!</v>
      </c>
      <c r="Y15" s="1032" t="e">
        <f t="shared" ref="Y15:Y39" si="2">+W15*1000000</f>
        <v>#REF!</v>
      </c>
    </row>
    <row r="16" spans="1:25" ht="15" customHeight="1">
      <c r="B16" s="1056" t="s">
        <v>1173</v>
      </c>
      <c r="C16" s="1057" t="e">
        <f>#REF!+'Table 7 Merchant Bank Assets'!C16</f>
        <v>#REF!</v>
      </c>
      <c r="D16" s="1058" t="e">
        <f>#REF!+'Table 7 Merchant Bank Assets'!D16</f>
        <v>#REF!</v>
      </c>
      <c r="E16" s="1058" t="e">
        <f>#REF!+'Table 7 Merchant Bank Assets'!E16</f>
        <v>#REF!</v>
      </c>
      <c r="F16" s="1058" t="e">
        <f>#REF!+'Table 7 Merchant Bank Assets'!F16</f>
        <v>#REF!</v>
      </c>
      <c r="G16" s="1059" t="e">
        <f>+#REF!+'Table 7 Merchant Bank Assets'!G16</f>
        <v>#REF!</v>
      </c>
      <c r="H16" s="1059" t="e">
        <f>+#REF!+'Table 7 Merchant Bank Assets'!H16</f>
        <v>#REF!</v>
      </c>
      <c r="I16" s="1059" t="e">
        <f>#REF!+'Table 7 Merchant Bank Assets'!I16</f>
        <v>#REF!</v>
      </c>
      <c r="J16" s="1060" t="e">
        <f>#REF!+'Table 7 Merchant Bank Assets'!J16</f>
        <v>#REF!</v>
      </c>
      <c r="K16" s="1060" t="e">
        <f>#REF!+'Table 7 Merchant Bank Assets'!K16</f>
        <v>#REF!</v>
      </c>
      <c r="L16" s="1060" t="e">
        <f>'Table 7 Merchant Bank Assets'!L16+#REF!</f>
        <v>#REF!</v>
      </c>
      <c r="M16" s="1059" t="e">
        <f>#REF!+'Table 7 Merchant Bank Assets'!M16</f>
        <v>#REF!</v>
      </c>
      <c r="N16" s="1059" t="e">
        <f>#REF!+'Table 7 Merchant Bank Assets'!N16</f>
        <v>#REF!</v>
      </c>
      <c r="O16" s="1059" t="e">
        <f>#REF!+'Table 7 Merchant Bank Assets'!O16</f>
        <v>#REF!</v>
      </c>
      <c r="P16" s="1059" t="e">
        <f>#REF!+'Table 7 Merchant Bank Assets'!P16</f>
        <v>#REF!</v>
      </c>
      <c r="Q16" s="1059" t="e">
        <f>#REF!</f>
        <v>#REF!</v>
      </c>
      <c r="R16" s="1059" t="e">
        <f>#REF!+'Table 7 Merchant Bank Assets'!Q16</f>
        <v>#REF!</v>
      </c>
      <c r="S16" s="1059" t="e">
        <f>#REF!+'Table 7 Merchant Bank Assets'!R16</f>
        <v>#REF!</v>
      </c>
      <c r="T16" s="1059" t="e">
        <f>+#REF!+'Table 7 Merchant Bank Assets'!S16</f>
        <v>#REF!</v>
      </c>
      <c r="U16" s="1061" t="e">
        <f t="shared" si="0"/>
        <v>#REF!</v>
      </c>
      <c r="W16" s="1062" t="e">
        <f>+U16-'Table 7 Merchant Bank Assets'!T16-#REF!</f>
        <v>#REF!</v>
      </c>
      <c r="X16" s="1063" t="e">
        <f t="shared" si="1"/>
        <v>#REF!</v>
      </c>
      <c r="Y16" s="1032" t="e">
        <f t="shared" si="2"/>
        <v>#REF!</v>
      </c>
    </row>
    <row r="17" spans="2:25" ht="15" customHeight="1">
      <c r="B17" s="1056" t="s">
        <v>1174</v>
      </c>
      <c r="C17" s="1057" t="e">
        <f>#REF!+'Table 7 Merchant Bank Assets'!C17</f>
        <v>#REF!</v>
      </c>
      <c r="D17" s="1058" t="e">
        <f>#REF!+'Table 7 Merchant Bank Assets'!D17</f>
        <v>#REF!</v>
      </c>
      <c r="E17" s="1058" t="e">
        <f>#REF!+'Table 7 Merchant Bank Assets'!E17</f>
        <v>#REF!</v>
      </c>
      <c r="F17" s="1058" t="e">
        <f>#REF!+'Table 7 Merchant Bank Assets'!F17</f>
        <v>#REF!</v>
      </c>
      <c r="G17" s="1059" t="e">
        <f>+#REF!+'Table 7 Merchant Bank Assets'!G17</f>
        <v>#REF!</v>
      </c>
      <c r="H17" s="1059" t="e">
        <f>+#REF!+'Table 7 Merchant Bank Assets'!H17</f>
        <v>#REF!</v>
      </c>
      <c r="I17" s="1059" t="e">
        <f>#REF!+'Table 7 Merchant Bank Assets'!I17</f>
        <v>#REF!</v>
      </c>
      <c r="J17" s="1060" t="e">
        <f>#REF!+'Table 7 Merchant Bank Assets'!J17</f>
        <v>#REF!</v>
      </c>
      <c r="K17" s="1060" t="e">
        <f>#REF!+'Table 7 Merchant Bank Assets'!K17</f>
        <v>#REF!</v>
      </c>
      <c r="L17" s="1060" t="e">
        <f>'Table 7 Merchant Bank Assets'!L17+#REF!</f>
        <v>#REF!</v>
      </c>
      <c r="M17" s="1059" t="e">
        <f>#REF!+'Table 7 Merchant Bank Assets'!M17</f>
        <v>#REF!</v>
      </c>
      <c r="N17" s="1059" t="e">
        <f>#REF!+'Table 7 Merchant Bank Assets'!N17</f>
        <v>#REF!</v>
      </c>
      <c r="O17" s="1059" t="e">
        <f>#REF!+'Table 7 Merchant Bank Assets'!O17</f>
        <v>#REF!</v>
      </c>
      <c r="P17" s="1059" t="e">
        <f>#REF!+'Table 7 Merchant Bank Assets'!P17</f>
        <v>#REF!</v>
      </c>
      <c r="Q17" s="1059" t="e">
        <f>#REF!</f>
        <v>#REF!</v>
      </c>
      <c r="R17" s="1059" t="e">
        <f>#REF!+'Table 7 Merchant Bank Assets'!Q17</f>
        <v>#REF!</v>
      </c>
      <c r="S17" s="1059" t="e">
        <f>#REF!+'Table 7 Merchant Bank Assets'!R17</f>
        <v>#REF!</v>
      </c>
      <c r="T17" s="1059" t="e">
        <f>+#REF!+'Table 7 Merchant Bank Assets'!S17</f>
        <v>#REF!</v>
      </c>
      <c r="U17" s="1061" t="e">
        <f t="shared" si="0"/>
        <v>#REF!</v>
      </c>
      <c r="W17" s="1062" t="e">
        <f>+U17-'Table 7 Merchant Bank Assets'!T17-#REF!</f>
        <v>#REF!</v>
      </c>
      <c r="X17" s="1063" t="e">
        <f t="shared" si="1"/>
        <v>#REF!</v>
      </c>
      <c r="Y17" s="1032" t="e">
        <f t="shared" si="2"/>
        <v>#REF!</v>
      </c>
    </row>
    <row r="18" spans="2:25" ht="15" customHeight="1">
      <c r="B18" s="1056" t="s">
        <v>1165</v>
      </c>
      <c r="C18" s="1057" t="e">
        <f>#REF!+'Table 7 Merchant Bank Assets'!C18</f>
        <v>#REF!</v>
      </c>
      <c r="D18" s="1058" t="e">
        <f>#REF!+'Table 7 Merchant Bank Assets'!D18</f>
        <v>#REF!</v>
      </c>
      <c r="E18" s="1058" t="e">
        <f>#REF!+'Table 7 Merchant Bank Assets'!E18</f>
        <v>#REF!</v>
      </c>
      <c r="F18" s="1058" t="e">
        <f>#REF!+'Table 7 Merchant Bank Assets'!F18</f>
        <v>#REF!</v>
      </c>
      <c r="G18" s="1059" t="e">
        <f>+#REF!+'Table 7 Merchant Bank Assets'!G18</f>
        <v>#REF!</v>
      </c>
      <c r="H18" s="1059" t="e">
        <f>+#REF!+'Table 7 Merchant Bank Assets'!H18</f>
        <v>#REF!</v>
      </c>
      <c r="I18" s="1059" t="e">
        <f>#REF!+'Table 7 Merchant Bank Assets'!I18</f>
        <v>#REF!</v>
      </c>
      <c r="J18" s="1060" t="e">
        <f>#REF!+'Table 7 Merchant Bank Assets'!J18</f>
        <v>#REF!</v>
      </c>
      <c r="K18" s="1060" t="e">
        <f>#REF!+'Table 7 Merchant Bank Assets'!K18</f>
        <v>#REF!</v>
      </c>
      <c r="L18" s="1060" t="e">
        <f>'Table 7 Merchant Bank Assets'!L18+#REF!</f>
        <v>#REF!</v>
      </c>
      <c r="M18" s="1059" t="e">
        <f>#REF!+'Table 7 Merchant Bank Assets'!M18</f>
        <v>#REF!</v>
      </c>
      <c r="N18" s="1059" t="e">
        <f>#REF!+'Table 7 Merchant Bank Assets'!N18</f>
        <v>#REF!</v>
      </c>
      <c r="O18" s="1059" t="e">
        <f>#REF!+'Table 7 Merchant Bank Assets'!O18</f>
        <v>#REF!</v>
      </c>
      <c r="P18" s="1059" t="e">
        <f>#REF!+'Table 7 Merchant Bank Assets'!P18</f>
        <v>#REF!</v>
      </c>
      <c r="Q18" s="1059" t="e">
        <f>#REF!</f>
        <v>#REF!</v>
      </c>
      <c r="R18" s="1059" t="e">
        <f>#REF!+'Table 7 Merchant Bank Assets'!Q18</f>
        <v>#REF!</v>
      </c>
      <c r="S18" s="1059" t="e">
        <f>#REF!+'Table 7 Merchant Bank Assets'!R18</f>
        <v>#REF!</v>
      </c>
      <c r="T18" s="1059" t="e">
        <f>+#REF!+'Table 7 Merchant Bank Assets'!S18</f>
        <v>#REF!</v>
      </c>
      <c r="U18" s="1061" t="e">
        <f t="shared" si="0"/>
        <v>#REF!</v>
      </c>
      <c r="W18" s="1062" t="e">
        <f>+U18-'Table 7 Merchant Bank Assets'!T18-#REF!</f>
        <v>#REF!</v>
      </c>
      <c r="X18" s="1063" t="e">
        <f t="shared" si="1"/>
        <v>#REF!</v>
      </c>
      <c r="Y18" s="1032" t="e">
        <f t="shared" si="2"/>
        <v>#REF!</v>
      </c>
    </row>
    <row r="19" spans="2:25" ht="15" customHeight="1">
      <c r="B19" s="1056" t="s">
        <v>1175</v>
      </c>
      <c r="C19" s="1057" t="e">
        <f>#REF!+'Table 7 Merchant Bank Assets'!C19</f>
        <v>#REF!</v>
      </c>
      <c r="D19" s="1058" t="e">
        <f>#REF!+'Table 7 Merchant Bank Assets'!D19</f>
        <v>#REF!</v>
      </c>
      <c r="E19" s="1058" t="e">
        <f>#REF!+'Table 7 Merchant Bank Assets'!E19</f>
        <v>#REF!</v>
      </c>
      <c r="F19" s="1058" t="e">
        <f>#REF!+'Table 7 Merchant Bank Assets'!F19</f>
        <v>#REF!</v>
      </c>
      <c r="G19" s="1059" t="e">
        <f>+#REF!+'Table 7 Merchant Bank Assets'!G19</f>
        <v>#REF!</v>
      </c>
      <c r="H19" s="1059" t="e">
        <f>+#REF!+'Table 7 Merchant Bank Assets'!H19</f>
        <v>#REF!</v>
      </c>
      <c r="I19" s="1059" t="e">
        <f>#REF!+'Table 7 Merchant Bank Assets'!I19</f>
        <v>#REF!</v>
      </c>
      <c r="J19" s="1060" t="e">
        <f>#REF!+'Table 7 Merchant Bank Assets'!J19</f>
        <v>#REF!</v>
      </c>
      <c r="K19" s="1060" t="e">
        <f>#REF!+'Table 7 Merchant Bank Assets'!K19</f>
        <v>#REF!</v>
      </c>
      <c r="L19" s="1060" t="e">
        <f>'Table 7 Merchant Bank Assets'!L19+#REF!</f>
        <v>#REF!</v>
      </c>
      <c r="M19" s="1059" t="e">
        <f>#REF!+'Table 7 Merchant Bank Assets'!M19</f>
        <v>#REF!</v>
      </c>
      <c r="N19" s="1059" t="e">
        <f>#REF!+'Table 7 Merchant Bank Assets'!N19</f>
        <v>#REF!</v>
      </c>
      <c r="O19" s="1059" t="e">
        <f>#REF!+'Table 7 Merchant Bank Assets'!O19</f>
        <v>#REF!</v>
      </c>
      <c r="P19" s="1059" t="e">
        <f>#REF!+'Table 7 Merchant Bank Assets'!P19</f>
        <v>#REF!</v>
      </c>
      <c r="Q19" s="1059" t="e">
        <f>#REF!</f>
        <v>#REF!</v>
      </c>
      <c r="R19" s="1059" t="e">
        <f>#REF!+'Table 7 Merchant Bank Assets'!Q19</f>
        <v>#REF!</v>
      </c>
      <c r="S19" s="1059" t="e">
        <f>#REF!+'Table 7 Merchant Bank Assets'!R19</f>
        <v>#REF!</v>
      </c>
      <c r="T19" s="1059" t="e">
        <f>+#REF!+'Table 7 Merchant Bank Assets'!S19</f>
        <v>#REF!</v>
      </c>
      <c r="U19" s="1061" t="e">
        <f t="shared" si="0"/>
        <v>#REF!</v>
      </c>
      <c r="W19" s="1062" t="e">
        <f>+U19-'Table 7 Merchant Bank Assets'!T19-#REF!</f>
        <v>#REF!</v>
      </c>
      <c r="X19" s="1063" t="e">
        <f t="shared" si="1"/>
        <v>#REF!</v>
      </c>
      <c r="Y19" s="1032" t="e">
        <f t="shared" si="2"/>
        <v>#REF!</v>
      </c>
    </row>
    <row r="20" spans="2:25" ht="15" customHeight="1">
      <c r="B20" s="1056" t="s">
        <v>1176</v>
      </c>
      <c r="C20" s="1057" t="e">
        <f>#REF!+'Table 7 Merchant Bank Assets'!C20</f>
        <v>#REF!</v>
      </c>
      <c r="D20" s="1058" t="e">
        <f>#REF!+'Table 7 Merchant Bank Assets'!D20</f>
        <v>#REF!</v>
      </c>
      <c r="E20" s="1058" t="e">
        <f>#REF!+'Table 7 Merchant Bank Assets'!E20</f>
        <v>#REF!</v>
      </c>
      <c r="F20" s="1058" t="e">
        <f>#REF!+'Table 7 Merchant Bank Assets'!F20</f>
        <v>#REF!</v>
      </c>
      <c r="G20" s="1059" t="e">
        <f>+#REF!+'Table 7 Merchant Bank Assets'!G20</f>
        <v>#REF!</v>
      </c>
      <c r="H20" s="1059" t="e">
        <f>+#REF!+'Table 7 Merchant Bank Assets'!H20</f>
        <v>#REF!</v>
      </c>
      <c r="I20" s="1059" t="e">
        <f>#REF!+'Table 7 Merchant Bank Assets'!I20</f>
        <v>#REF!</v>
      </c>
      <c r="J20" s="1060" t="e">
        <f>#REF!+'Table 7 Merchant Bank Assets'!J20</f>
        <v>#REF!</v>
      </c>
      <c r="K20" s="1060" t="e">
        <f>#REF!+'Table 7 Merchant Bank Assets'!K20</f>
        <v>#REF!</v>
      </c>
      <c r="L20" s="1060" t="e">
        <f>'Table 7 Merchant Bank Assets'!L20+#REF!</f>
        <v>#REF!</v>
      </c>
      <c r="M20" s="1059" t="e">
        <f>#REF!+'Table 7 Merchant Bank Assets'!M20</f>
        <v>#REF!</v>
      </c>
      <c r="N20" s="1059" t="e">
        <f>#REF!+'Table 7 Merchant Bank Assets'!N20</f>
        <v>#REF!</v>
      </c>
      <c r="O20" s="1059" t="e">
        <f>#REF!+'Table 7 Merchant Bank Assets'!O20</f>
        <v>#REF!</v>
      </c>
      <c r="P20" s="1059" t="e">
        <f>#REF!+'Table 7 Merchant Bank Assets'!P20</f>
        <v>#REF!</v>
      </c>
      <c r="Q20" s="1059" t="e">
        <f>#REF!</f>
        <v>#REF!</v>
      </c>
      <c r="R20" s="1059" t="e">
        <f>#REF!+'Table 7 Merchant Bank Assets'!Q20</f>
        <v>#REF!</v>
      </c>
      <c r="S20" s="1059" t="e">
        <f>#REF!+'Table 7 Merchant Bank Assets'!R20</f>
        <v>#REF!</v>
      </c>
      <c r="T20" s="1059" t="e">
        <f>+#REF!+'Table 7 Merchant Bank Assets'!S20</f>
        <v>#REF!</v>
      </c>
      <c r="U20" s="1061" t="e">
        <f t="shared" si="0"/>
        <v>#REF!</v>
      </c>
      <c r="W20" s="1062" t="e">
        <f>+U20-'Table 7 Merchant Bank Assets'!T20-#REF!</f>
        <v>#REF!</v>
      </c>
      <c r="X20" s="1063" t="e">
        <f t="shared" si="1"/>
        <v>#REF!</v>
      </c>
      <c r="Y20" s="1032" t="e">
        <f t="shared" si="2"/>
        <v>#REF!</v>
      </c>
    </row>
    <row r="21" spans="2:25" ht="15" customHeight="1">
      <c r="B21" s="1056" t="s">
        <v>1177</v>
      </c>
      <c r="C21" s="1057" t="e">
        <f>#REF!+'Table 7 Merchant Bank Assets'!C21</f>
        <v>#REF!</v>
      </c>
      <c r="D21" s="1058" t="e">
        <f>#REF!+'Table 7 Merchant Bank Assets'!D21</f>
        <v>#REF!</v>
      </c>
      <c r="E21" s="1058" t="e">
        <f>#REF!+'Table 7 Merchant Bank Assets'!E21</f>
        <v>#REF!</v>
      </c>
      <c r="F21" s="1058" t="e">
        <f>#REF!+'Table 7 Merchant Bank Assets'!F21</f>
        <v>#REF!</v>
      </c>
      <c r="G21" s="1059" t="e">
        <f>+#REF!+'Table 7 Merchant Bank Assets'!G21</f>
        <v>#REF!</v>
      </c>
      <c r="H21" s="1059" t="e">
        <f>+#REF!+'Table 7 Merchant Bank Assets'!H21</f>
        <v>#REF!</v>
      </c>
      <c r="I21" s="1059" t="e">
        <f>#REF!+'Table 7 Merchant Bank Assets'!I21</f>
        <v>#REF!</v>
      </c>
      <c r="J21" s="1060" t="e">
        <f>#REF!+'Table 7 Merchant Bank Assets'!J21</f>
        <v>#REF!</v>
      </c>
      <c r="K21" s="1060" t="e">
        <f>#REF!+'Table 7 Merchant Bank Assets'!K21</f>
        <v>#REF!</v>
      </c>
      <c r="L21" s="1060" t="e">
        <f>'Table 7 Merchant Bank Assets'!L21+#REF!</f>
        <v>#REF!</v>
      </c>
      <c r="M21" s="1059" t="e">
        <f>#REF!+'Table 7 Merchant Bank Assets'!M21</f>
        <v>#REF!</v>
      </c>
      <c r="N21" s="1059" t="e">
        <f>#REF!+'Table 7 Merchant Bank Assets'!N21</f>
        <v>#REF!</v>
      </c>
      <c r="O21" s="1059" t="e">
        <f>#REF!+'Table 7 Merchant Bank Assets'!O21</f>
        <v>#REF!</v>
      </c>
      <c r="P21" s="1059" t="e">
        <f>#REF!+'Table 7 Merchant Bank Assets'!P21</f>
        <v>#REF!</v>
      </c>
      <c r="Q21" s="1059" t="e">
        <f>#REF!</f>
        <v>#REF!</v>
      </c>
      <c r="R21" s="1059" t="e">
        <f>#REF!+'Table 7 Merchant Bank Assets'!Q21</f>
        <v>#REF!</v>
      </c>
      <c r="S21" s="1059" t="e">
        <f>#REF!+'Table 7 Merchant Bank Assets'!R21</f>
        <v>#REF!</v>
      </c>
      <c r="T21" s="1059" t="e">
        <f>+#REF!+'Table 7 Merchant Bank Assets'!S21</f>
        <v>#REF!</v>
      </c>
      <c r="U21" s="1061" t="e">
        <f t="shared" si="0"/>
        <v>#REF!</v>
      </c>
      <c r="W21" s="1062" t="e">
        <f>+U21-'Table 7 Merchant Bank Assets'!T21-#REF!</f>
        <v>#REF!</v>
      </c>
      <c r="X21" s="1063" t="e">
        <f t="shared" si="1"/>
        <v>#REF!</v>
      </c>
      <c r="Y21" s="1032" t="e">
        <f t="shared" si="2"/>
        <v>#REF!</v>
      </c>
    </row>
    <row r="22" spans="2:25" ht="15" customHeight="1">
      <c r="B22" s="1056" t="s">
        <v>1178</v>
      </c>
      <c r="C22" s="1057" t="e">
        <f>#REF!+'Table 7 Merchant Bank Assets'!C22</f>
        <v>#REF!</v>
      </c>
      <c r="D22" s="1058" t="e">
        <f>#REF!+'Table 7 Merchant Bank Assets'!D22</f>
        <v>#REF!</v>
      </c>
      <c r="E22" s="1058" t="e">
        <f>#REF!+'Table 7 Merchant Bank Assets'!E22</f>
        <v>#REF!</v>
      </c>
      <c r="F22" s="1058" t="e">
        <f>#REF!+'Table 7 Merchant Bank Assets'!F22</f>
        <v>#REF!</v>
      </c>
      <c r="G22" s="1059" t="e">
        <f>+#REF!+'Table 7 Merchant Bank Assets'!G22</f>
        <v>#REF!</v>
      </c>
      <c r="H22" s="1059" t="e">
        <f>+#REF!+'Table 7 Merchant Bank Assets'!H22</f>
        <v>#REF!</v>
      </c>
      <c r="I22" s="1059" t="e">
        <f>#REF!+'Table 7 Merchant Bank Assets'!I22</f>
        <v>#REF!</v>
      </c>
      <c r="J22" s="1060" t="e">
        <f>#REF!+'Table 7 Merchant Bank Assets'!J22</f>
        <v>#REF!</v>
      </c>
      <c r="K22" s="1060" t="e">
        <f>#REF!+'Table 7 Merchant Bank Assets'!K22</f>
        <v>#REF!</v>
      </c>
      <c r="L22" s="1060" t="e">
        <f>'Table 7 Merchant Bank Assets'!L22+#REF!</f>
        <v>#REF!</v>
      </c>
      <c r="M22" s="1059" t="e">
        <f>#REF!+'Table 7 Merchant Bank Assets'!M22</f>
        <v>#REF!</v>
      </c>
      <c r="N22" s="1059" t="e">
        <f>#REF!+'Table 7 Merchant Bank Assets'!N22</f>
        <v>#REF!</v>
      </c>
      <c r="O22" s="1059" t="e">
        <f>#REF!+'Table 7 Merchant Bank Assets'!O22</f>
        <v>#REF!</v>
      </c>
      <c r="P22" s="1059" t="e">
        <f>#REF!+'Table 7 Merchant Bank Assets'!P22</f>
        <v>#REF!</v>
      </c>
      <c r="Q22" s="1059" t="e">
        <f>#REF!</f>
        <v>#REF!</v>
      </c>
      <c r="R22" s="1059" t="e">
        <f>#REF!+'Table 7 Merchant Bank Assets'!Q22</f>
        <v>#REF!</v>
      </c>
      <c r="S22" s="1059" t="e">
        <f>#REF!+'Table 7 Merchant Bank Assets'!R22</f>
        <v>#REF!</v>
      </c>
      <c r="T22" s="1059" t="e">
        <f>+#REF!+'Table 7 Merchant Bank Assets'!S22</f>
        <v>#REF!</v>
      </c>
      <c r="U22" s="1061" t="e">
        <f t="shared" si="0"/>
        <v>#REF!</v>
      </c>
      <c r="W22" s="1062" t="e">
        <f>+U22-'Table 7 Merchant Bank Assets'!T22-#REF!</f>
        <v>#REF!</v>
      </c>
      <c r="X22" s="1063" t="e">
        <f t="shared" si="1"/>
        <v>#REF!</v>
      </c>
      <c r="Y22" s="1032" t="e">
        <f t="shared" si="2"/>
        <v>#REF!</v>
      </c>
    </row>
    <row r="23" spans="2:25" ht="15" customHeight="1">
      <c r="B23" s="1056" t="s">
        <v>1179</v>
      </c>
      <c r="C23" s="1057" t="e">
        <f>#REF!+'Table 7 Merchant Bank Assets'!C23</f>
        <v>#REF!</v>
      </c>
      <c r="D23" s="1058" t="e">
        <f>#REF!+'Table 7 Merchant Bank Assets'!D23</f>
        <v>#REF!</v>
      </c>
      <c r="E23" s="1058" t="e">
        <f>#REF!+'Table 7 Merchant Bank Assets'!E23</f>
        <v>#REF!</v>
      </c>
      <c r="F23" s="1058" t="e">
        <f>#REF!+'Table 7 Merchant Bank Assets'!F23</f>
        <v>#REF!</v>
      </c>
      <c r="G23" s="1059" t="e">
        <f>+#REF!+'Table 7 Merchant Bank Assets'!G23</f>
        <v>#REF!</v>
      </c>
      <c r="H23" s="1059" t="e">
        <f>+#REF!+'Table 7 Merchant Bank Assets'!H23</f>
        <v>#REF!</v>
      </c>
      <c r="I23" s="1059" t="e">
        <f>#REF!+'Table 7 Merchant Bank Assets'!I23</f>
        <v>#REF!</v>
      </c>
      <c r="J23" s="1060" t="e">
        <f>#REF!+'Table 7 Merchant Bank Assets'!J23</f>
        <v>#REF!</v>
      </c>
      <c r="K23" s="1060" t="e">
        <f>#REF!+'Table 7 Merchant Bank Assets'!K23</f>
        <v>#REF!</v>
      </c>
      <c r="L23" s="1060" t="e">
        <f>'Table 7 Merchant Bank Assets'!L23+#REF!</f>
        <v>#REF!</v>
      </c>
      <c r="M23" s="1059" t="e">
        <f>#REF!+'Table 7 Merchant Bank Assets'!M23</f>
        <v>#REF!</v>
      </c>
      <c r="N23" s="1059" t="e">
        <f>#REF!+'Table 7 Merchant Bank Assets'!N23</f>
        <v>#REF!</v>
      </c>
      <c r="O23" s="1059" t="e">
        <f>#REF!+'Table 7 Merchant Bank Assets'!O23</f>
        <v>#REF!</v>
      </c>
      <c r="P23" s="1059" t="e">
        <f>#REF!+'Table 7 Merchant Bank Assets'!P23</f>
        <v>#REF!</v>
      </c>
      <c r="Q23" s="1059" t="e">
        <f>#REF!</f>
        <v>#REF!</v>
      </c>
      <c r="R23" s="1059" t="e">
        <f>#REF!+'Table 7 Merchant Bank Assets'!Q23</f>
        <v>#REF!</v>
      </c>
      <c r="S23" s="1059" t="e">
        <f>#REF!+'Table 7 Merchant Bank Assets'!R23</f>
        <v>#REF!</v>
      </c>
      <c r="T23" s="1059" t="e">
        <f>+#REF!+'Table 7 Merchant Bank Assets'!S23</f>
        <v>#REF!</v>
      </c>
      <c r="U23" s="1061" t="e">
        <f t="shared" si="0"/>
        <v>#REF!</v>
      </c>
      <c r="W23" s="1062" t="e">
        <f>+U23-'Table 7 Merchant Bank Assets'!T23-#REF!</f>
        <v>#REF!</v>
      </c>
      <c r="X23" s="1063" t="e">
        <f t="shared" si="1"/>
        <v>#REF!</v>
      </c>
      <c r="Y23" s="1032" t="e">
        <f t="shared" si="2"/>
        <v>#REF!</v>
      </c>
    </row>
    <row r="24" spans="2:25" ht="15" customHeight="1">
      <c r="B24" s="1056" t="s">
        <v>1180</v>
      </c>
      <c r="C24" s="1057" t="e">
        <f>#REF!+'Table 7 Merchant Bank Assets'!C24</f>
        <v>#REF!</v>
      </c>
      <c r="D24" s="1058" t="e">
        <f>#REF!+'Table 7 Merchant Bank Assets'!D24</f>
        <v>#REF!</v>
      </c>
      <c r="E24" s="1058" t="e">
        <f>#REF!+'Table 7 Merchant Bank Assets'!E24</f>
        <v>#REF!</v>
      </c>
      <c r="F24" s="1058" t="e">
        <f>#REF!+'Table 7 Merchant Bank Assets'!F24</f>
        <v>#REF!</v>
      </c>
      <c r="G24" s="1059" t="e">
        <f>+#REF!+'Table 7 Merchant Bank Assets'!G24</f>
        <v>#REF!</v>
      </c>
      <c r="H24" s="1059" t="e">
        <f>+#REF!+'Table 7 Merchant Bank Assets'!H24</f>
        <v>#REF!</v>
      </c>
      <c r="I24" s="1059" t="e">
        <f>#REF!+'Table 7 Merchant Bank Assets'!I24</f>
        <v>#REF!</v>
      </c>
      <c r="J24" s="1060" t="e">
        <f>#REF!+'Table 7 Merchant Bank Assets'!J24</f>
        <v>#REF!</v>
      </c>
      <c r="K24" s="1060" t="e">
        <f>#REF!+'Table 7 Merchant Bank Assets'!K24</f>
        <v>#REF!</v>
      </c>
      <c r="L24" s="1060" t="e">
        <f>'Table 7 Merchant Bank Assets'!L24+#REF!</f>
        <v>#REF!</v>
      </c>
      <c r="M24" s="1059" t="e">
        <f>#REF!+'Table 7 Merchant Bank Assets'!M24</f>
        <v>#REF!</v>
      </c>
      <c r="N24" s="1059" t="e">
        <f>#REF!+'Table 7 Merchant Bank Assets'!N24</f>
        <v>#REF!</v>
      </c>
      <c r="O24" s="1059" t="e">
        <f>#REF!+'Table 7 Merchant Bank Assets'!O24</f>
        <v>#REF!</v>
      </c>
      <c r="P24" s="1059" t="e">
        <f>#REF!+'Table 7 Merchant Bank Assets'!P24</f>
        <v>#REF!</v>
      </c>
      <c r="Q24" s="1059" t="e">
        <f>#REF!</f>
        <v>#REF!</v>
      </c>
      <c r="R24" s="1059" t="e">
        <f>#REF!+'Table 7 Merchant Bank Assets'!Q24</f>
        <v>#REF!</v>
      </c>
      <c r="S24" s="1059" t="e">
        <f>#REF!+'Table 7 Merchant Bank Assets'!R24</f>
        <v>#REF!</v>
      </c>
      <c r="T24" s="1059" t="e">
        <f>+#REF!+'Table 7 Merchant Bank Assets'!S24</f>
        <v>#REF!</v>
      </c>
      <c r="U24" s="1061" t="e">
        <f t="shared" si="0"/>
        <v>#REF!</v>
      </c>
      <c r="W24" s="1062" t="e">
        <f>+U24-'Table 7 Merchant Bank Assets'!T24-#REF!</f>
        <v>#REF!</v>
      </c>
      <c r="X24" s="1063" t="e">
        <f t="shared" si="1"/>
        <v>#REF!</v>
      </c>
      <c r="Y24" s="1032" t="e">
        <f t="shared" si="2"/>
        <v>#REF!</v>
      </c>
    </row>
    <row r="25" spans="2:25" ht="15" customHeight="1">
      <c r="B25" s="1056" t="s">
        <v>1181</v>
      </c>
      <c r="C25" s="1057" t="e">
        <f>#REF!+'Table 7 Merchant Bank Assets'!C25</f>
        <v>#REF!</v>
      </c>
      <c r="D25" s="1058" t="e">
        <f>#REF!+'Table 7 Merchant Bank Assets'!D25</f>
        <v>#REF!</v>
      </c>
      <c r="E25" s="1058" t="e">
        <f>#REF!+'Table 7 Merchant Bank Assets'!E25</f>
        <v>#REF!</v>
      </c>
      <c r="F25" s="1058" t="e">
        <f>#REF!+'Table 7 Merchant Bank Assets'!F25</f>
        <v>#REF!</v>
      </c>
      <c r="G25" s="1059" t="e">
        <f>+#REF!+'Table 7 Merchant Bank Assets'!G25</f>
        <v>#REF!</v>
      </c>
      <c r="H25" s="1059" t="e">
        <f>+#REF!+'Table 7 Merchant Bank Assets'!H25</f>
        <v>#REF!</v>
      </c>
      <c r="I25" s="1059" t="e">
        <f>#REF!+'Table 7 Merchant Bank Assets'!I25</f>
        <v>#REF!</v>
      </c>
      <c r="J25" s="1060" t="e">
        <f>#REF!+'Table 7 Merchant Bank Assets'!J25</f>
        <v>#REF!</v>
      </c>
      <c r="K25" s="1060" t="e">
        <f>#REF!+'Table 7 Merchant Bank Assets'!K25</f>
        <v>#REF!</v>
      </c>
      <c r="L25" s="1060" t="e">
        <f>'Table 7 Merchant Bank Assets'!L25+#REF!</f>
        <v>#REF!</v>
      </c>
      <c r="M25" s="1059" t="e">
        <f>#REF!+'Table 7 Merchant Bank Assets'!M25</f>
        <v>#REF!</v>
      </c>
      <c r="N25" s="1059" t="e">
        <f>#REF!+'Table 7 Merchant Bank Assets'!N25</f>
        <v>#REF!</v>
      </c>
      <c r="O25" s="1059" t="e">
        <f>#REF!+'Table 7 Merchant Bank Assets'!O25</f>
        <v>#REF!</v>
      </c>
      <c r="P25" s="1059" t="e">
        <f>#REF!+'Table 7 Merchant Bank Assets'!P25</f>
        <v>#REF!</v>
      </c>
      <c r="Q25" s="1059" t="e">
        <f>#REF!</f>
        <v>#REF!</v>
      </c>
      <c r="R25" s="1059" t="e">
        <f>#REF!+'Table 7 Merchant Bank Assets'!Q25</f>
        <v>#REF!</v>
      </c>
      <c r="S25" s="1059" t="e">
        <f>#REF!+'Table 7 Merchant Bank Assets'!R25</f>
        <v>#REF!</v>
      </c>
      <c r="T25" s="1059" t="e">
        <f>+#REF!+'Table 7 Merchant Bank Assets'!S25</f>
        <v>#REF!</v>
      </c>
      <c r="U25" s="1061" t="e">
        <f t="shared" si="0"/>
        <v>#REF!</v>
      </c>
      <c r="W25" s="1062" t="e">
        <f>+U25-'Table 7 Merchant Bank Assets'!T25-#REF!</f>
        <v>#REF!</v>
      </c>
      <c r="X25" s="1063" t="e">
        <f t="shared" si="1"/>
        <v>#REF!</v>
      </c>
      <c r="Y25" s="1032" t="e">
        <f t="shared" si="2"/>
        <v>#REF!</v>
      </c>
    </row>
    <row r="26" spans="2:25" ht="15" customHeight="1">
      <c r="B26" s="1064"/>
      <c r="C26" s="1057"/>
      <c r="D26" s="1058"/>
      <c r="E26" s="1058"/>
      <c r="F26" s="1058"/>
      <c r="G26" s="1059"/>
      <c r="H26" s="1059"/>
      <c r="I26" s="1059"/>
      <c r="J26" s="1060"/>
      <c r="K26" s="1060"/>
      <c r="L26" s="1060"/>
      <c r="M26" s="1059"/>
      <c r="N26" s="1059"/>
      <c r="O26" s="1059"/>
      <c r="P26" s="1059"/>
      <c r="Q26" s="1059"/>
      <c r="R26" s="1059"/>
      <c r="S26" s="1059"/>
      <c r="T26" s="1059"/>
      <c r="U26" s="1061"/>
      <c r="W26" s="1062"/>
      <c r="X26" s="1063"/>
    </row>
    <row r="27" spans="2:25" ht="15" customHeight="1">
      <c r="B27" s="1055">
        <v>2016</v>
      </c>
      <c r="C27" s="1057"/>
      <c r="D27" s="1058"/>
      <c r="E27" s="1058"/>
      <c r="F27" s="1058"/>
      <c r="G27" s="1059"/>
      <c r="H27" s="1059"/>
      <c r="I27" s="1059"/>
      <c r="J27" s="1060"/>
      <c r="K27" s="1060"/>
      <c r="L27" s="1060"/>
      <c r="M27" s="1059"/>
      <c r="N27" s="1059"/>
      <c r="O27" s="1059"/>
      <c r="P27" s="1059"/>
      <c r="Q27" s="1059"/>
      <c r="R27" s="1059"/>
      <c r="S27" s="1059"/>
      <c r="T27" s="1059"/>
      <c r="U27" s="1061"/>
      <c r="W27" s="1062"/>
      <c r="X27" s="1063"/>
    </row>
    <row r="28" spans="2:25" ht="15" customHeight="1">
      <c r="B28" s="1065" t="s">
        <v>345</v>
      </c>
      <c r="C28" s="1057" t="e">
        <f>#REF!+'Table 7 Merchant Bank Assets'!C28</f>
        <v>#REF!</v>
      </c>
      <c r="D28" s="1058" t="e">
        <f>#REF!+'Table 7 Merchant Bank Assets'!D28</f>
        <v>#REF!</v>
      </c>
      <c r="E28" s="1058" t="e">
        <f>#REF!+'Table 7 Merchant Bank Assets'!E28</f>
        <v>#REF!</v>
      </c>
      <c r="F28" s="1058" t="e">
        <f>#REF!+'Table 7 Merchant Bank Assets'!F28</f>
        <v>#REF!</v>
      </c>
      <c r="G28" s="1059" t="e">
        <f>+#REF!+'Table 7 Merchant Bank Assets'!G28</f>
        <v>#REF!</v>
      </c>
      <c r="H28" s="1059" t="e">
        <f>+#REF!+'Table 7 Merchant Bank Assets'!H28</f>
        <v>#REF!</v>
      </c>
      <c r="I28" s="1059" t="e">
        <f>#REF!+'Table 7 Merchant Bank Assets'!I28</f>
        <v>#REF!</v>
      </c>
      <c r="J28" s="1060" t="e">
        <f>#REF!+'Table 7 Merchant Bank Assets'!J28</f>
        <v>#REF!</v>
      </c>
      <c r="K28" s="1060" t="e">
        <f>#REF!+'Table 7 Merchant Bank Assets'!K28</f>
        <v>#REF!</v>
      </c>
      <c r="L28" s="1060" t="e">
        <f>'Table 7 Merchant Bank Assets'!L28+#REF!</f>
        <v>#REF!</v>
      </c>
      <c r="M28" s="1059" t="e">
        <f>#REF!+'Table 7 Merchant Bank Assets'!M28</f>
        <v>#REF!</v>
      </c>
      <c r="N28" s="1059" t="e">
        <f>#REF!+'Table 7 Merchant Bank Assets'!N28</f>
        <v>#REF!</v>
      </c>
      <c r="O28" s="1059" t="e">
        <f>#REF!+'Table 7 Merchant Bank Assets'!O28</f>
        <v>#REF!</v>
      </c>
      <c r="P28" s="1059" t="e">
        <f>#REF!+'Table 7 Merchant Bank Assets'!P28</f>
        <v>#REF!</v>
      </c>
      <c r="Q28" s="1059" t="e">
        <f>#REF!</f>
        <v>#REF!</v>
      </c>
      <c r="R28" s="1059" t="e">
        <f>#REF!+'Table 7 Merchant Bank Assets'!Q28</f>
        <v>#REF!</v>
      </c>
      <c r="S28" s="1059" t="e">
        <f>#REF!+'Table 7 Merchant Bank Assets'!R28</f>
        <v>#REF!</v>
      </c>
      <c r="T28" s="1059" t="e">
        <f>+#REF!+'Table 7 Merchant Bank Assets'!S28</f>
        <v>#REF!</v>
      </c>
      <c r="U28" s="1061" t="e">
        <f t="shared" si="0"/>
        <v>#REF!</v>
      </c>
      <c r="W28" s="1062" t="e">
        <f>+U28-'Table 7 Merchant Bank Assets'!T28-#REF!</f>
        <v>#REF!</v>
      </c>
      <c r="X28" s="1063" t="e">
        <f t="shared" si="1"/>
        <v>#REF!</v>
      </c>
      <c r="Y28" s="1032" t="e">
        <f t="shared" si="2"/>
        <v>#REF!</v>
      </c>
    </row>
    <row r="29" spans="2:25" ht="15" customHeight="1">
      <c r="B29" s="1056" t="s">
        <v>334</v>
      </c>
      <c r="C29" s="1057" t="e">
        <f>#REF!+'Table 7 Merchant Bank Assets'!C29</f>
        <v>#REF!</v>
      </c>
      <c r="D29" s="1058" t="e">
        <f>#REF!+'Table 7 Merchant Bank Assets'!D29</f>
        <v>#REF!</v>
      </c>
      <c r="E29" s="1058" t="e">
        <f>#REF!+'Table 7 Merchant Bank Assets'!E29</f>
        <v>#REF!</v>
      </c>
      <c r="F29" s="1058" t="e">
        <f>#REF!+'Table 7 Merchant Bank Assets'!F29</f>
        <v>#REF!</v>
      </c>
      <c r="G29" s="1059" t="e">
        <f>+#REF!+'Table 7 Merchant Bank Assets'!G29</f>
        <v>#REF!</v>
      </c>
      <c r="H29" s="1059" t="e">
        <f>+#REF!+'Table 7 Merchant Bank Assets'!H29</f>
        <v>#REF!</v>
      </c>
      <c r="I29" s="1059" t="e">
        <f>#REF!+'Table 7 Merchant Bank Assets'!I29</f>
        <v>#REF!</v>
      </c>
      <c r="J29" s="1060" t="e">
        <f>#REF!+'Table 7 Merchant Bank Assets'!J29</f>
        <v>#REF!</v>
      </c>
      <c r="K29" s="1060" t="e">
        <f>#REF!+'Table 7 Merchant Bank Assets'!K29</f>
        <v>#REF!</v>
      </c>
      <c r="L29" s="1060" t="e">
        <f>'Table 7 Merchant Bank Assets'!L29+#REF!</f>
        <v>#REF!</v>
      </c>
      <c r="M29" s="1059" t="e">
        <f>#REF!+'Table 7 Merchant Bank Assets'!M29</f>
        <v>#REF!</v>
      </c>
      <c r="N29" s="1059" t="e">
        <f>#REF!+'Table 7 Merchant Bank Assets'!N29</f>
        <v>#REF!</v>
      </c>
      <c r="O29" s="1059" t="e">
        <f>#REF!+'Table 7 Merchant Bank Assets'!O29</f>
        <v>#REF!</v>
      </c>
      <c r="P29" s="1059" t="e">
        <f>#REF!+'Table 7 Merchant Bank Assets'!P29</f>
        <v>#REF!</v>
      </c>
      <c r="Q29" s="1059" t="e">
        <f>#REF!</f>
        <v>#REF!</v>
      </c>
      <c r="R29" s="1059" t="e">
        <f>#REF!+'Table 7 Merchant Bank Assets'!Q29</f>
        <v>#REF!</v>
      </c>
      <c r="S29" s="1059" t="e">
        <f>#REF!+'Table 7 Merchant Bank Assets'!R29</f>
        <v>#REF!</v>
      </c>
      <c r="T29" s="1059" t="e">
        <f>+#REF!+'Table 7 Merchant Bank Assets'!S29</f>
        <v>#REF!</v>
      </c>
      <c r="U29" s="1061" t="e">
        <f t="shared" si="0"/>
        <v>#REF!</v>
      </c>
      <c r="W29" s="1062" t="e">
        <f>+U29-'Table 7 Merchant Bank Assets'!T29-#REF!</f>
        <v>#REF!</v>
      </c>
      <c r="X29" s="1063" t="e">
        <f t="shared" si="1"/>
        <v>#REF!</v>
      </c>
      <c r="Y29" s="1032" t="e">
        <f t="shared" si="2"/>
        <v>#REF!</v>
      </c>
    </row>
    <row r="30" spans="2:25" ht="15" customHeight="1">
      <c r="B30" s="1056" t="s">
        <v>335</v>
      </c>
      <c r="C30" s="1057" t="e">
        <f>#REF!+'Table 7 Merchant Bank Assets'!C30</f>
        <v>#REF!</v>
      </c>
      <c r="D30" s="1058" t="e">
        <f>#REF!+'Table 7 Merchant Bank Assets'!D30</f>
        <v>#REF!</v>
      </c>
      <c r="E30" s="1058" t="e">
        <f>#REF!+'Table 7 Merchant Bank Assets'!E30</f>
        <v>#REF!</v>
      </c>
      <c r="F30" s="1058" t="e">
        <f>#REF!+'Table 7 Merchant Bank Assets'!F30</f>
        <v>#REF!</v>
      </c>
      <c r="G30" s="1059" t="e">
        <f>+#REF!+'Table 7 Merchant Bank Assets'!G30</f>
        <v>#REF!</v>
      </c>
      <c r="H30" s="1059" t="e">
        <f>+#REF!+'Table 7 Merchant Bank Assets'!H30</f>
        <v>#REF!</v>
      </c>
      <c r="I30" s="1059" t="e">
        <f>#REF!+'Table 7 Merchant Bank Assets'!I30</f>
        <v>#REF!</v>
      </c>
      <c r="J30" s="1060" t="e">
        <f>#REF!+'Table 7 Merchant Bank Assets'!J30</f>
        <v>#REF!</v>
      </c>
      <c r="K30" s="1060" t="e">
        <f>#REF!+'Table 7 Merchant Bank Assets'!K30</f>
        <v>#REF!</v>
      </c>
      <c r="L30" s="1060" t="e">
        <f>'Table 7 Merchant Bank Assets'!L30+#REF!</f>
        <v>#REF!</v>
      </c>
      <c r="M30" s="1059" t="e">
        <f>#REF!+'Table 7 Merchant Bank Assets'!M30</f>
        <v>#REF!</v>
      </c>
      <c r="N30" s="1059" t="e">
        <f>#REF!+'Table 7 Merchant Bank Assets'!N30</f>
        <v>#REF!</v>
      </c>
      <c r="O30" s="1059" t="e">
        <f>#REF!+'Table 7 Merchant Bank Assets'!O30</f>
        <v>#REF!</v>
      </c>
      <c r="P30" s="1059" t="e">
        <f>#REF!+'Table 7 Merchant Bank Assets'!P30</f>
        <v>#REF!</v>
      </c>
      <c r="Q30" s="1059" t="e">
        <f>#REF!</f>
        <v>#REF!</v>
      </c>
      <c r="R30" s="1059" t="e">
        <f>#REF!+'Table 7 Merchant Bank Assets'!Q30</f>
        <v>#REF!</v>
      </c>
      <c r="S30" s="1059" t="e">
        <f>#REF!+'Table 7 Merchant Bank Assets'!R30</f>
        <v>#REF!</v>
      </c>
      <c r="T30" s="1059" t="e">
        <f>+#REF!+'Table 7 Merchant Bank Assets'!S30</f>
        <v>#REF!</v>
      </c>
      <c r="U30" s="1061" t="e">
        <f t="shared" si="0"/>
        <v>#REF!</v>
      </c>
      <c r="W30" s="1062" t="e">
        <f>+U30-'Table 7 Merchant Bank Assets'!T30-#REF!</f>
        <v>#REF!</v>
      </c>
      <c r="X30" s="1063" t="e">
        <f t="shared" si="1"/>
        <v>#REF!</v>
      </c>
      <c r="Y30" s="1032" t="e">
        <f t="shared" si="2"/>
        <v>#REF!</v>
      </c>
    </row>
    <row r="31" spans="2:25" ht="15" customHeight="1">
      <c r="B31" s="1056" t="s">
        <v>336</v>
      </c>
      <c r="C31" s="1057" t="e">
        <f>#REF!+'Table 7 Merchant Bank Assets'!C31</f>
        <v>#REF!</v>
      </c>
      <c r="D31" s="1058" t="e">
        <f>#REF!+'Table 7 Merchant Bank Assets'!D31</f>
        <v>#REF!</v>
      </c>
      <c r="E31" s="1058" t="e">
        <f>#REF!+'Table 7 Merchant Bank Assets'!E31</f>
        <v>#REF!</v>
      </c>
      <c r="F31" s="1058" t="e">
        <f>#REF!+'Table 7 Merchant Bank Assets'!F31</f>
        <v>#REF!</v>
      </c>
      <c r="G31" s="1059" t="e">
        <f>+#REF!+'Table 7 Merchant Bank Assets'!G31</f>
        <v>#REF!</v>
      </c>
      <c r="H31" s="1059" t="e">
        <f>+#REF!+'Table 7 Merchant Bank Assets'!H31</f>
        <v>#REF!</v>
      </c>
      <c r="I31" s="1059" t="e">
        <f>#REF!+'Table 7 Merchant Bank Assets'!I31</f>
        <v>#REF!</v>
      </c>
      <c r="J31" s="1060" t="e">
        <f>#REF!+'Table 7 Merchant Bank Assets'!J31</f>
        <v>#REF!</v>
      </c>
      <c r="K31" s="1060" t="e">
        <f>#REF!+'Table 7 Merchant Bank Assets'!K31</f>
        <v>#REF!</v>
      </c>
      <c r="L31" s="1060" t="e">
        <f>'Table 7 Merchant Bank Assets'!L31+#REF!</f>
        <v>#REF!</v>
      </c>
      <c r="M31" s="1059" t="e">
        <f>#REF!+'Table 7 Merchant Bank Assets'!M31</f>
        <v>#REF!</v>
      </c>
      <c r="N31" s="1059" t="e">
        <f>#REF!+'Table 7 Merchant Bank Assets'!N31</f>
        <v>#REF!</v>
      </c>
      <c r="O31" s="1059" t="e">
        <f>#REF!+'Table 7 Merchant Bank Assets'!O31</f>
        <v>#REF!</v>
      </c>
      <c r="P31" s="1059" t="e">
        <f>#REF!+'Table 7 Merchant Bank Assets'!P31</f>
        <v>#REF!</v>
      </c>
      <c r="Q31" s="1059" t="e">
        <f>#REF!</f>
        <v>#REF!</v>
      </c>
      <c r="R31" s="1059" t="e">
        <f>#REF!+'Table 7 Merchant Bank Assets'!Q31</f>
        <v>#REF!</v>
      </c>
      <c r="S31" s="1059" t="e">
        <f>#REF!+'Table 7 Merchant Bank Assets'!R31</f>
        <v>#REF!</v>
      </c>
      <c r="T31" s="1059" t="e">
        <f>+#REF!+'Table 7 Merchant Bank Assets'!S31</f>
        <v>#REF!</v>
      </c>
      <c r="U31" s="1061" t="e">
        <f t="shared" si="0"/>
        <v>#REF!</v>
      </c>
      <c r="W31" s="1062" t="e">
        <f>+U31-'Table 7 Merchant Bank Assets'!T31-#REF!</f>
        <v>#REF!</v>
      </c>
      <c r="X31" s="1063" t="e">
        <f t="shared" si="1"/>
        <v>#REF!</v>
      </c>
      <c r="Y31" s="1032" t="e">
        <f t="shared" si="2"/>
        <v>#REF!</v>
      </c>
    </row>
    <row r="32" spans="2:25" ht="15" customHeight="1">
      <c r="B32" s="1056" t="s">
        <v>337</v>
      </c>
      <c r="C32" s="1057" t="e">
        <f>#REF!+'Table 7 Merchant Bank Assets'!C32</f>
        <v>#REF!</v>
      </c>
      <c r="D32" s="1058" t="e">
        <f>#REF!+'Table 7 Merchant Bank Assets'!D32</f>
        <v>#REF!</v>
      </c>
      <c r="E32" s="1058" t="e">
        <f>#REF!+'Table 7 Merchant Bank Assets'!E32</f>
        <v>#REF!</v>
      </c>
      <c r="F32" s="1058" t="e">
        <f>#REF!+'Table 7 Merchant Bank Assets'!F32</f>
        <v>#REF!</v>
      </c>
      <c r="G32" s="1059" t="e">
        <f>+#REF!+'Table 7 Merchant Bank Assets'!G32</f>
        <v>#REF!</v>
      </c>
      <c r="H32" s="1059" t="e">
        <f>+#REF!+'Table 7 Merchant Bank Assets'!H32</f>
        <v>#REF!</v>
      </c>
      <c r="I32" s="1059" t="e">
        <f>#REF!+'Table 7 Merchant Bank Assets'!I32</f>
        <v>#REF!</v>
      </c>
      <c r="J32" s="1060" t="e">
        <f>#REF!+'Table 7 Merchant Bank Assets'!J32</f>
        <v>#REF!</v>
      </c>
      <c r="K32" s="1060" t="e">
        <f>#REF!+'Table 7 Merchant Bank Assets'!K32</f>
        <v>#REF!</v>
      </c>
      <c r="L32" s="1060" t="e">
        <f>'Table 7 Merchant Bank Assets'!L32+#REF!</f>
        <v>#REF!</v>
      </c>
      <c r="M32" s="1059" t="e">
        <f>#REF!+'Table 7 Merchant Bank Assets'!M32</f>
        <v>#REF!</v>
      </c>
      <c r="N32" s="1059" t="e">
        <f>#REF!+'Table 7 Merchant Bank Assets'!N32</f>
        <v>#REF!</v>
      </c>
      <c r="O32" s="1059" t="e">
        <f>#REF!+'Table 7 Merchant Bank Assets'!O32</f>
        <v>#REF!</v>
      </c>
      <c r="P32" s="1059" t="e">
        <f>#REF!+'Table 7 Merchant Bank Assets'!P32</f>
        <v>#REF!</v>
      </c>
      <c r="Q32" s="1059" t="e">
        <f>#REF!</f>
        <v>#REF!</v>
      </c>
      <c r="R32" s="1059" t="e">
        <f>#REF!+'Table 7 Merchant Bank Assets'!Q32</f>
        <v>#REF!</v>
      </c>
      <c r="S32" s="1059" t="e">
        <f>#REF!+'Table 7 Merchant Bank Assets'!R32</f>
        <v>#REF!</v>
      </c>
      <c r="T32" s="1059" t="e">
        <f>+#REF!+'Table 7 Merchant Bank Assets'!S32</f>
        <v>#REF!</v>
      </c>
      <c r="U32" s="1061" t="e">
        <f t="shared" si="0"/>
        <v>#REF!</v>
      </c>
      <c r="W32" s="1062" t="e">
        <f>+U32-'Table 7 Merchant Bank Assets'!T32-#REF!</f>
        <v>#REF!</v>
      </c>
      <c r="X32" s="1063" t="e">
        <f t="shared" si="1"/>
        <v>#REF!</v>
      </c>
      <c r="Y32" s="1032" t="e">
        <f t="shared" si="2"/>
        <v>#REF!</v>
      </c>
    </row>
    <row r="33" spans="2:25" ht="15" customHeight="1">
      <c r="B33" s="1056" t="s">
        <v>338</v>
      </c>
      <c r="C33" s="1057" t="e">
        <f>#REF!+'Table 7 Merchant Bank Assets'!C33</f>
        <v>#REF!</v>
      </c>
      <c r="D33" s="1058" t="e">
        <f>#REF!+'Table 7 Merchant Bank Assets'!D33</f>
        <v>#REF!</v>
      </c>
      <c r="E33" s="1058" t="e">
        <f>#REF!+'Table 7 Merchant Bank Assets'!E33</f>
        <v>#REF!</v>
      </c>
      <c r="F33" s="1058" t="e">
        <f>#REF!+'Table 7 Merchant Bank Assets'!F33</f>
        <v>#REF!</v>
      </c>
      <c r="G33" s="1059" t="e">
        <f>+#REF!+'Table 7 Merchant Bank Assets'!G33</f>
        <v>#REF!</v>
      </c>
      <c r="H33" s="1059" t="e">
        <f>+#REF!+'Table 7 Merchant Bank Assets'!H33</f>
        <v>#REF!</v>
      </c>
      <c r="I33" s="1059" t="e">
        <f>#REF!+'Table 7 Merchant Bank Assets'!I33</f>
        <v>#REF!</v>
      </c>
      <c r="J33" s="1060" t="e">
        <f>#REF!+'Table 7 Merchant Bank Assets'!J33</f>
        <v>#REF!</v>
      </c>
      <c r="K33" s="1060" t="e">
        <f>#REF!+'Table 7 Merchant Bank Assets'!K33</f>
        <v>#REF!</v>
      </c>
      <c r="L33" s="1060" t="e">
        <f>'Table 7 Merchant Bank Assets'!L33+#REF!</f>
        <v>#REF!</v>
      </c>
      <c r="M33" s="1059" t="e">
        <f>#REF!+'Table 7 Merchant Bank Assets'!M33</f>
        <v>#REF!</v>
      </c>
      <c r="N33" s="1059" t="e">
        <f>#REF!+'Table 7 Merchant Bank Assets'!N33</f>
        <v>#REF!</v>
      </c>
      <c r="O33" s="1059" t="e">
        <f>#REF!+'Table 7 Merchant Bank Assets'!O33</f>
        <v>#REF!</v>
      </c>
      <c r="P33" s="1059" t="e">
        <f>#REF!+'Table 7 Merchant Bank Assets'!P33</f>
        <v>#REF!</v>
      </c>
      <c r="Q33" s="1059" t="e">
        <f>#REF!</f>
        <v>#REF!</v>
      </c>
      <c r="R33" s="1059" t="e">
        <f>#REF!+'Table 7 Merchant Bank Assets'!Q33</f>
        <v>#REF!</v>
      </c>
      <c r="S33" s="1059" t="e">
        <f>#REF!+'Table 7 Merchant Bank Assets'!R33</f>
        <v>#REF!</v>
      </c>
      <c r="T33" s="1059" t="e">
        <f>+#REF!+'Table 7 Merchant Bank Assets'!S33</f>
        <v>#REF!</v>
      </c>
      <c r="U33" s="1061" t="e">
        <f t="shared" si="0"/>
        <v>#REF!</v>
      </c>
      <c r="W33" s="1062" t="e">
        <f>+U33-'Table 7 Merchant Bank Assets'!T33-#REF!</f>
        <v>#REF!</v>
      </c>
      <c r="X33" s="1063" t="e">
        <f t="shared" si="1"/>
        <v>#REF!</v>
      </c>
      <c r="Y33" s="1032" t="e">
        <f t="shared" si="2"/>
        <v>#REF!</v>
      </c>
    </row>
    <row r="34" spans="2:25" ht="15" customHeight="1">
      <c r="B34" s="1056" t="s">
        <v>339</v>
      </c>
      <c r="C34" s="1057" t="e">
        <f>#REF!+'Table 7 Merchant Bank Assets'!C34</f>
        <v>#REF!</v>
      </c>
      <c r="D34" s="1058" t="e">
        <f>#REF!+'Table 7 Merchant Bank Assets'!D34</f>
        <v>#REF!</v>
      </c>
      <c r="E34" s="1058" t="e">
        <f>#REF!+'Table 7 Merchant Bank Assets'!E34</f>
        <v>#REF!</v>
      </c>
      <c r="F34" s="1058" t="e">
        <f>#REF!+'Table 7 Merchant Bank Assets'!F34</f>
        <v>#REF!</v>
      </c>
      <c r="G34" s="1059" t="e">
        <f>+#REF!+'Table 7 Merchant Bank Assets'!G34</f>
        <v>#REF!</v>
      </c>
      <c r="H34" s="1059" t="e">
        <f>+#REF!+'Table 7 Merchant Bank Assets'!H34</f>
        <v>#REF!</v>
      </c>
      <c r="I34" s="1059" t="e">
        <f>#REF!+'Table 7 Merchant Bank Assets'!I34</f>
        <v>#REF!</v>
      </c>
      <c r="J34" s="1060" t="e">
        <f>#REF!+'Table 7 Merchant Bank Assets'!J34</f>
        <v>#REF!</v>
      </c>
      <c r="K34" s="1060" t="e">
        <f>#REF!+'Table 7 Merchant Bank Assets'!K34</f>
        <v>#REF!</v>
      </c>
      <c r="L34" s="1060" t="e">
        <f>'Table 7 Merchant Bank Assets'!L34+#REF!</f>
        <v>#REF!</v>
      </c>
      <c r="M34" s="1059" t="e">
        <f>#REF!+'Table 7 Merchant Bank Assets'!M34</f>
        <v>#REF!</v>
      </c>
      <c r="N34" s="1059" t="e">
        <f>#REF!+'Table 7 Merchant Bank Assets'!N34</f>
        <v>#REF!</v>
      </c>
      <c r="O34" s="1059" t="e">
        <f>#REF!+'Table 7 Merchant Bank Assets'!O34</f>
        <v>#REF!</v>
      </c>
      <c r="P34" s="1059" t="e">
        <f>#REF!+'Table 7 Merchant Bank Assets'!P34</f>
        <v>#REF!</v>
      </c>
      <c r="Q34" s="1059" t="e">
        <f>#REF!</f>
        <v>#REF!</v>
      </c>
      <c r="R34" s="1059" t="e">
        <f>#REF!+'Table 7 Merchant Bank Assets'!Q34</f>
        <v>#REF!</v>
      </c>
      <c r="S34" s="1059" t="e">
        <f>#REF!+'Table 7 Merchant Bank Assets'!R34</f>
        <v>#REF!</v>
      </c>
      <c r="T34" s="1059" t="e">
        <f>+#REF!+'Table 7 Merchant Bank Assets'!S34</f>
        <v>#REF!</v>
      </c>
      <c r="U34" s="1061" t="e">
        <f t="shared" si="0"/>
        <v>#REF!</v>
      </c>
      <c r="W34" s="1062" t="e">
        <f>+U34-'Table 7 Merchant Bank Assets'!T34-#REF!</f>
        <v>#REF!</v>
      </c>
      <c r="X34" s="1063" t="e">
        <f t="shared" si="1"/>
        <v>#REF!</v>
      </c>
      <c r="Y34" s="1032" t="e">
        <f t="shared" si="2"/>
        <v>#REF!</v>
      </c>
    </row>
    <row r="35" spans="2:25" ht="15" customHeight="1">
      <c r="B35" s="1056" t="s">
        <v>340</v>
      </c>
      <c r="C35" s="1057" t="e">
        <f>#REF!+'Table 7 Merchant Bank Assets'!C35</f>
        <v>#REF!</v>
      </c>
      <c r="D35" s="1058" t="e">
        <f>#REF!+'Table 7 Merchant Bank Assets'!D35</f>
        <v>#REF!</v>
      </c>
      <c r="E35" s="1058" t="e">
        <f>#REF!+'Table 7 Merchant Bank Assets'!E35</f>
        <v>#REF!</v>
      </c>
      <c r="F35" s="1058" t="e">
        <f>#REF!+'Table 7 Merchant Bank Assets'!F35</f>
        <v>#REF!</v>
      </c>
      <c r="G35" s="1059" t="e">
        <f>+#REF!+'Table 7 Merchant Bank Assets'!G35</f>
        <v>#REF!</v>
      </c>
      <c r="H35" s="1059" t="e">
        <f>+#REF!+'Table 7 Merchant Bank Assets'!H35</f>
        <v>#REF!</v>
      </c>
      <c r="I35" s="1059" t="e">
        <f>#REF!+'Table 7 Merchant Bank Assets'!I35</f>
        <v>#REF!</v>
      </c>
      <c r="J35" s="1060" t="e">
        <f>#REF!+'Table 7 Merchant Bank Assets'!J35</f>
        <v>#REF!</v>
      </c>
      <c r="K35" s="1060" t="e">
        <f>#REF!+'Table 7 Merchant Bank Assets'!K35</f>
        <v>#REF!</v>
      </c>
      <c r="L35" s="1060" t="e">
        <f>'Table 7 Merchant Bank Assets'!L35+#REF!</f>
        <v>#REF!</v>
      </c>
      <c r="M35" s="1059" t="e">
        <f>#REF!+'Table 7 Merchant Bank Assets'!M35</f>
        <v>#REF!</v>
      </c>
      <c r="N35" s="1059" t="e">
        <f>#REF!+'Table 7 Merchant Bank Assets'!N35</f>
        <v>#REF!</v>
      </c>
      <c r="O35" s="1059" t="e">
        <f>#REF!+'Table 7 Merchant Bank Assets'!O35</f>
        <v>#REF!</v>
      </c>
      <c r="P35" s="1059" t="e">
        <f>#REF!+'Table 7 Merchant Bank Assets'!P35</f>
        <v>#REF!</v>
      </c>
      <c r="Q35" s="1059" t="e">
        <f>#REF!</f>
        <v>#REF!</v>
      </c>
      <c r="R35" s="1059" t="e">
        <f>#REF!+'Table 7 Merchant Bank Assets'!Q35</f>
        <v>#REF!</v>
      </c>
      <c r="S35" s="1059" t="e">
        <f>#REF!+'Table 7 Merchant Bank Assets'!R35</f>
        <v>#REF!</v>
      </c>
      <c r="T35" s="1059" t="e">
        <f>+#REF!+'Table 7 Merchant Bank Assets'!S35</f>
        <v>#REF!</v>
      </c>
      <c r="U35" s="1061" t="e">
        <f t="shared" si="0"/>
        <v>#REF!</v>
      </c>
      <c r="W35" s="1062" t="e">
        <f>+U35-'Table 7 Merchant Bank Assets'!T35-#REF!</f>
        <v>#REF!</v>
      </c>
      <c r="X35" s="1063" t="e">
        <f t="shared" si="1"/>
        <v>#REF!</v>
      </c>
      <c r="Y35" s="1032" t="e">
        <f t="shared" si="2"/>
        <v>#REF!</v>
      </c>
    </row>
    <row r="36" spans="2:25" ht="15" customHeight="1">
      <c r="B36" s="1056" t="s">
        <v>341</v>
      </c>
      <c r="C36" s="1057" t="e">
        <f>#REF!+'Table 7 Merchant Bank Assets'!C36</f>
        <v>#REF!</v>
      </c>
      <c r="D36" s="1058" t="e">
        <f>#REF!+'Table 7 Merchant Bank Assets'!D36</f>
        <v>#REF!</v>
      </c>
      <c r="E36" s="1058" t="e">
        <f>#REF!+'Table 7 Merchant Bank Assets'!E36</f>
        <v>#REF!</v>
      </c>
      <c r="F36" s="1058" t="e">
        <f>#REF!+'Table 7 Merchant Bank Assets'!F36</f>
        <v>#REF!</v>
      </c>
      <c r="G36" s="1059" t="e">
        <f>+#REF!+'Table 7 Merchant Bank Assets'!G36</f>
        <v>#REF!</v>
      </c>
      <c r="H36" s="1059" t="e">
        <f>+#REF!+'Table 7 Merchant Bank Assets'!H36</f>
        <v>#REF!</v>
      </c>
      <c r="I36" s="1059" t="e">
        <f>#REF!+'Table 7 Merchant Bank Assets'!I36</f>
        <v>#REF!</v>
      </c>
      <c r="J36" s="1060" t="e">
        <f>#REF!+'Table 7 Merchant Bank Assets'!J36</f>
        <v>#REF!</v>
      </c>
      <c r="K36" s="1060" t="e">
        <f>#REF!+'Table 7 Merchant Bank Assets'!K36</f>
        <v>#REF!</v>
      </c>
      <c r="L36" s="1060" t="e">
        <f>'Table 7 Merchant Bank Assets'!L36+#REF!</f>
        <v>#REF!</v>
      </c>
      <c r="M36" s="1059" t="e">
        <f>#REF!+'Table 7 Merchant Bank Assets'!M36</f>
        <v>#REF!</v>
      </c>
      <c r="N36" s="1059" t="e">
        <f>#REF!+'Table 7 Merchant Bank Assets'!N36</f>
        <v>#REF!</v>
      </c>
      <c r="O36" s="1059" t="e">
        <f>#REF!+'Table 7 Merchant Bank Assets'!O36</f>
        <v>#REF!</v>
      </c>
      <c r="P36" s="1059" t="e">
        <f>#REF!+'Table 7 Merchant Bank Assets'!P36</f>
        <v>#REF!</v>
      </c>
      <c r="Q36" s="1059" t="e">
        <f>#REF!</f>
        <v>#REF!</v>
      </c>
      <c r="R36" s="1059" t="e">
        <f>#REF!+'Table 7 Merchant Bank Assets'!Q36</f>
        <v>#REF!</v>
      </c>
      <c r="S36" s="1059" t="e">
        <f>#REF!+'Table 7 Merchant Bank Assets'!R36</f>
        <v>#REF!</v>
      </c>
      <c r="T36" s="1059" t="e">
        <f>+#REF!+'Table 7 Merchant Bank Assets'!S36</f>
        <v>#REF!</v>
      </c>
      <c r="U36" s="1061" t="e">
        <f t="shared" si="0"/>
        <v>#REF!</v>
      </c>
      <c r="W36" s="1062" t="e">
        <f>+U36-'Table 7 Merchant Bank Assets'!T36-#REF!</f>
        <v>#REF!</v>
      </c>
      <c r="X36" s="1063" t="e">
        <f t="shared" si="1"/>
        <v>#REF!</v>
      </c>
      <c r="Y36" s="1032" t="e">
        <f t="shared" si="2"/>
        <v>#REF!</v>
      </c>
    </row>
    <row r="37" spans="2:25" ht="15" customHeight="1">
      <c r="B37" s="1056" t="s">
        <v>342</v>
      </c>
      <c r="C37" s="1057" t="e">
        <f>#REF!+'Table 7 Merchant Bank Assets'!C37</f>
        <v>#REF!</v>
      </c>
      <c r="D37" s="1058" t="e">
        <f>#REF!+'Table 7 Merchant Bank Assets'!D37</f>
        <v>#REF!</v>
      </c>
      <c r="E37" s="1058" t="e">
        <f>#REF!+'Table 7 Merchant Bank Assets'!E37</f>
        <v>#REF!</v>
      </c>
      <c r="F37" s="1058" t="e">
        <f>#REF!+'Table 7 Merchant Bank Assets'!F37</f>
        <v>#REF!</v>
      </c>
      <c r="G37" s="1059" t="e">
        <f>+#REF!+'Table 7 Merchant Bank Assets'!G37</f>
        <v>#REF!</v>
      </c>
      <c r="H37" s="1059" t="e">
        <f>+#REF!+'Table 7 Merchant Bank Assets'!H37</f>
        <v>#REF!</v>
      </c>
      <c r="I37" s="1059" t="e">
        <f>#REF!+'Table 7 Merchant Bank Assets'!I37</f>
        <v>#REF!</v>
      </c>
      <c r="J37" s="1060" t="e">
        <f>#REF!+'Table 7 Merchant Bank Assets'!J37</f>
        <v>#REF!</v>
      </c>
      <c r="K37" s="1060" t="e">
        <f>#REF!+'Table 7 Merchant Bank Assets'!K37</f>
        <v>#REF!</v>
      </c>
      <c r="L37" s="1060" t="e">
        <f>'Table 7 Merchant Bank Assets'!L37+#REF!</f>
        <v>#REF!</v>
      </c>
      <c r="M37" s="1059" t="e">
        <f>#REF!+'Table 7 Merchant Bank Assets'!M37</f>
        <v>#REF!</v>
      </c>
      <c r="N37" s="1059" t="e">
        <f>#REF!+'Table 7 Merchant Bank Assets'!N37</f>
        <v>#REF!</v>
      </c>
      <c r="O37" s="1059" t="e">
        <f>#REF!+'Table 7 Merchant Bank Assets'!O37</f>
        <v>#REF!</v>
      </c>
      <c r="P37" s="1059" t="e">
        <f>#REF!+'Table 7 Merchant Bank Assets'!P37</f>
        <v>#REF!</v>
      </c>
      <c r="Q37" s="1059" t="e">
        <f>#REF!</f>
        <v>#REF!</v>
      </c>
      <c r="R37" s="1059" t="e">
        <f>#REF!+'Table 7 Merchant Bank Assets'!Q37</f>
        <v>#REF!</v>
      </c>
      <c r="S37" s="1059" t="e">
        <f>#REF!+'Table 7 Merchant Bank Assets'!R37</f>
        <v>#REF!</v>
      </c>
      <c r="T37" s="1059" t="e">
        <f>+#REF!+'Table 7 Merchant Bank Assets'!S37</f>
        <v>#REF!</v>
      </c>
      <c r="U37" s="1061" t="e">
        <f t="shared" si="0"/>
        <v>#REF!</v>
      </c>
      <c r="W37" s="1062" t="e">
        <f>+U37-'Table 7 Merchant Bank Assets'!T37-#REF!</f>
        <v>#REF!</v>
      </c>
      <c r="X37" s="1063" t="e">
        <f t="shared" si="1"/>
        <v>#REF!</v>
      </c>
      <c r="Y37" s="1032" t="e">
        <f t="shared" si="2"/>
        <v>#REF!</v>
      </c>
    </row>
    <row r="38" spans="2:25" ht="15" customHeight="1">
      <c r="B38" s="1056" t="s">
        <v>343</v>
      </c>
      <c r="C38" s="1057" t="e">
        <f>#REF!+'Table 7 Merchant Bank Assets'!C38</f>
        <v>#REF!</v>
      </c>
      <c r="D38" s="1058" t="e">
        <f>#REF!+'Table 7 Merchant Bank Assets'!D38</f>
        <v>#REF!</v>
      </c>
      <c r="E38" s="1058" t="e">
        <f>#REF!+'Table 7 Merchant Bank Assets'!E38</f>
        <v>#REF!</v>
      </c>
      <c r="F38" s="1058" t="e">
        <f>#REF!+'Table 7 Merchant Bank Assets'!F38</f>
        <v>#REF!</v>
      </c>
      <c r="G38" s="1059" t="e">
        <f>+#REF!+'Table 7 Merchant Bank Assets'!G38</f>
        <v>#REF!</v>
      </c>
      <c r="H38" s="1059" t="e">
        <f>+#REF!+'Table 7 Merchant Bank Assets'!H38</f>
        <v>#REF!</v>
      </c>
      <c r="I38" s="1059" t="e">
        <f>#REF!+'Table 7 Merchant Bank Assets'!I38</f>
        <v>#REF!</v>
      </c>
      <c r="J38" s="1060" t="e">
        <f>#REF!+'Table 7 Merchant Bank Assets'!J38</f>
        <v>#REF!</v>
      </c>
      <c r="K38" s="1060" t="e">
        <f>#REF!+'Table 7 Merchant Bank Assets'!K38</f>
        <v>#REF!</v>
      </c>
      <c r="L38" s="1060" t="e">
        <f>'Table 7 Merchant Bank Assets'!L38+#REF!</f>
        <v>#REF!</v>
      </c>
      <c r="M38" s="1059" t="e">
        <f>#REF!+'Table 7 Merchant Bank Assets'!M38</f>
        <v>#REF!</v>
      </c>
      <c r="N38" s="1059" t="e">
        <f>#REF!+'Table 7 Merchant Bank Assets'!N38</f>
        <v>#REF!</v>
      </c>
      <c r="O38" s="1059" t="e">
        <f>#REF!+'Table 7 Merchant Bank Assets'!O38</f>
        <v>#REF!</v>
      </c>
      <c r="P38" s="1059" t="e">
        <f>#REF!+'Table 7 Merchant Bank Assets'!P38</f>
        <v>#REF!</v>
      </c>
      <c r="Q38" s="1059" t="e">
        <f>#REF!</f>
        <v>#REF!</v>
      </c>
      <c r="R38" s="1059" t="e">
        <f>#REF!+'Table 7 Merchant Bank Assets'!Q38</f>
        <v>#REF!</v>
      </c>
      <c r="S38" s="1059" t="e">
        <f>#REF!+'Table 7 Merchant Bank Assets'!R38</f>
        <v>#REF!</v>
      </c>
      <c r="T38" s="1059" t="e">
        <f>+#REF!+'Table 7 Merchant Bank Assets'!S38</f>
        <v>#REF!</v>
      </c>
      <c r="U38" s="1061" t="e">
        <f t="shared" si="0"/>
        <v>#REF!</v>
      </c>
      <c r="W38" s="1062" t="e">
        <f>+U38-'Table 7 Merchant Bank Assets'!T38-#REF!</f>
        <v>#REF!</v>
      </c>
      <c r="X38" s="1063" t="e">
        <f t="shared" si="1"/>
        <v>#REF!</v>
      </c>
      <c r="Y38" s="1032" t="e">
        <f t="shared" si="2"/>
        <v>#REF!</v>
      </c>
    </row>
    <row r="39" spans="2:25" ht="15" customHeight="1">
      <c r="B39" s="1056" t="s">
        <v>344</v>
      </c>
      <c r="C39" s="1057" t="e">
        <f>#REF!+'Table 7 Merchant Bank Assets'!C39</f>
        <v>#REF!</v>
      </c>
      <c r="D39" s="1058" t="e">
        <f>#REF!+'Table 7 Merchant Bank Assets'!D39</f>
        <v>#REF!</v>
      </c>
      <c r="E39" s="1058" t="e">
        <f>#REF!+'Table 7 Merchant Bank Assets'!E39</f>
        <v>#REF!</v>
      </c>
      <c r="F39" s="1058" t="e">
        <f>#REF!+'Table 7 Merchant Bank Assets'!F39</f>
        <v>#REF!</v>
      </c>
      <c r="G39" s="1059" t="e">
        <f>+#REF!+'Table 7 Merchant Bank Assets'!G39</f>
        <v>#REF!</v>
      </c>
      <c r="H39" s="1059" t="e">
        <f>+#REF!+'Table 7 Merchant Bank Assets'!H39</f>
        <v>#REF!</v>
      </c>
      <c r="I39" s="1059" t="e">
        <f>#REF!+'Table 7 Merchant Bank Assets'!I39</f>
        <v>#REF!</v>
      </c>
      <c r="J39" s="1060" t="e">
        <f>#REF!+'Table 7 Merchant Bank Assets'!J39</f>
        <v>#REF!</v>
      </c>
      <c r="K39" s="1060" t="e">
        <f>#REF!+'Table 7 Merchant Bank Assets'!K39</f>
        <v>#REF!</v>
      </c>
      <c r="L39" s="1060" t="e">
        <f>'Table 7 Merchant Bank Assets'!L39+#REF!</f>
        <v>#REF!</v>
      </c>
      <c r="M39" s="1059" t="e">
        <f>#REF!+'Table 7 Merchant Bank Assets'!M39</f>
        <v>#REF!</v>
      </c>
      <c r="N39" s="1059" t="e">
        <f>#REF!+'Table 7 Merchant Bank Assets'!N39</f>
        <v>#REF!</v>
      </c>
      <c r="O39" s="1059" t="e">
        <f>#REF!+'Table 7 Merchant Bank Assets'!O39</f>
        <v>#REF!</v>
      </c>
      <c r="P39" s="1059" t="e">
        <f>#REF!+'Table 7 Merchant Bank Assets'!P39</f>
        <v>#REF!</v>
      </c>
      <c r="Q39" s="1059" t="e">
        <f>#REF!</f>
        <v>#REF!</v>
      </c>
      <c r="R39" s="1059" t="e">
        <f>#REF!+'Table 7 Merchant Bank Assets'!Q39</f>
        <v>#REF!</v>
      </c>
      <c r="S39" s="1059" t="e">
        <f>#REF!+'Table 7 Merchant Bank Assets'!R39</f>
        <v>#REF!</v>
      </c>
      <c r="T39" s="1059" t="e">
        <f>+#REF!+'Table 7 Merchant Bank Assets'!S39</f>
        <v>#REF!</v>
      </c>
      <c r="U39" s="1061" t="e">
        <f t="shared" si="0"/>
        <v>#REF!</v>
      </c>
      <c r="W39" s="1062" t="e">
        <f>+U39-'Table 7 Merchant Bank Assets'!T39-#REF!</f>
        <v>#REF!</v>
      </c>
      <c r="X39" s="1063" t="e">
        <f t="shared" si="1"/>
        <v>#REF!</v>
      </c>
      <c r="Y39" s="1032" t="e">
        <f t="shared" si="2"/>
        <v>#REF!</v>
      </c>
    </row>
    <row r="40" spans="2:25" ht="15" customHeight="1">
      <c r="B40" s="1056"/>
      <c r="C40" s="1057"/>
      <c r="D40" s="1058"/>
      <c r="E40" s="1058"/>
      <c r="F40" s="1058"/>
      <c r="G40" s="1059"/>
      <c r="H40" s="1059"/>
      <c r="I40" s="1059"/>
      <c r="J40" s="1060"/>
      <c r="K40" s="1060"/>
      <c r="L40" s="1060"/>
      <c r="M40" s="1059"/>
      <c r="N40" s="1059"/>
      <c r="O40" s="1059"/>
      <c r="P40" s="1059"/>
      <c r="Q40" s="1059"/>
      <c r="R40" s="1059"/>
      <c r="S40" s="1059"/>
      <c r="T40" s="1059"/>
      <c r="U40" s="1061"/>
      <c r="W40" s="1062"/>
      <c r="X40" s="1063"/>
    </row>
    <row r="41" spans="2:25" ht="15" customHeight="1">
      <c r="B41" s="1066">
        <v>2017</v>
      </c>
      <c r="C41" s="1057"/>
      <c r="D41" s="1058"/>
      <c r="E41" s="1058"/>
      <c r="F41" s="1058"/>
      <c r="G41" s="1059"/>
      <c r="H41" s="1059"/>
      <c r="I41" s="1059"/>
      <c r="J41" s="1060"/>
      <c r="K41" s="1060"/>
      <c r="L41" s="1060"/>
      <c r="M41" s="1059"/>
      <c r="N41" s="1059"/>
      <c r="O41" s="1059"/>
      <c r="P41" s="1059"/>
      <c r="Q41" s="1059"/>
      <c r="R41" s="1059"/>
      <c r="S41" s="1059"/>
      <c r="T41" s="1059"/>
      <c r="U41" s="1061"/>
      <c r="W41" s="1062"/>
      <c r="X41" s="1063"/>
    </row>
    <row r="42" spans="2:25" ht="15" customHeight="1">
      <c r="B42" s="1059" t="s">
        <v>345</v>
      </c>
      <c r="C42" s="1057" t="e">
        <f>#REF!+'Table 7 Merchant Bank Assets'!C41</f>
        <v>#REF!</v>
      </c>
      <c r="D42" s="1058" t="e">
        <f>#REF!+'Table 7 Merchant Bank Assets'!D41</f>
        <v>#REF!</v>
      </c>
      <c r="E42" s="1058" t="e">
        <f>#REF!+'Table 7 Merchant Bank Assets'!E41</f>
        <v>#REF!</v>
      </c>
      <c r="F42" s="1058" t="e">
        <f>#REF!+'Table 7 Merchant Bank Assets'!F41</f>
        <v>#REF!</v>
      </c>
      <c r="G42" s="1059" t="e">
        <f>+#REF!+'Table 7 Merchant Bank Assets'!G41</f>
        <v>#REF!</v>
      </c>
      <c r="H42" s="1059" t="e">
        <f>+#REF!+'Table 7 Merchant Bank Assets'!H41</f>
        <v>#REF!</v>
      </c>
      <c r="I42" s="1059" t="e">
        <f>#REF!+'Table 7 Merchant Bank Assets'!I41</f>
        <v>#REF!</v>
      </c>
      <c r="J42" s="1060" t="e">
        <f>#REF!+'Table 7 Merchant Bank Assets'!J41</f>
        <v>#REF!</v>
      </c>
      <c r="K42" s="1060" t="e">
        <f>#REF!+'Table 7 Merchant Bank Assets'!K41</f>
        <v>#REF!</v>
      </c>
      <c r="L42" s="1060" t="e">
        <f>'Table 7 Merchant Bank Assets'!L41+#REF!</f>
        <v>#REF!</v>
      </c>
      <c r="M42" s="1059" t="e">
        <f>#REF!+'Table 7 Merchant Bank Assets'!M41</f>
        <v>#REF!</v>
      </c>
      <c r="N42" s="1059" t="e">
        <f>#REF!+'Table 7 Merchant Bank Assets'!N41</f>
        <v>#REF!</v>
      </c>
      <c r="O42" s="1059" t="e">
        <f>#REF!+'Table 7 Merchant Bank Assets'!O41</f>
        <v>#REF!</v>
      </c>
      <c r="P42" s="1059" t="e">
        <f>#REF!+'Table 7 Merchant Bank Assets'!P41</f>
        <v>#REF!</v>
      </c>
      <c r="Q42" s="1059" t="e">
        <f>#REF!</f>
        <v>#REF!</v>
      </c>
      <c r="R42" s="1059" t="e">
        <f>#REF!+'Table 7 Merchant Bank Assets'!Q41</f>
        <v>#REF!</v>
      </c>
      <c r="S42" s="1059" t="e">
        <f>#REF!+'Table 7 Merchant Bank Assets'!R41</f>
        <v>#REF!</v>
      </c>
      <c r="T42" s="1059" t="e">
        <f>+#REF!+'Table 7 Merchant Bank Assets'!S41</f>
        <v>#REF!</v>
      </c>
      <c r="U42" s="1061" t="e">
        <f>SUM(C42:T42)</f>
        <v>#REF!</v>
      </c>
      <c r="W42" s="1062" t="e">
        <f>+U42-'Table 7 Merchant Bank Assets'!T41-#REF!</f>
        <v>#REF!</v>
      </c>
      <c r="X42" s="1063" t="e">
        <f>+W42/U42</f>
        <v>#REF!</v>
      </c>
      <c r="Y42" s="1032" t="e">
        <f>+W42*1000000</f>
        <v>#REF!</v>
      </c>
    </row>
    <row r="43" spans="2:25" ht="15" customHeight="1">
      <c r="B43" s="1059" t="s">
        <v>334</v>
      </c>
      <c r="C43" s="1057" t="e">
        <f>#REF!+'Table 7 Merchant Bank Assets'!C42</f>
        <v>#REF!</v>
      </c>
      <c r="D43" s="1058" t="e">
        <f>#REF!+'Table 7 Merchant Bank Assets'!D42</f>
        <v>#REF!</v>
      </c>
      <c r="E43" s="1058" t="e">
        <f>#REF!+'Table 7 Merchant Bank Assets'!E42</f>
        <v>#REF!</v>
      </c>
      <c r="F43" s="1058" t="e">
        <f>#REF!+'Table 7 Merchant Bank Assets'!F42</f>
        <v>#REF!</v>
      </c>
      <c r="G43" s="1059" t="e">
        <f>+#REF!+'Table 7 Merchant Bank Assets'!G42</f>
        <v>#REF!</v>
      </c>
      <c r="H43" s="1059" t="e">
        <f>+#REF!+'Table 7 Merchant Bank Assets'!H42</f>
        <v>#REF!</v>
      </c>
      <c r="I43" s="1059" t="e">
        <f>#REF!+'Table 7 Merchant Bank Assets'!I42</f>
        <v>#REF!</v>
      </c>
      <c r="J43" s="1060" t="e">
        <f>#REF!+'Table 7 Merchant Bank Assets'!J42</f>
        <v>#REF!</v>
      </c>
      <c r="K43" s="1060" t="e">
        <f>#REF!+'Table 7 Merchant Bank Assets'!K42</f>
        <v>#REF!</v>
      </c>
      <c r="L43" s="1060" t="e">
        <f>'Table 7 Merchant Bank Assets'!L42+#REF!</f>
        <v>#REF!</v>
      </c>
      <c r="M43" s="1059" t="e">
        <f>#REF!+'Table 7 Merchant Bank Assets'!M42</f>
        <v>#REF!</v>
      </c>
      <c r="N43" s="1059" t="e">
        <f>#REF!+'Table 7 Merchant Bank Assets'!N42</f>
        <v>#REF!</v>
      </c>
      <c r="O43" s="1059" t="e">
        <f>#REF!+'Table 7 Merchant Bank Assets'!O42</f>
        <v>#REF!</v>
      </c>
      <c r="P43" s="1059" t="e">
        <f>#REF!+'Table 7 Merchant Bank Assets'!P42</f>
        <v>#REF!</v>
      </c>
      <c r="Q43" s="1059" t="e">
        <f>#REF!</f>
        <v>#REF!</v>
      </c>
      <c r="R43" s="1059" t="e">
        <f>#REF!+'Table 7 Merchant Bank Assets'!Q42</f>
        <v>#REF!</v>
      </c>
      <c r="S43" s="1059" t="e">
        <f>#REF!+'Table 7 Merchant Bank Assets'!R42</f>
        <v>#REF!</v>
      </c>
      <c r="T43" s="1059" t="e">
        <f>+#REF!+'Table 7 Merchant Bank Assets'!S42</f>
        <v>#REF!</v>
      </c>
      <c r="U43" s="1061" t="e">
        <f>SUM(C43:T43)</f>
        <v>#REF!</v>
      </c>
      <c r="W43" s="1062" t="e">
        <f>+U43-'Table 7 Merchant Bank Assets'!T42-#REF!</f>
        <v>#REF!</v>
      </c>
      <c r="X43" s="1063" t="e">
        <f>+W43/U43</f>
        <v>#REF!</v>
      </c>
      <c r="Y43" s="1032" t="e">
        <f>+W43*1000000</f>
        <v>#REF!</v>
      </c>
    </row>
    <row r="44" spans="2:25" ht="15" customHeight="1">
      <c r="B44" s="1059" t="s">
        <v>335</v>
      </c>
      <c r="C44" s="1059"/>
      <c r="D44" s="1059"/>
      <c r="E44" s="1059"/>
      <c r="F44" s="1059"/>
      <c r="G44" s="1059"/>
      <c r="H44" s="1059"/>
      <c r="I44" s="1059"/>
      <c r="J44" s="1059"/>
      <c r="K44" s="1059"/>
      <c r="L44" s="1059"/>
      <c r="M44" s="1059"/>
      <c r="N44" s="1059"/>
      <c r="O44" s="1059"/>
      <c r="P44" s="1059"/>
      <c r="Q44" s="1059"/>
      <c r="R44" s="1059"/>
      <c r="S44" s="1059"/>
      <c r="T44" s="1059"/>
      <c r="U44" s="1061"/>
    </row>
    <row r="45" spans="2:25" ht="15" customHeight="1">
      <c r="B45" s="1064" t="s">
        <v>1174</v>
      </c>
      <c r="C45" s="1059"/>
      <c r="D45" s="1059"/>
      <c r="E45" s="1059"/>
      <c r="F45" s="1059"/>
      <c r="G45" s="1059"/>
      <c r="H45" s="1059"/>
      <c r="I45" s="1059"/>
      <c r="J45" s="1059"/>
      <c r="K45" s="1059"/>
      <c r="L45" s="1059"/>
      <c r="M45" s="1059"/>
      <c r="N45" s="1059"/>
      <c r="O45" s="1059"/>
      <c r="P45" s="1059"/>
      <c r="Q45" s="1059"/>
      <c r="R45" s="1059"/>
      <c r="S45" s="1059"/>
      <c r="T45" s="1059"/>
      <c r="U45" s="1061"/>
    </row>
    <row r="46" spans="2:25" ht="15" customHeight="1">
      <c r="B46" s="1059" t="s">
        <v>337</v>
      </c>
      <c r="C46" s="1064"/>
      <c r="D46" s="1059"/>
      <c r="E46" s="1059"/>
      <c r="F46" s="1059"/>
      <c r="G46" s="1059"/>
      <c r="H46" s="1059"/>
      <c r="I46" s="1059"/>
      <c r="J46" s="1059"/>
      <c r="K46" s="1059"/>
      <c r="L46" s="1059"/>
      <c r="M46" s="1059"/>
      <c r="N46" s="1059"/>
      <c r="O46" s="1059"/>
      <c r="P46" s="1059"/>
      <c r="Q46" s="1059"/>
      <c r="R46" s="1059"/>
      <c r="S46" s="1059"/>
      <c r="T46" s="1059"/>
      <c r="U46" s="1061"/>
    </row>
    <row r="47" spans="2:25" ht="15" customHeight="1">
      <c r="B47" s="1059" t="s">
        <v>338</v>
      </c>
      <c r="C47" s="1059"/>
      <c r="D47" s="1059"/>
      <c r="E47" s="1059"/>
      <c r="F47" s="1059"/>
      <c r="G47" s="1059"/>
      <c r="H47" s="1059"/>
      <c r="I47" s="1059"/>
      <c r="J47" s="1059"/>
      <c r="K47" s="1059"/>
      <c r="L47" s="1059"/>
      <c r="M47" s="1059"/>
      <c r="N47" s="1059"/>
      <c r="O47" s="1059"/>
      <c r="P47" s="1059"/>
      <c r="Q47" s="1059"/>
      <c r="R47" s="1059"/>
      <c r="S47" s="1059"/>
      <c r="T47" s="1059"/>
      <c r="U47" s="1061"/>
    </row>
    <row r="48" spans="2:25" ht="15" customHeight="1">
      <c r="B48" s="1059" t="s">
        <v>339</v>
      </c>
      <c r="C48" s="1059"/>
      <c r="D48" s="1059"/>
      <c r="E48" s="1059"/>
      <c r="F48" s="1059"/>
      <c r="G48" s="1059"/>
      <c r="H48" s="1059"/>
      <c r="I48" s="1059"/>
      <c r="J48" s="1059"/>
      <c r="K48" s="1059"/>
      <c r="L48" s="1059"/>
      <c r="M48" s="1059"/>
      <c r="N48" s="1059"/>
      <c r="O48" s="1059"/>
      <c r="P48" s="1059"/>
      <c r="Q48" s="1059"/>
      <c r="R48" s="1059"/>
      <c r="S48" s="1059"/>
      <c r="T48" s="1059"/>
      <c r="U48" s="1061"/>
    </row>
    <row r="49" spans="2:25" ht="15" customHeight="1">
      <c r="B49" s="1059" t="s">
        <v>340</v>
      </c>
      <c r="C49" s="1059"/>
      <c r="D49" s="1059"/>
      <c r="E49" s="1059"/>
      <c r="F49" s="1059"/>
      <c r="G49" s="1059"/>
      <c r="H49" s="1059"/>
      <c r="I49" s="1059"/>
      <c r="J49" s="1059"/>
      <c r="K49" s="1059"/>
      <c r="L49" s="1059"/>
      <c r="M49" s="1059"/>
      <c r="N49" s="1059"/>
      <c r="O49" s="1059"/>
      <c r="P49" s="1059"/>
      <c r="Q49" s="1059"/>
      <c r="R49" s="1059"/>
      <c r="S49" s="1059"/>
      <c r="T49" s="1059"/>
      <c r="U49" s="1061"/>
    </row>
    <row r="50" spans="2:25" ht="15" customHeight="1" thickBot="1">
      <c r="B50" s="1067" t="s">
        <v>1178</v>
      </c>
      <c r="C50" s="1059"/>
      <c r="D50" s="1059"/>
      <c r="E50" s="1059"/>
      <c r="F50" s="1059"/>
      <c r="G50" s="1059"/>
      <c r="H50" s="1059"/>
      <c r="I50" s="1059"/>
      <c r="J50" s="1059"/>
      <c r="K50" s="1059"/>
      <c r="L50" s="1059"/>
      <c r="M50" s="1059"/>
      <c r="N50" s="1059"/>
      <c r="O50" s="1059"/>
      <c r="P50" s="1059"/>
      <c r="Q50" s="1059"/>
      <c r="R50" s="1059"/>
      <c r="S50" s="1059"/>
      <c r="T50" s="1059"/>
      <c r="U50" s="1061"/>
    </row>
    <row r="51" spans="2:25" ht="15" customHeight="1" thickTop="1" thickBot="1">
      <c r="B51" s="1067"/>
      <c r="C51" s="1067"/>
      <c r="D51" s="1068"/>
      <c r="E51" s="1068"/>
      <c r="F51" s="1068"/>
      <c r="G51" s="1068"/>
      <c r="H51" s="1068"/>
      <c r="I51" s="1068"/>
      <c r="J51" s="1068"/>
      <c r="K51" s="1068"/>
      <c r="L51" s="1068"/>
      <c r="M51" s="1069"/>
      <c r="N51" s="1068"/>
      <c r="O51" s="1069"/>
      <c r="P51" s="1068"/>
      <c r="Q51" s="1068"/>
      <c r="R51" s="1068"/>
      <c r="S51" s="1068"/>
      <c r="T51" s="1068"/>
      <c r="U51" s="1070"/>
    </row>
    <row r="52" spans="2:25" ht="10.8" thickTop="1"/>
    <row r="53" spans="2:25" ht="16.8">
      <c r="B53" s="965" t="s">
        <v>1360</v>
      </c>
      <c r="C53" s="928"/>
      <c r="D53" s="928"/>
      <c r="E53" s="1071"/>
      <c r="F53" s="1071"/>
      <c r="G53" s="1071"/>
      <c r="H53" s="1071"/>
      <c r="I53" s="1071"/>
      <c r="J53" s="1071"/>
      <c r="K53" s="1071"/>
      <c r="L53" s="1071"/>
      <c r="M53" s="1071"/>
      <c r="N53" s="1071"/>
      <c r="O53" s="1071"/>
      <c r="P53" s="1071"/>
      <c r="Q53" s="1071"/>
      <c r="R53" s="1071"/>
      <c r="S53" s="1071"/>
      <c r="T53" s="1071"/>
      <c r="U53" s="1071"/>
      <c r="V53" s="1072"/>
    </row>
    <row r="54" spans="2:25">
      <c r="D54" s="1071"/>
      <c r="E54" s="1071"/>
      <c r="F54" s="1071"/>
      <c r="G54" s="1071"/>
      <c r="H54" s="1071"/>
      <c r="I54" s="1071"/>
      <c r="J54" s="1071"/>
      <c r="K54" s="1071"/>
      <c r="L54" s="1071"/>
      <c r="M54" s="1071"/>
      <c r="N54" s="1071"/>
      <c r="O54" s="1071"/>
      <c r="P54" s="1071"/>
      <c r="Q54" s="1071"/>
      <c r="R54" s="1071"/>
      <c r="S54" s="1071"/>
      <c r="T54" s="1071"/>
      <c r="U54" s="1071"/>
      <c r="V54" s="1072"/>
    </row>
    <row r="55" spans="2:25" ht="15.6">
      <c r="B55" s="239" t="s">
        <v>998</v>
      </c>
    </row>
    <row r="56" spans="2:25" s="923" customFormat="1" ht="13.8">
      <c r="B56" s="1073">
        <v>1</v>
      </c>
      <c r="C56" s="923" t="s">
        <v>1710</v>
      </c>
      <c r="W56" s="1074"/>
      <c r="X56" s="1075"/>
      <c r="Y56" s="1076"/>
    </row>
    <row r="57" spans="2:25" s="923" customFormat="1" ht="13.8">
      <c r="B57" s="1073">
        <v>2</v>
      </c>
      <c r="C57" s="923" t="s">
        <v>1711</v>
      </c>
      <c r="W57" s="1074"/>
      <c r="X57" s="1075"/>
      <c r="Y57" s="1076"/>
    </row>
    <row r="58" spans="2:25" s="923" customFormat="1" ht="13.8">
      <c r="B58" s="1073">
        <v>3</v>
      </c>
      <c r="C58" s="923" t="s">
        <v>1712</v>
      </c>
      <c r="W58" s="1074"/>
      <c r="X58" s="1075"/>
      <c r="Y58" s="1076"/>
    </row>
    <row r="59" spans="2:25" s="923" customFormat="1" ht="13.8">
      <c r="W59" s="1074"/>
      <c r="X59" s="1075"/>
      <c r="Y59" s="1076"/>
    </row>
    <row r="60" spans="2:25" s="923" customFormat="1" ht="13.8">
      <c r="W60" s="1074"/>
      <c r="X60" s="1075"/>
      <c r="Y60" s="1076"/>
    </row>
    <row r="61" spans="2:25" s="923" customFormat="1" ht="13.8">
      <c r="W61" s="1074"/>
      <c r="X61" s="1075"/>
      <c r="Y61" s="1076"/>
    </row>
    <row r="62" spans="2:25" s="923" customFormat="1" ht="13.8">
      <c r="W62" s="1074"/>
      <c r="X62" s="1075"/>
      <c r="Y62" s="1076"/>
    </row>
    <row r="63" spans="2:25" s="923" customFormat="1" ht="13.8">
      <c r="W63" s="1074"/>
      <c r="X63" s="1075"/>
      <c r="Y63" s="1076"/>
    </row>
    <row r="64" spans="2:25" s="923" customFormat="1" ht="13.8">
      <c r="W64" s="1074"/>
      <c r="X64" s="1075"/>
      <c r="Y64" s="1076"/>
    </row>
    <row r="65" spans="23:25" s="923" customFormat="1" ht="13.8">
      <c r="W65" s="1074"/>
      <c r="X65" s="1075"/>
      <c r="Y65" s="1076"/>
    </row>
    <row r="66" spans="23:25" s="923" customFormat="1" ht="13.8">
      <c r="W66" s="1074"/>
      <c r="X66" s="1075"/>
      <c r="Y66" s="1076"/>
    </row>
    <row r="67" spans="23:25" s="923" customFormat="1" ht="13.8">
      <c r="W67" s="1074"/>
      <c r="X67" s="1075"/>
      <c r="Y67" s="1076"/>
    </row>
    <row r="68" spans="23:25" s="923" customFormat="1" ht="13.8">
      <c r="W68" s="1074"/>
      <c r="X68" s="1075"/>
      <c r="Y68" s="1076"/>
    </row>
    <row r="69" spans="23:25" s="923" customFormat="1" ht="13.8">
      <c r="W69" s="1074"/>
      <c r="X69" s="1075"/>
      <c r="Y69" s="1076"/>
    </row>
    <row r="70" spans="23:25" s="923" customFormat="1" ht="13.8">
      <c r="W70" s="1074"/>
      <c r="X70" s="1075"/>
      <c r="Y70" s="1076"/>
    </row>
    <row r="71" spans="23:25" s="923" customFormat="1" ht="13.8">
      <c r="W71" s="1074"/>
      <c r="X71" s="1075"/>
      <c r="Y71" s="1076"/>
    </row>
    <row r="72" spans="23:25" s="923" customFormat="1" ht="13.8">
      <c r="W72" s="1074"/>
      <c r="X72" s="1075"/>
      <c r="Y72" s="1076"/>
    </row>
    <row r="73" spans="23:25" s="923" customFormat="1" ht="13.8">
      <c r="W73" s="1074"/>
      <c r="X73" s="1075"/>
      <c r="Y73" s="1076"/>
    </row>
    <row r="74" spans="23:25" s="923" customFormat="1" ht="13.8">
      <c r="W74" s="1074"/>
      <c r="X74" s="1075"/>
      <c r="Y74" s="1076"/>
    </row>
    <row r="75" spans="23:25" s="923" customFormat="1" ht="13.8">
      <c r="W75" s="1074"/>
      <c r="X75" s="1075"/>
      <c r="Y75" s="1076"/>
    </row>
    <row r="76" spans="23:25" s="923" customFormat="1" ht="13.8">
      <c r="W76" s="1074"/>
      <c r="X76" s="1075"/>
      <c r="Y76" s="1076"/>
    </row>
    <row r="77" spans="23:25" s="923" customFormat="1" ht="13.8">
      <c r="W77" s="1074"/>
      <c r="X77" s="1075"/>
      <c r="Y77" s="1076"/>
    </row>
    <row r="78" spans="23:25" s="923" customFormat="1" ht="13.8">
      <c r="W78" s="1074"/>
      <c r="X78" s="1075"/>
      <c r="Y78" s="1076"/>
    </row>
    <row r="79" spans="23:25" s="923" customFormat="1" ht="13.8">
      <c r="W79" s="1074"/>
      <c r="X79" s="1075"/>
      <c r="Y79" s="1076"/>
    </row>
    <row r="80" spans="23:25" s="923" customFormat="1" ht="13.8">
      <c r="W80" s="1074"/>
      <c r="X80" s="1075"/>
      <c r="Y80" s="1076"/>
    </row>
    <row r="81" spans="23:25" s="923" customFormat="1" ht="13.8">
      <c r="W81" s="1074"/>
      <c r="X81" s="1075"/>
      <c r="Y81" s="1076"/>
    </row>
    <row r="82" spans="23:25" s="923" customFormat="1" ht="13.8">
      <c r="W82" s="1074"/>
      <c r="X82" s="1075"/>
      <c r="Y82" s="1076"/>
    </row>
    <row r="83" spans="23:25" s="923" customFormat="1" ht="13.8">
      <c r="W83" s="1074"/>
      <c r="X83" s="1075"/>
      <c r="Y83" s="1076"/>
    </row>
    <row r="84" spans="23:25" s="923" customFormat="1" ht="13.8">
      <c r="W84" s="1074"/>
      <c r="X84" s="1075"/>
      <c r="Y84" s="1076"/>
    </row>
    <row r="85" spans="23:25" s="923" customFormat="1" ht="13.8">
      <c r="W85" s="1074"/>
      <c r="X85" s="1075"/>
      <c r="Y85" s="1076"/>
    </row>
    <row r="86" spans="23:25" s="923" customFormat="1" ht="13.8">
      <c r="W86" s="1074"/>
      <c r="X86" s="1075"/>
      <c r="Y86" s="1076"/>
    </row>
    <row r="87" spans="23:25" s="923" customFormat="1" ht="13.8">
      <c r="W87" s="1074"/>
      <c r="X87" s="1075"/>
      <c r="Y87" s="1076"/>
    </row>
    <row r="88" spans="23:25" s="923" customFormat="1" ht="13.8">
      <c r="W88" s="1074"/>
      <c r="X88" s="1075"/>
      <c r="Y88" s="1076"/>
    </row>
    <row r="89" spans="23:25" s="923" customFormat="1" ht="13.8">
      <c r="W89" s="1074"/>
      <c r="X89" s="1075"/>
      <c r="Y89" s="1076"/>
    </row>
    <row r="90" spans="23:25" s="923" customFormat="1" ht="13.8">
      <c r="W90" s="1074"/>
      <c r="X90" s="1075"/>
      <c r="Y90" s="1076"/>
    </row>
    <row r="91" spans="23:25" s="923" customFormat="1" ht="13.8">
      <c r="W91" s="1074"/>
      <c r="X91" s="1075"/>
      <c r="Y91" s="1076"/>
    </row>
    <row r="92" spans="23:25" s="923" customFormat="1" ht="13.8">
      <c r="W92" s="1074"/>
      <c r="X92" s="1075"/>
      <c r="Y92" s="1076"/>
    </row>
    <row r="93" spans="23:25" s="923" customFormat="1" ht="13.8">
      <c r="W93" s="1074"/>
      <c r="X93" s="1075"/>
      <c r="Y93" s="1076"/>
    </row>
    <row r="94" spans="23:25" s="923" customFormat="1" ht="13.8">
      <c r="W94" s="1074"/>
      <c r="X94" s="1075"/>
      <c r="Y94" s="1076"/>
    </row>
    <row r="95" spans="23:25" s="923" customFormat="1" ht="13.8">
      <c r="W95" s="1074"/>
      <c r="X95" s="1075"/>
      <c r="Y95" s="1076"/>
    </row>
    <row r="96" spans="23:25" s="923" customFormat="1" ht="13.8">
      <c r="W96" s="1074"/>
      <c r="X96" s="1075"/>
      <c r="Y96" s="1076"/>
    </row>
    <row r="97" spans="23:25" s="923" customFormat="1" ht="13.8">
      <c r="W97" s="1074"/>
      <c r="X97" s="1075"/>
      <c r="Y97" s="1076"/>
    </row>
    <row r="98" spans="23:25" s="923" customFormat="1" ht="13.8">
      <c r="W98" s="1074"/>
      <c r="X98" s="1075"/>
      <c r="Y98" s="1076"/>
    </row>
    <row r="99" spans="23:25" s="923" customFormat="1" ht="13.8">
      <c r="W99" s="1074"/>
      <c r="X99" s="1075"/>
      <c r="Y99" s="1076"/>
    </row>
    <row r="100" spans="23:25" s="923" customFormat="1" ht="13.8">
      <c r="W100" s="1074"/>
      <c r="X100" s="1075"/>
      <c r="Y100" s="1076"/>
    </row>
    <row r="101" spans="23:25" s="923" customFormat="1" ht="13.8">
      <c r="W101" s="1074"/>
      <c r="X101" s="1075"/>
      <c r="Y101" s="1076"/>
    </row>
    <row r="102" spans="23:25" s="923" customFormat="1" ht="13.8">
      <c r="W102" s="1074"/>
      <c r="X102" s="1075"/>
      <c r="Y102" s="1076"/>
    </row>
    <row r="103" spans="23:25" s="923" customFormat="1" ht="13.8">
      <c r="W103" s="1074"/>
      <c r="X103" s="1075"/>
      <c r="Y103" s="1076"/>
    </row>
    <row r="104" spans="23:25" s="923" customFormat="1" ht="13.8">
      <c r="W104" s="1074"/>
      <c r="X104" s="1075"/>
      <c r="Y104" s="1076"/>
    </row>
    <row r="105" spans="23:25" s="923" customFormat="1" ht="13.8">
      <c r="W105" s="1074"/>
      <c r="X105" s="1075"/>
      <c r="Y105" s="1076"/>
    </row>
    <row r="106" spans="23:25" s="923" customFormat="1" ht="13.8">
      <c r="W106" s="1074"/>
      <c r="X106" s="1075"/>
      <c r="Y106" s="1076"/>
    </row>
    <row r="107" spans="23:25" s="923" customFormat="1" ht="13.8">
      <c r="W107" s="1074"/>
      <c r="X107" s="1075"/>
      <c r="Y107" s="1076"/>
    </row>
    <row r="108" spans="23:25" s="923" customFormat="1" ht="13.8">
      <c r="W108" s="1074"/>
      <c r="X108" s="1075"/>
      <c r="Y108" s="1076"/>
    </row>
    <row r="109" spans="23:25" s="923" customFormat="1" ht="13.8">
      <c r="W109" s="1074"/>
      <c r="X109" s="1075"/>
      <c r="Y109" s="1076"/>
    </row>
    <row r="110" spans="23:25" s="923" customFormat="1" ht="13.8">
      <c r="W110" s="1074"/>
      <c r="X110" s="1075"/>
      <c r="Y110" s="1076"/>
    </row>
    <row r="111" spans="23:25" s="923" customFormat="1" ht="13.8">
      <c r="W111" s="1074"/>
      <c r="X111" s="1075"/>
      <c r="Y111" s="1076"/>
    </row>
    <row r="112" spans="23:25" s="923" customFormat="1" ht="13.8">
      <c r="W112" s="1074"/>
      <c r="X112" s="1075"/>
      <c r="Y112" s="1076"/>
    </row>
    <row r="113" spans="23:25" s="923" customFormat="1" ht="13.8">
      <c r="W113" s="1074"/>
      <c r="X113" s="1075"/>
      <c r="Y113" s="1076"/>
    </row>
    <row r="114" spans="23:25" s="923" customFormat="1" ht="13.8">
      <c r="W114" s="1074"/>
      <c r="X114" s="1075"/>
      <c r="Y114" s="1076"/>
    </row>
    <row r="115" spans="23:25" s="923" customFormat="1" ht="13.8">
      <c r="W115" s="1074"/>
      <c r="X115" s="1075"/>
      <c r="Y115" s="1076"/>
    </row>
    <row r="116" spans="23:25" s="923" customFormat="1" ht="13.8">
      <c r="W116" s="1074"/>
      <c r="X116" s="1075"/>
      <c r="Y116" s="1076"/>
    </row>
    <row r="117" spans="23:25" s="923" customFormat="1" ht="13.8">
      <c r="W117" s="1074"/>
      <c r="X117" s="1075"/>
      <c r="Y117" s="1076"/>
    </row>
    <row r="118" spans="23:25" s="923" customFormat="1" ht="13.8">
      <c r="W118" s="1074"/>
      <c r="X118" s="1075"/>
      <c r="Y118" s="1076"/>
    </row>
    <row r="119" spans="23:25" s="923" customFormat="1" ht="13.8">
      <c r="W119" s="1074"/>
      <c r="X119" s="1075"/>
      <c r="Y119" s="1076"/>
    </row>
    <row r="120" spans="23:25" s="923" customFormat="1" ht="13.8">
      <c r="W120" s="1074"/>
      <c r="X120" s="1075"/>
      <c r="Y120" s="1076"/>
    </row>
    <row r="121" spans="23:25" s="923" customFormat="1" ht="13.8">
      <c r="W121" s="1074"/>
      <c r="X121" s="1075"/>
      <c r="Y121" s="1076"/>
    </row>
    <row r="122" spans="23:25" s="923" customFormat="1" ht="13.8">
      <c r="W122" s="1074"/>
      <c r="X122" s="1075"/>
      <c r="Y122" s="1076"/>
    </row>
    <row r="123" spans="23:25" s="923" customFormat="1" ht="13.8">
      <c r="W123" s="1074"/>
      <c r="X123" s="1075"/>
      <c r="Y123" s="1076"/>
    </row>
    <row r="124" spans="23:25" s="923" customFormat="1" ht="13.8">
      <c r="W124" s="1074"/>
      <c r="X124" s="1075"/>
      <c r="Y124" s="1076"/>
    </row>
    <row r="125" spans="23:25" s="923" customFormat="1" ht="13.8">
      <c r="W125" s="1074"/>
      <c r="X125" s="1075"/>
      <c r="Y125" s="1076"/>
    </row>
    <row r="126" spans="23:25" s="923" customFormat="1" ht="13.8">
      <c r="W126" s="1074"/>
      <c r="X126" s="1075"/>
      <c r="Y126" s="1076"/>
    </row>
    <row r="127" spans="23:25" s="923" customFormat="1" ht="13.8">
      <c r="W127" s="1074"/>
      <c r="X127" s="1075"/>
      <c r="Y127" s="1076"/>
    </row>
    <row r="128" spans="23:25" s="923" customFormat="1" ht="13.8">
      <c r="W128" s="1074"/>
      <c r="X128" s="1075"/>
      <c r="Y128" s="1076"/>
    </row>
    <row r="129" spans="23:25" s="923" customFormat="1" ht="13.8">
      <c r="W129" s="1074"/>
      <c r="X129" s="1075"/>
      <c r="Y129" s="1076"/>
    </row>
    <row r="130" spans="23:25" s="923" customFormat="1" ht="13.8">
      <c r="W130" s="1074"/>
      <c r="X130" s="1075"/>
      <c r="Y130" s="1076"/>
    </row>
    <row r="131" spans="23:25" s="923" customFormat="1" ht="13.8">
      <c r="W131" s="1074"/>
      <c r="X131" s="1075"/>
      <c r="Y131" s="1076"/>
    </row>
    <row r="132" spans="23:25" s="923" customFormat="1" ht="13.8">
      <c r="W132" s="1074"/>
      <c r="X132" s="1075"/>
      <c r="Y132" s="1076"/>
    </row>
    <row r="133" spans="23:25" s="923" customFormat="1" ht="13.8">
      <c r="W133" s="1074"/>
      <c r="X133" s="1075"/>
      <c r="Y133" s="1076"/>
    </row>
    <row r="134" spans="23:25" s="923" customFormat="1" ht="13.8">
      <c r="W134" s="1074"/>
      <c r="X134" s="1075"/>
      <c r="Y134" s="1076"/>
    </row>
    <row r="135" spans="23:25" s="923" customFormat="1" ht="13.8">
      <c r="W135" s="1074"/>
      <c r="X135" s="1075"/>
      <c r="Y135" s="1076"/>
    </row>
    <row r="136" spans="23:25" s="923" customFormat="1" ht="13.8">
      <c r="W136" s="1074"/>
      <c r="X136" s="1075"/>
      <c r="Y136" s="1076"/>
    </row>
    <row r="137" spans="23:25" s="923" customFormat="1" ht="13.8">
      <c r="W137" s="1074"/>
      <c r="X137" s="1075"/>
      <c r="Y137" s="1076"/>
    </row>
    <row r="138" spans="23:25" s="923" customFormat="1" ht="13.8">
      <c r="W138" s="1074"/>
      <c r="X138" s="1075"/>
      <c r="Y138" s="1076"/>
    </row>
    <row r="139" spans="23:25" s="923" customFormat="1" ht="13.8">
      <c r="W139" s="1074"/>
      <c r="X139" s="1075"/>
      <c r="Y139" s="1076"/>
    </row>
    <row r="140" spans="23:25" s="923" customFormat="1" ht="13.8">
      <c r="W140" s="1074"/>
      <c r="X140" s="1075"/>
      <c r="Y140" s="1076"/>
    </row>
    <row r="141" spans="23:25" s="923" customFormat="1" ht="13.8">
      <c r="W141" s="1074"/>
      <c r="X141" s="1075"/>
      <c r="Y141" s="1076"/>
    </row>
    <row r="142" spans="23:25" s="923" customFormat="1" ht="13.8">
      <c r="W142" s="1074"/>
      <c r="X142" s="1075"/>
      <c r="Y142" s="1076"/>
    </row>
    <row r="143" spans="23:25" s="923" customFormat="1" ht="13.8">
      <c r="W143" s="1074"/>
      <c r="X143" s="1075"/>
      <c r="Y143" s="1076"/>
    </row>
    <row r="144" spans="23:25" s="923" customFormat="1" ht="13.8">
      <c r="W144" s="1074"/>
      <c r="X144" s="1075"/>
      <c r="Y144" s="1076"/>
    </row>
    <row r="145" spans="23:25" s="923" customFormat="1" ht="13.8">
      <c r="W145" s="1074"/>
      <c r="X145" s="1075"/>
      <c r="Y145" s="1076"/>
    </row>
    <row r="146" spans="23:25" s="923" customFormat="1" ht="13.8">
      <c r="W146" s="1074"/>
      <c r="X146" s="1075"/>
      <c r="Y146" s="1076"/>
    </row>
    <row r="147" spans="23:25" s="923" customFormat="1" ht="13.8">
      <c r="W147" s="1074"/>
      <c r="X147" s="1075"/>
      <c r="Y147" s="1076"/>
    </row>
    <row r="148" spans="23:25" s="923" customFormat="1" ht="13.8">
      <c r="W148" s="1074"/>
      <c r="X148" s="1075"/>
      <c r="Y148" s="1076"/>
    </row>
    <row r="149" spans="23:25" s="923" customFormat="1" ht="13.8">
      <c r="W149" s="1074"/>
      <c r="X149" s="1075"/>
      <c r="Y149" s="1076"/>
    </row>
    <row r="150" spans="23:25" s="923" customFormat="1" ht="13.8">
      <c r="W150" s="1074"/>
      <c r="X150" s="1075"/>
      <c r="Y150" s="1076"/>
    </row>
    <row r="151" spans="23:25" s="923" customFormat="1" ht="13.8">
      <c r="W151" s="1074"/>
      <c r="X151" s="1075"/>
      <c r="Y151" s="1076"/>
    </row>
    <row r="152" spans="23:25" s="923" customFormat="1" ht="13.8">
      <c r="W152" s="1074"/>
      <c r="X152" s="1075"/>
      <c r="Y152" s="1076"/>
    </row>
    <row r="153" spans="23:25" s="923" customFormat="1" ht="13.8">
      <c r="W153" s="1074"/>
      <c r="X153" s="1075"/>
      <c r="Y153" s="1076"/>
    </row>
    <row r="154" spans="23:25" s="923" customFormat="1" ht="13.8">
      <c r="W154" s="1074"/>
      <c r="X154" s="1075"/>
      <c r="Y154" s="1076"/>
    </row>
    <row r="155" spans="23:25" s="923" customFormat="1" ht="13.8">
      <c r="W155" s="1074"/>
      <c r="X155" s="1075"/>
      <c r="Y155" s="1076"/>
    </row>
    <row r="156" spans="23:25" s="923" customFormat="1" ht="13.8">
      <c r="W156" s="1074"/>
      <c r="X156" s="1075"/>
      <c r="Y156" s="1076"/>
    </row>
    <row r="157" spans="23:25" s="923" customFormat="1" ht="13.8">
      <c r="W157" s="1074"/>
      <c r="X157" s="1075"/>
      <c r="Y157" s="1076"/>
    </row>
    <row r="158" spans="23:25" s="923" customFormat="1" ht="13.8">
      <c r="W158" s="1074"/>
      <c r="X158" s="1075"/>
      <c r="Y158" s="1076"/>
    </row>
    <row r="159" spans="23:25" s="923" customFormat="1" ht="13.8">
      <c r="W159" s="1074"/>
      <c r="X159" s="1075"/>
      <c r="Y159" s="1076"/>
    </row>
    <row r="160" spans="23:25" s="923" customFormat="1" ht="13.8">
      <c r="W160" s="1074"/>
      <c r="X160" s="1075"/>
      <c r="Y160" s="1076"/>
    </row>
    <row r="161" spans="23:25" s="923" customFormat="1" ht="13.8">
      <c r="W161" s="1074"/>
      <c r="X161" s="1075"/>
      <c r="Y161" s="1076"/>
    </row>
    <row r="162" spans="23:25" s="923" customFormat="1" ht="13.8">
      <c r="W162" s="1074"/>
      <c r="X162" s="1075"/>
      <c r="Y162" s="1076"/>
    </row>
    <row r="163" spans="23:25" s="923" customFormat="1" ht="13.8">
      <c r="W163" s="1074"/>
      <c r="X163" s="1075"/>
      <c r="Y163" s="1076"/>
    </row>
    <row r="164" spans="23:25" s="923" customFormat="1" ht="13.8">
      <c r="W164" s="1074"/>
      <c r="X164" s="1075"/>
      <c r="Y164" s="1076"/>
    </row>
    <row r="165" spans="23:25" s="923" customFormat="1" ht="13.8">
      <c r="W165" s="1074"/>
      <c r="X165" s="1075"/>
      <c r="Y165" s="1076"/>
    </row>
    <row r="166" spans="23:25" s="923" customFormat="1" ht="13.8">
      <c r="W166" s="1074"/>
      <c r="X166" s="1075"/>
      <c r="Y166" s="1076"/>
    </row>
    <row r="167" spans="23:25" s="923" customFormat="1" ht="13.8">
      <c r="W167" s="1074"/>
      <c r="X167" s="1075"/>
      <c r="Y167" s="1076"/>
    </row>
    <row r="168" spans="23:25" s="923" customFormat="1" ht="13.8">
      <c r="W168" s="1074"/>
      <c r="X168" s="1075"/>
      <c r="Y168" s="1076"/>
    </row>
    <row r="169" spans="23:25" s="923" customFormat="1" ht="13.8">
      <c r="W169" s="1074"/>
      <c r="X169" s="1075"/>
      <c r="Y169" s="1076"/>
    </row>
    <row r="170" spans="23:25" s="923" customFormat="1" ht="13.8">
      <c r="W170" s="1074"/>
      <c r="X170" s="1075"/>
      <c r="Y170" s="1076"/>
    </row>
    <row r="171" spans="23:25" s="923" customFormat="1" ht="13.8">
      <c r="W171" s="1074"/>
      <c r="X171" s="1075"/>
      <c r="Y171" s="1076"/>
    </row>
    <row r="172" spans="23:25" s="923" customFormat="1" ht="13.8">
      <c r="W172" s="1074"/>
      <c r="X172" s="1075"/>
      <c r="Y172" s="1076"/>
    </row>
    <row r="173" spans="23:25" s="923" customFormat="1" ht="13.8">
      <c r="W173" s="1074"/>
      <c r="X173" s="1075"/>
      <c r="Y173" s="1076"/>
    </row>
    <row r="174" spans="23:25" s="923" customFormat="1" ht="13.8">
      <c r="W174" s="1074"/>
      <c r="X174" s="1075"/>
      <c r="Y174" s="1076"/>
    </row>
    <row r="175" spans="23:25" s="923" customFormat="1" ht="13.8">
      <c r="W175" s="1074"/>
      <c r="X175" s="1075"/>
      <c r="Y175" s="1076"/>
    </row>
    <row r="176" spans="23:25" s="923" customFormat="1" ht="13.8">
      <c r="W176" s="1074"/>
      <c r="X176" s="1075"/>
      <c r="Y176" s="1076"/>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7"/>
    <col min="3" max="3" width="10.54296875" style="1077" customWidth="1"/>
    <col min="4" max="4" width="11.81640625" style="1077" customWidth="1"/>
    <col min="5" max="5" width="12.90625" style="1077" customWidth="1"/>
    <col min="6" max="7" width="17.1796875" style="1077" customWidth="1"/>
    <col min="8" max="8" width="17.1796875" style="1079" customWidth="1"/>
    <col min="9" max="9" width="17.1796875" style="1077" customWidth="1"/>
    <col min="10" max="10" width="11.90625" style="1077" customWidth="1"/>
    <col min="11" max="11" width="10.54296875" style="1079" customWidth="1"/>
    <col min="12" max="12" width="12.08984375" style="1077" bestFit="1" customWidth="1"/>
    <col min="13" max="13" width="15.90625" style="1077" customWidth="1"/>
    <col min="14" max="14" width="13.36328125" style="1077" customWidth="1"/>
    <col min="15" max="15" width="12.81640625" style="1077" bestFit="1" customWidth="1"/>
    <col min="16" max="16" width="10.54296875" style="1077" bestFit="1" customWidth="1"/>
    <col min="17" max="17" width="11" style="1077" customWidth="1"/>
    <col min="18" max="18" width="11.08984375" style="1077" customWidth="1"/>
    <col min="19" max="19" width="11.54296875" style="1077" customWidth="1"/>
    <col min="20" max="20" width="13.90625" style="1079" customWidth="1"/>
    <col min="21" max="21" width="14.6328125" style="1077" customWidth="1"/>
    <col min="22" max="22" width="18.90625" style="1080" customWidth="1"/>
    <col min="23" max="23" width="15.36328125" style="1077" customWidth="1"/>
    <col min="24" max="16384" width="8.90625" style="1077"/>
  </cols>
  <sheetData>
    <row r="4" spans="4:24" ht="13.8">
      <c r="D4" s="1844" t="s">
        <v>1726</v>
      </c>
      <c r="E4" s="1844"/>
      <c r="F4" s="1844"/>
      <c r="G4" s="1844"/>
      <c r="H4" s="1844"/>
      <c r="I4" s="1844"/>
      <c r="J4" s="1844"/>
      <c r="K4" s="1844"/>
      <c r="L4" s="1844"/>
      <c r="M4" s="1844"/>
      <c r="N4" s="1844"/>
      <c r="O4" s="1844"/>
      <c r="P4" s="1844"/>
      <c r="Q4" s="1844"/>
      <c r="R4" s="1844"/>
      <c r="S4" s="1844"/>
      <c r="T4" s="1844"/>
      <c r="U4" s="756"/>
      <c r="V4" s="1078"/>
      <c r="W4" s="755"/>
      <c r="X4" s="755"/>
    </row>
    <row r="5" spans="4:24" ht="13.8" thickBot="1"/>
    <row r="6" spans="4:24" ht="13.8" thickTop="1">
      <c r="D6" s="1033"/>
      <c r="E6" s="1081"/>
      <c r="F6" s="1082"/>
      <c r="G6" s="1082"/>
      <c r="H6" s="1083"/>
      <c r="I6" s="1082"/>
      <c r="J6" s="1082"/>
      <c r="K6" s="1084"/>
      <c r="L6" s="1085"/>
      <c r="M6" s="1086"/>
      <c r="N6" s="1081"/>
      <c r="O6" s="1082"/>
      <c r="P6" s="1085"/>
      <c r="Q6" s="1086"/>
      <c r="R6" s="1086"/>
      <c r="S6" s="1086"/>
      <c r="T6" s="1087"/>
    </row>
    <row r="7" spans="4:24" ht="14.4" thickBot="1">
      <c r="D7" s="1088"/>
      <c r="E7" s="1825" t="s">
        <v>38</v>
      </c>
      <c r="F7" s="1826"/>
      <c r="G7" s="1826"/>
      <c r="H7" s="1826"/>
      <c r="I7" s="1826"/>
      <c r="J7" s="1826"/>
      <c r="K7" s="1843"/>
      <c r="L7" s="1089" t="s">
        <v>1694</v>
      </c>
      <c r="M7" s="1089" t="s">
        <v>1169</v>
      </c>
      <c r="N7" s="1825" t="s">
        <v>1166</v>
      </c>
      <c r="O7" s="1826"/>
      <c r="P7" s="1843"/>
      <c r="Q7" s="1045" t="s">
        <v>39</v>
      </c>
      <c r="R7" s="1045" t="s">
        <v>997</v>
      </c>
      <c r="S7" s="1045" t="s">
        <v>31</v>
      </c>
      <c r="T7" s="1045" t="s">
        <v>37</v>
      </c>
    </row>
    <row r="8" spans="4:24" ht="15" thickTop="1" thickBot="1">
      <c r="D8" s="1090"/>
      <c r="E8" s="1091"/>
      <c r="F8" s="1041"/>
      <c r="G8" s="1041"/>
      <c r="H8" s="1092"/>
      <c r="I8" s="1041"/>
      <c r="J8" s="1041"/>
      <c r="K8" s="1093"/>
      <c r="L8" s="1048"/>
      <c r="M8" s="1042"/>
      <c r="N8" s="1044"/>
      <c r="O8" s="1041"/>
      <c r="P8" s="1052"/>
      <c r="Q8" s="1045" t="s">
        <v>45</v>
      </c>
      <c r="R8" s="1045" t="s">
        <v>1167</v>
      </c>
      <c r="S8" s="1045" t="s">
        <v>1167</v>
      </c>
      <c r="T8" s="1045"/>
    </row>
    <row r="9" spans="4:24" ht="14.4" thickTop="1">
      <c r="D9" s="1094" t="s">
        <v>32</v>
      </c>
      <c r="E9" s="1094" t="s">
        <v>1168</v>
      </c>
      <c r="F9" s="1042" t="s">
        <v>1007</v>
      </c>
      <c r="G9" s="1042" t="s">
        <v>1713</v>
      </c>
      <c r="H9" s="1045" t="s">
        <v>1714</v>
      </c>
      <c r="I9" s="1095" t="s">
        <v>1715</v>
      </c>
      <c r="J9" s="1042" t="s">
        <v>1716</v>
      </c>
      <c r="K9" s="1045" t="s">
        <v>37</v>
      </c>
      <c r="L9" s="1042"/>
      <c r="M9" s="1042"/>
      <c r="N9" s="1046" t="s">
        <v>1005</v>
      </c>
      <c r="O9" s="1046" t="s">
        <v>1699</v>
      </c>
      <c r="P9" s="1042" t="s">
        <v>1717</v>
      </c>
      <c r="Q9" s="1045" t="s">
        <v>1008</v>
      </c>
      <c r="R9" s="1042"/>
      <c r="S9" s="1042"/>
      <c r="T9" s="1045"/>
    </row>
    <row r="10" spans="4:24" ht="13.8">
      <c r="D10" s="1090"/>
      <c r="E10" s="1094"/>
      <c r="F10" s="1042"/>
      <c r="G10" s="1042"/>
      <c r="H10" s="1045" t="s">
        <v>1718</v>
      </c>
      <c r="I10" s="1042" t="s">
        <v>1706</v>
      </c>
      <c r="J10" s="1042"/>
      <c r="K10" s="1045"/>
      <c r="L10" s="1042"/>
      <c r="M10" s="1042"/>
      <c r="N10" s="1042"/>
      <c r="O10" s="1042" t="s">
        <v>1719</v>
      </c>
      <c r="P10" s="1042" t="s">
        <v>1719</v>
      </c>
      <c r="Q10" s="1042"/>
      <c r="R10" s="1042"/>
      <c r="S10" s="1042"/>
      <c r="T10" s="1045"/>
    </row>
    <row r="11" spans="4:24" ht="13.8">
      <c r="D11" s="1090"/>
      <c r="E11" s="1094"/>
      <c r="F11" s="1042"/>
      <c r="G11" s="1042"/>
      <c r="H11" s="1045"/>
      <c r="I11" s="1042"/>
      <c r="J11" s="1042"/>
      <c r="K11" s="1045"/>
      <c r="L11" s="1042"/>
      <c r="M11" s="1042"/>
      <c r="N11" s="1042"/>
      <c r="O11" s="1042"/>
      <c r="P11" s="1042"/>
      <c r="Q11" s="1042"/>
      <c r="R11" s="1042"/>
      <c r="S11" s="1042"/>
      <c r="T11" s="1045"/>
    </row>
    <row r="12" spans="4:24" ht="14.4" thickBot="1">
      <c r="D12" s="1090"/>
      <c r="E12" s="1096"/>
      <c r="F12" s="1051"/>
      <c r="G12" s="1051"/>
      <c r="H12" s="1097"/>
      <c r="I12" s="1051"/>
      <c r="J12" s="1051"/>
      <c r="K12" s="1097"/>
      <c r="L12" s="1051"/>
      <c r="M12" s="1051"/>
      <c r="N12" s="1051"/>
      <c r="O12" s="1051"/>
      <c r="P12" s="1051"/>
      <c r="Q12" s="1051"/>
      <c r="R12" s="1051"/>
      <c r="S12" s="1051"/>
      <c r="T12" s="1097"/>
    </row>
    <row r="13" spans="4:24" ht="14.4" thickTop="1">
      <c r="D13" s="1098"/>
      <c r="E13" s="1090"/>
      <c r="F13" s="1043"/>
      <c r="G13" s="1043"/>
      <c r="H13" s="1099"/>
      <c r="I13" s="1043"/>
      <c r="J13" s="1043"/>
      <c r="K13" s="1099"/>
      <c r="L13" s="1043"/>
      <c r="M13" s="1043"/>
      <c r="N13" s="1043"/>
      <c r="O13" s="1043"/>
      <c r="P13" s="1043"/>
      <c r="Q13" s="1043"/>
      <c r="R13" s="1043"/>
      <c r="S13" s="1043"/>
      <c r="T13" s="1099"/>
      <c r="V13" s="1100" t="s">
        <v>1720</v>
      </c>
    </row>
    <row r="14" spans="4:24" ht="13.8">
      <c r="D14" s="1101">
        <v>2015</v>
      </c>
      <c r="E14" s="1090"/>
      <c r="F14" s="1043"/>
      <c r="G14" s="1043"/>
      <c r="H14" s="1099"/>
      <c r="I14" s="1043"/>
      <c r="J14" s="1043"/>
      <c r="K14" s="1099"/>
      <c r="L14" s="1043"/>
      <c r="M14" s="1043"/>
      <c r="N14" s="1043"/>
      <c r="O14" s="1043"/>
      <c r="P14" s="1043"/>
      <c r="Q14" s="1043"/>
      <c r="R14" s="1043"/>
      <c r="S14" s="1043"/>
      <c r="T14" s="1043"/>
      <c r="V14" s="1102"/>
      <c r="W14" s="1103" t="e">
        <f>+V15/#REF!</f>
        <v>#REF!</v>
      </c>
    </row>
    <row r="15" spans="4:24" ht="13.8">
      <c r="D15" s="1104" t="s">
        <v>1170</v>
      </c>
      <c r="E15" s="1105" t="e">
        <f>#REF!+'Table 8 Merchant Liabilities'!E15</f>
        <v>#REF!</v>
      </c>
      <c r="F15" s="1059" t="e">
        <f>#REF!</f>
        <v>#REF!</v>
      </c>
      <c r="G15" s="1059" t="e">
        <f>#REF!+'Table 8 Merchant Liabilities'!G15</f>
        <v>#REF!</v>
      </c>
      <c r="H15" s="1136" t="e">
        <f>SUM(E15:G15)</f>
        <v>#REF!</v>
      </c>
      <c r="I15" s="1061" t="e">
        <f>#REF!+'Table 8 Merchant Liabilities'!I15</f>
        <v>#REF!</v>
      </c>
      <c r="J15" s="1059" t="e">
        <f>#REF!+'Table 8 Merchant Liabilities'!J15</f>
        <v>#REF!</v>
      </c>
      <c r="K15" s="1061" t="e">
        <f>SUM(H15:J15)</f>
        <v>#REF!</v>
      </c>
      <c r="L15" s="1059" t="e">
        <f>#REF!+'Table 8 Merchant Liabilities'!L15</f>
        <v>#REF!</v>
      </c>
      <c r="M15" s="1059" t="e">
        <f>#REF!+'Table 8 Merchant Liabilities'!M15</f>
        <v>#REF!</v>
      </c>
      <c r="N15" s="1059" t="e">
        <f>#REF!+'Table 8 Merchant Liabilities'!N15</f>
        <v>#REF!</v>
      </c>
      <c r="O15" s="1059" t="e">
        <f>#REF!+'Table 8 Merchant Liabilities'!O15</f>
        <v>#REF!</v>
      </c>
      <c r="P15" s="1059" t="e">
        <f>#REF!+'Table 8 Merchant Liabilities'!P15</f>
        <v>#REF!</v>
      </c>
      <c r="Q15" s="1059" t="e">
        <f>#REF!+'Table 8 Merchant Liabilities'!Q15</f>
        <v>#REF!</v>
      </c>
      <c r="R15" s="1059" t="e">
        <f>#REF!+'Table 8 Merchant Liabilities'!R15</f>
        <v>#REF!</v>
      </c>
      <c r="S15" s="1059" t="e">
        <f>#REF!+'Table 8 Merchant Liabilities'!S15</f>
        <v>#REF!</v>
      </c>
      <c r="T15" s="1106" t="e">
        <f>SUM(K15:S15)</f>
        <v>#REF!</v>
      </c>
      <c r="V15" s="1107" t="e">
        <f>T15-'Table 8 Merchant Liabilities'!T15-#REF!</f>
        <v>#REF!</v>
      </c>
    </row>
    <row r="16" spans="4:24" ht="13.8">
      <c r="D16" s="1104" t="s">
        <v>1172</v>
      </c>
      <c r="E16" s="1105" t="e">
        <f>#REF!+'Table 8 Merchant Liabilities'!E16</f>
        <v>#REF!</v>
      </c>
      <c r="F16" s="1059" t="e">
        <f>#REF!</f>
        <v>#REF!</v>
      </c>
      <c r="G16" s="1059" t="e">
        <f>#REF!+'Table 8 Merchant Liabilities'!G16</f>
        <v>#REF!</v>
      </c>
      <c r="H16" s="1136" t="e">
        <f t="shared" ref="H16:H40" si="0">SUM(E16:G16)</f>
        <v>#REF!</v>
      </c>
      <c r="I16" s="1061" t="e">
        <f>#REF!+'Table 8 Merchant Liabilities'!I16</f>
        <v>#REF!</v>
      </c>
      <c r="J16" s="1059" t="e">
        <f>#REF!+'Table 8 Merchant Liabilities'!J16</f>
        <v>#REF!</v>
      </c>
      <c r="K16" s="1061" t="e">
        <f t="shared" ref="K16:K40" si="1">SUM(H16:J16)</f>
        <v>#REF!</v>
      </c>
      <c r="L16" s="1059" t="e">
        <f>#REF!+'Table 8 Merchant Liabilities'!L16</f>
        <v>#REF!</v>
      </c>
      <c r="M16" s="1059" t="e">
        <f>#REF!+'Table 8 Merchant Liabilities'!M16</f>
        <v>#REF!</v>
      </c>
      <c r="N16" s="1059" t="e">
        <f>#REF!+'Table 8 Merchant Liabilities'!N16</f>
        <v>#REF!</v>
      </c>
      <c r="O16" s="1059" t="e">
        <f>#REF!+'Table 8 Merchant Liabilities'!O16</f>
        <v>#REF!</v>
      </c>
      <c r="P16" s="1059" t="e">
        <f>#REF!+'Table 8 Merchant Liabilities'!P16</f>
        <v>#REF!</v>
      </c>
      <c r="Q16" s="1059" t="e">
        <f>#REF!+'Table 8 Merchant Liabilities'!Q16</f>
        <v>#REF!</v>
      </c>
      <c r="R16" s="1059" t="e">
        <f>#REF!+'Table 8 Merchant Liabilities'!R16</f>
        <v>#REF!</v>
      </c>
      <c r="S16" s="1059" t="e">
        <f>#REF!+'Table 8 Merchant Liabilities'!S16</f>
        <v>#REF!</v>
      </c>
      <c r="T16" s="1106" t="e">
        <f t="shared" ref="T16:T40" si="2">SUM(K16:S16)</f>
        <v>#REF!</v>
      </c>
      <c r="V16" s="1107" t="e">
        <f>T16-'Table 8 Merchant Liabilities'!T16-#REF!</f>
        <v>#REF!</v>
      </c>
    </row>
    <row r="17" spans="4:22" ht="13.8">
      <c r="D17" s="1104" t="s">
        <v>1173</v>
      </c>
      <c r="E17" s="1105" t="e">
        <f>#REF!+'Table 8 Merchant Liabilities'!E17</f>
        <v>#REF!</v>
      </c>
      <c r="F17" s="1059" t="e">
        <f>#REF!</f>
        <v>#REF!</v>
      </c>
      <c r="G17" s="1059" t="e">
        <f>#REF!+'Table 8 Merchant Liabilities'!G17</f>
        <v>#REF!</v>
      </c>
      <c r="H17" s="1136" t="e">
        <f t="shared" si="0"/>
        <v>#REF!</v>
      </c>
      <c r="I17" s="1061" t="e">
        <f>#REF!+'Table 8 Merchant Liabilities'!I17</f>
        <v>#REF!</v>
      </c>
      <c r="J17" s="1059" t="e">
        <f>#REF!+'Table 8 Merchant Liabilities'!J17</f>
        <v>#REF!</v>
      </c>
      <c r="K17" s="1061" t="e">
        <f t="shared" si="1"/>
        <v>#REF!</v>
      </c>
      <c r="L17" s="1059" t="e">
        <f>#REF!+'Table 8 Merchant Liabilities'!L17</f>
        <v>#REF!</v>
      </c>
      <c r="M17" s="1059" t="e">
        <f>#REF!+'Table 8 Merchant Liabilities'!M17</f>
        <v>#REF!</v>
      </c>
      <c r="N17" s="1059" t="e">
        <f>#REF!+'Table 8 Merchant Liabilities'!N17</f>
        <v>#REF!</v>
      </c>
      <c r="O17" s="1059" t="e">
        <f>#REF!+'Table 8 Merchant Liabilities'!O17</f>
        <v>#REF!</v>
      </c>
      <c r="P17" s="1059" t="e">
        <f>#REF!+'Table 8 Merchant Liabilities'!P17</f>
        <v>#REF!</v>
      </c>
      <c r="Q17" s="1059" t="e">
        <f>#REF!+'Table 8 Merchant Liabilities'!Q17</f>
        <v>#REF!</v>
      </c>
      <c r="R17" s="1059" t="e">
        <f>#REF!+'Table 8 Merchant Liabilities'!R17</f>
        <v>#REF!</v>
      </c>
      <c r="S17" s="1059" t="e">
        <f>#REF!+'Table 8 Merchant Liabilities'!S17</f>
        <v>#REF!</v>
      </c>
      <c r="T17" s="1106" t="e">
        <f t="shared" si="2"/>
        <v>#REF!</v>
      </c>
      <c r="V17" s="1107" t="e">
        <f>T17-'Table 8 Merchant Liabilities'!T17-#REF!</f>
        <v>#REF!</v>
      </c>
    </row>
    <row r="18" spans="4:22" ht="13.8">
      <c r="D18" s="1104" t="s">
        <v>1174</v>
      </c>
      <c r="E18" s="1105" t="e">
        <f>#REF!+'Table 8 Merchant Liabilities'!E18</f>
        <v>#REF!</v>
      </c>
      <c r="F18" s="1059" t="e">
        <f>#REF!</f>
        <v>#REF!</v>
      </c>
      <c r="G18" s="1059" t="e">
        <f>#REF!+'Table 8 Merchant Liabilities'!G18</f>
        <v>#REF!</v>
      </c>
      <c r="H18" s="1136" t="e">
        <f t="shared" si="0"/>
        <v>#REF!</v>
      </c>
      <c r="I18" s="1061" t="e">
        <f>#REF!+'Table 8 Merchant Liabilities'!I18</f>
        <v>#REF!</v>
      </c>
      <c r="J18" s="1059" t="e">
        <f>#REF!+'Table 8 Merchant Liabilities'!J18</f>
        <v>#REF!</v>
      </c>
      <c r="K18" s="1061" t="e">
        <f t="shared" si="1"/>
        <v>#REF!</v>
      </c>
      <c r="L18" s="1059" t="e">
        <f>#REF!+'Table 8 Merchant Liabilities'!L18</f>
        <v>#REF!</v>
      </c>
      <c r="M18" s="1059" t="e">
        <f>#REF!+'Table 8 Merchant Liabilities'!M18</f>
        <v>#REF!</v>
      </c>
      <c r="N18" s="1059" t="e">
        <f>#REF!+'Table 8 Merchant Liabilities'!N18</f>
        <v>#REF!</v>
      </c>
      <c r="O18" s="1059" t="e">
        <f>#REF!+'Table 8 Merchant Liabilities'!O18</f>
        <v>#REF!</v>
      </c>
      <c r="P18" s="1059" t="e">
        <f>#REF!+'Table 8 Merchant Liabilities'!P18</f>
        <v>#REF!</v>
      </c>
      <c r="Q18" s="1059" t="e">
        <f>#REF!+'Table 8 Merchant Liabilities'!Q18</f>
        <v>#REF!</v>
      </c>
      <c r="R18" s="1059" t="e">
        <f>#REF!+'Table 8 Merchant Liabilities'!R18</f>
        <v>#REF!</v>
      </c>
      <c r="S18" s="1059" t="e">
        <f>#REF!+'Table 8 Merchant Liabilities'!S18</f>
        <v>#REF!</v>
      </c>
      <c r="T18" s="1106" t="e">
        <f t="shared" si="2"/>
        <v>#REF!</v>
      </c>
      <c r="V18" s="1107" t="e">
        <f>T18-'Table 8 Merchant Liabilities'!T18-#REF!</f>
        <v>#REF!</v>
      </c>
    </row>
    <row r="19" spans="4:22" ht="13.8">
      <c r="D19" s="1104" t="s">
        <v>1165</v>
      </c>
      <c r="E19" s="1105" t="e">
        <f>#REF!+'Table 8 Merchant Liabilities'!E19</f>
        <v>#REF!</v>
      </c>
      <c r="F19" s="1059" t="e">
        <f>#REF!</f>
        <v>#REF!</v>
      </c>
      <c r="G19" s="1059" t="e">
        <f>#REF!+'Table 8 Merchant Liabilities'!G19</f>
        <v>#REF!</v>
      </c>
      <c r="H19" s="1136" t="e">
        <f t="shared" si="0"/>
        <v>#REF!</v>
      </c>
      <c r="I19" s="1061" t="e">
        <f>#REF!+'Table 8 Merchant Liabilities'!I19</f>
        <v>#REF!</v>
      </c>
      <c r="J19" s="1059" t="e">
        <f>#REF!+'Table 8 Merchant Liabilities'!J19</f>
        <v>#REF!</v>
      </c>
      <c r="K19" s="1061" t="e">
        <f t="shared" si="1"/>
        <v>#REF!</v>
      </c>
      <c r="L19" s="1059" t="e">
        <f>#REF!+'Table 8 Merchant Liabilities'!L19</f>
        <v>#REF!</v>
      </c>
      <c r="M19" s="1059" t="e">
        <f>#REF!+'Table 8 Merchant Liabilities'!M19</f>
        <v>#REF!</v>
      </c>
      <c r="N19" s="1059" t="e">
        <f>#REF!+'Table 8 Merchant Liabilities'!N19</f>
        <v>#REF!</v>
      </c>
      <c r="O19" s="1059" t="e">
        <f>#REF!+'Table 8 Merchant Liabilities'!O19</f>
        <v>#REF!</v>
      </c>
      <c r="P19" s="1059" t="e">
        <f>#REF!+'Table 8 Merchant Liabilities'!P19</f>
        <v>#REF!</v>
      </c>
      <c r="Q19" s="1059" t="e">
        <f>#REF!+'Table 8 Merchant Liabilities'!Q19</f>
        <v>#REF!</v>
      </c>
      <c r="R19" s="1059" t="e">
        <f>#REF!+'Table 8 Merchant Liabilities'!R19</f>
        <v>#REF!</v>
      </c>
      <c r="S19" s="1059" t="e">
        <f>#REF!+'Table 8 Merchant Liabilities'!S19</f>
        <v>#REF!</v>
      </c>
      <c r="T19" s="1106" t="e">
        <f t="shared" si="2"/>
        <v>#REF!</v>
      </c>
      <c r="V19" s="1107" t="e">
        <f>T19-'Table 8 Merchant Liabilities'!T19-#REF!</f>
        <v>#REF!</v>
      </c>
    </row>
    <row r="20" spans="4:22" ht="13.8">
      <c r="D20" s="1104" t="s">
        <v>1175</v>
      </c>
      <c r="E20" s="1105" t="e">
        <f>#REF!+'Table 8 Merchant Liabilities'!E20</f>
        <v>#REF!</v>
      </c>
      <c r="F20" s="1059" t="e">
        <f>#REF!</f>
        <v>#REF!</v>
      </c>
      <c r="G20" s="1059" t="e">
        <f>#REF!+'Table 8 Merchant Liabilities'!G20</f>
        <v>#REF!</v>
      </c>
      <c r="H20" s="1136" t="e">
        <f t="shared" si="0"/>
        <v>#REF!</v>
      </c>
      <c r="I20" s="1061" t="e">
        <f>#REF!+'Table 8 Merchant Liabilities'!I20</f>
        <v>#REF!</v>
      </c>
      <c r="J20" s="1059" t="e">
        <f>#REF!+'Table 8 Merchant Liabilities'!J20</f>
        <v>#REF!</v>
      </c>
      <c r="K20" s="1061" t="e">
        <f t="shared" si="1"/>
        <v>#REF!</v>
      </c>
      <c r="L20" s="1059" t="e">
        <f>#REF!+'Table 8 Merchant Liabilities'!L20</f>
        <v>#REF!</v>
      </c>
      <c r="M20" s="1059" t="e">
        <f>#REF!+'Table 8 Merchant Liabilities'!M20</f>
        <v>#REF!</v>
      </c>
      <c r="N20" s="1059" t="e">
        <f>#REF!+'Table 8 Merchant Liabilities'!N20</f>
        <v>#REF!</v>
      </c>
      <c r="O20" s="1059" t="e">
        <f>#REF!+'Table 8 Merchant Liabilities'!O20</f>
        <v>#REF!</v>
      </c>
      <c r="P20" s="1059" t="e">
        <f>#REF!+'Table 8 Merchant Liabilities'!P20</f>
        <v>#REF!</v>
      </c>
      <c r="Q20" s="1059" t="e">
        <f>#REF!+'Table 8 Merchant Liabilities'!Q20</f>
        <v>#REF!</v>
      </c>
      <c r="R20" s="1059" t="e">
        <f>#REF!+'Table 8 Merchant Liabilities'!R20</f>
        <v>#REF!</v>
      </c>
      <c r="S20" s="1059" t="e">
        <f>#REF!+'Table 8 Merchant Liabilities'!S20</f>
        <v>#REF!</v>
      </c>
      <c r="T20" s="1106" t="e">
        <f t="shared" si="2"/>
        <v>#REF!</v>
      </c>
      <c r="V20" s="1107" t="e">
        <f>T20-'Table 8 Merchant Liabilities'!T20-#REF!</f>
        <v>#REF!</v>
      </c>
    </row>
    <row r="21" spans="4:22" ht="13.8">
      <c r="D21" s="1104" t="s">
        <v>1176</v>
      </c>
      <c r="E21" s="1105" t="e">
        <f>#REF!+'Table 8 Merchant Liabilities'!E21</f>
        <v>#REF!</v>
      </c>
      <c r="F21" s="1059" t="e">
        <f>#REF!</f>
        <v>#REF!</v>
      </c>
      <c r="G21" s="1059" t="e">
        <f>#REF!+'Table 8 Merchant Liabilities'!G21</f>
        <v>#REF!</v>
      </c>
      <c r="H21" s="1136" t="e">
        <f t="shared" si="0"/>
        <v>#REF!</v>
      </c>
      <c r="I21" s="1061" t="e">
        <f>#REF!+'Table 8 Merchant Liabilities'!I21</f>
        <v>#REF!</v>
      </c>
      <c r="J21" s="1059" t="e">
        <f>#REF!+'Table 8 Merchant Liabilities'!J21</f>
        <v>#REF!</v>
      </c>
      <c r="K21" s="1061" t="e">
        <f t="shared" si="1"/>
        <v>#REF!</v>
      </c>
      <c r="L21" s="1059" t="e">
        <f>#REF!+'Table 8 Merchant Liabilities'!L21</f>
        <v>#REF!</v>
      </c>
      <c r="M21" s="1059" t="e">
        <f>#REF!+'Table 8 Merchant Liabilities'!M21</f>
        <v>#REF!</v>
      </c>
      <c r="N21" s="1059" t="e">
        <f>#REF!+'Table 8 Merchant Liabilities'!N21</f>
        <v>#REF!</v>
      </c>
      <c r="O21" s="1059" t="e">
        <f>#REF!+'Table 8 Merchant Liabilities'!O21</f>
        <v>#REF!</v>
      </c>
      <c r="P21" s="1059" t="e">
        <f>#REF!+'Table 8 Merchant Liabilities'!P21</f>
        <v>#REF!</v>
      </c>
      <c r="Q21" s="1059" t="e">
        <f>#REF!+'Table 8 Merchant Liabilities'!Q21</f>
        <v>#REF!</v>
      </c>
      <c r="R21" s="1059" t="e">
        <f>#REF!+'Table 8 Merchant Liabilities'!R21</f>
        <v>#REF!</v>
      </c>
      <c r="S21" s="1059" t="e">
        <f>#REF!+'Table 8 Merchant Liabilities'!S21</f>
        <v>#REF!</v>
      </c>
      <c r="T21" s="1106" t="e">
        <f t="shared" si="2"/>
        <v>#REF!</v>
      </c>
      <c r="V21" s="1107" t="e">
        <f>T21-'Table 8 Merchant Liabilities'!T21-#REF!</f>
        <v>#REF!</v>
      </c>
    </row>
    <row r="22" spans="4:22" ht="13.8">
      <c r="D22" s="1104" t="s">
        <v>1177</v>
      </c>
      <c r="E22" s="1105" t="e">
        <f>#REF!+'Table 8 Merchant Liabilities'!E22</f>
        <v>#REF!</v>
      </c>
      <c r="F22" s="1059" t="e">
        <f>#REF!</f>
        <v>#REF!</v>
      </c>
      <c r="G22" s="1059" t="e">
        <f>#REF!+'Table 8 Merchant Liabilities'!G22</f>
        <v>#REF!</v>
      </c>
      <c r="H22" s="1136" t="e">
        <f t="shared" si="0"/>
        <v>#REF!</v>
      </c>
      <c r="I22" s="1061" t="e">
        <f>#REF!+'Table 8 Merchant Liabilities'!I22</f>
        <v>#REF!</v>
      </c>
      <c r="J22" s="1059" t="e">
        <f>#REF!+'Table 8 Merchant Liabilities'!J22</f>
        <v>#REF!</v>
      </c>
      <c r="K22" s="1061" t="e">
        <f t="shared" si="1"/>
        <v>#REF!</v>
      </c>
      <c r="L22" s="1059" t="e">
        <f>#REF!+'Table 8 Merchant Liabilities'!L22</f>
        <v>#REF!</v>
      </c>
      <c r="M22" s="1059" t="e">
        <f>#REF!+'Table 8 Merchant Liabilities'!M22</f>
        <v>#REF!</v>
      </c>
      <c r="N22" s="1059" t="e">
        <f>#REF!+'Table 8 Merchant Liabilities'!N22</f>
        <v>#REF!</v>
      </c>
      <c r="O22" s="1059" t="e">
        <f>#REF!+'Table 8 Merchant Liabilities'!O22</f>
        <v>#REF!</v>
      </c>
      <c r="P22" s="1059" t="e">
        <f>#REF!+'Table 8 Merchant Liabilities'!P22</f>
        <v>#REF!</v>
      </c>
      <c r="Q22" s="1059" t="e">
        <f>#REF!+'Table 8 Merchant Liabilities'!Q22</f>
        <v>#REF!</v>
      </c>
      <c r="R22" s="1059" t="e">
        <f>#REF!+'Table 8 Merchant Liabilities'!R22</f>
        <v>#REF!</v>
      </c>
      <c r="S22" s="1059" t="e">
        <f>#REF!+'Table 8 Merchant Liabilities'!S22</f>
        <v>#REF!</v>
      </c>
      <c r="T22" s="1106" t="e">
        <f t="shared" si="2"/>
        <v>#REF!</v>
      </c>
      <c r="V22" s="1107" t="e">
        <f>T22-'Table 8 Merchant Liabilities'!T22-#REF!</f>
        <v>#REF!</v>
      </c>
    </row>
    <row r="23" spans="4:22" ht="13.8">
      <c r="D23" s="1104" t="s">
        <v>1178</v>
      </c>
      <c r="E23" s="1105" t="e">
        <f>#REF!+'Table 8 Merchant Liabilities'!E23</f>
        <v>#REF!</v>
      </c>
      <c r="F23" s="1059" t="e">
        <f>#REF!</f>
        <v>#REF!</v>
      </c>
      <c r="G23" s="1059" t="e">
        <f>#REF!+'Table 8 Merchant Liabilities'!G23</f>
        <v>#REF!</v>
      </c>
      <c r="H23" s="1136" t="e">
        <f t="shared" si="0"/>
        <v>#REF!</v>
      </c>
      <c r="I23" s="1061" t="e">
        <f>#REF!+'Table 8 Merchant Liabilities'!I23</f>
        <v>#REF!</v>
      </c>
      <c r="J23" s="1059" t="e">
        <f>#REF!+'Table 8 Merchant Liabilities'!J23</f>
        <v>#REF!</v>
      </c>
      <c r="K23" s="1061" t="e">
        <f t="shared" si="1"/>
        <v>#REF!</v>
      </c>
      <c r="L23" s="1059" t="e">
        <f>#REF!+'Table 8 Merchant Liabilities'!L23</f>
        <v>#REF!</v>
      </c>
      <c r="M23" s="1059" t="e">
        <f>#REF!+'Table 8 Merchant Liabilities'!M23</f>
        <v>#REF!</v>
      </c>
      <c r="N23" s="1059" t="e">
        <f>#REF!+'Table 8 Merchant Liabilities'!N23</f>
        <v>#REF!</v>
      </c>
      <c r="O23" s="1059" t="e">
        <f>#REF!+'Table 8 Merchant Liabilities'!O23</f>
        <v>#REF!</v>
      </c>
      <c r="P23" s="1059" t="e">
        <f>#REF!+'Table 8 Merchant Liabilities'!P23</f>
        <v>#REF!</v>
      </c>
      <c r="Q23" s="1059" t="e">
        <f>#REF!+'Table 8 Merchant Liabilities'!Q23</f>
        <v>#REF!</v>
      </c>
      <c r="R23" s="1059" t="e">
        <f>#REF!+'Table 8 Merchant Liabilities'!R23</f>
        <v>#REF!</v>
      </c>
      <c r="S23" s="1059" t="e">
        <f>#REF!+'Table 8 Merchant Liabilities'!S23</f>
        <v>#REF!</v>
      </c>
      <c r="T23" s="1106" t="e">
        <f t="shared" si="2"/>
        <v>#REF!</v>
      </c>
      <c r="V23" s="1107" t="e">
        <f>T23-'Table 8 Merchant Liabilities'!T23-#REF!</f>
        <v>#REF!</v>
      </c>
    </row>
    <row r="24" spans="4:22" ht="13.8">
      <c r="D24" s="1104" t="s">
        <v>1179</v>
      </c>
      <c r="E24" s="1105" t="e">
        <f>#REF!+'Table 8 Merchant Liabilities'!E24</f>
        <v>#REF!</v>
      </c>
      <c r="F24" s="1059" t="e">
        <f>#REF!</f>
        <v>#REF!</v>
      </c>
      <c r="G24" s="1059" t="e">
        <f>#REF!+'Table 8 Merchant Liabilities'!G24</f>
        <v>#REF!</v>
      </c>
      <c r="H24" s="1136" t="e">
        <f t="shared" si="0"/>
        <v>#REF!</v>
      </c>
      <c r="I24" s="1061" t="e">
        <f>#REF!+'Table 8 Merchant Liabilities'!I24</f>
        <v>#REF!</v>
      </c>
      <c r="J24" s="1059" t="e">
        <f>#REF!+'Table 8 Merchant Liabilities'!J24</f>
        <v>#REF!</v>
      </c>
      <c r="K24" s="1061" t="e">
        <f t="shared" si="1"/>
        <v>#REF!</v>
      </c>
      <c r="L24" s="1059" t="e">
        <f>#REF!+'Table 8 Merchant Liabilities'!L24</f>
        <v>#REF!</v>
      </c>
      <c r="M24" s="1059" t="e">
        <f>#REF!+'Table 8 Merchant Liabilities'!M24</f>
        <v>#REF!</v>
      </c>
      <c r="N24" s="1059" t="e">
        <f>#REF!+'Table 8 Merchant Liabilities'!N24</f>
        <v>#REF!</v>
      </c>
      <c r="O24" s="1059" t="e">
        <f>#REF!+'Table 8 Merchant Liabilities'!O24</f>
        <v>#REF!</v>
      </c>
      <c r="P24" s="1059" t="e">
        <f>#REF!+'Table 8 Merchant Liabilities'!P24</f>
        <v>#REF!</v>
      </c>
      <c r="Q24" s="1059" t="e">
        <f>#REF!+'Table 8 Merchant Liabilities'!Q24</f>
        <v>#REF!</v>
      </c>
      <c r="R24" s="1059" t="e">
        <f>#REF!+'Table 8 Merchant Liabilities'!R24</f>
        <v>#REF!</v>
      </c>
      <c r="S24" s="1059" t="e">
        <f>#REF!+'Table 8 Merchant Liabilities'!S24</f>
        <v>#REF!</v>
      </c>
      <c r="T24" s="1106" t="e">
        <f t="shared" si="2"/>
        <v>#REF!</v>
      </c>
      <c r="V24" s="1107" t="e">
        <f>T24-'Table 8 Merchant Liabilities'!T24-#REF!</f>
        <v>#REF!</v>
      </c>
    </row>
    <row r="25" spans="4:22" ht="13.8">
      <c r="D25" s="1104" t="s">
        <v>1180</v>
      </c>
      <c r="E25" s="1105" t="e">
        <f>#REF!+'Table 8 Merchant Liabilities'!E25</f>
        <v>#REF!</v>
      </c>
      <c r="F25" s="1059" t="e">
        <f>#REF!</f>
        <v>#REF!</v>
      </c>
      <c r="G25" s="1059" t="e">
        <f>#REF!+'Table 8 Merchant Liabilities'!G25</f>
        <v>#REF!</v>
      </c>
      <c r="H25" s="1136" t="e">
        <f t="shared" si="0"/>
        <v>#REF!</v>
      </c>
      <c r="I25" s="1061" t="e">
        <f>#REF!+'Table 8 Merchant Liabilities'!I25</f>
        <v>#REF!</v>
      </c>
      <c r="J25" s="1059" t="e">
        <f>#REF!+'Table 8 Merchant Liabilities'!J25</f>
        <v>#REF!</v>
      </c>
      <c r="K25" s="1061" t="e">
        <f t="shared" si="1"/>
        <v>#REF!</v>
      </c>
      <c r="L25" s="1059" t="e">
        <f>#REF!+'Table 8 Merchant Liabilities'!L25</f>
        <v>#REF!</v>
      </c>
      <c r="M25" s="1059" t="e">
        <f>#REF!+'Table 8 Merchant Liabilities'!M25</f>
        <v>#REF!</v>
      </c>
      <c r="N25" s="1059" t="e">
        <f>#REF!+'Table 8 Merchant Liabilities'!N25</f>
        <v>#REF!</v>
      </c>
      <c r="O25" s="1059" t="e">
        <f>#REF!+'Table 8 Merchant Liabilities'!O25</f>
        <v>#REF!</v>
      </c>
      <c r="P25" s="1059" t="e">
        <f>#REF!+'Table 8 Merchant Liabilities'!P25</f>
        <v>#REF!</v>
      </c>
      <c r="Q25" s="1059" t="e">
        <f>#REF!+'Table 8 Merchant Liabilities'!Q25</f>
        <v>#REF!</v>
      </c>
      <c r="R25" s="1059" t="e">
        <f>#REF!+'Table 8 Merchant Liabilities'!R25</f>
        <v>#REF!</v>
      </c>
      <c r="S25" s="1059" t="e">
        <f>#REF!+'Table 8 Merchant Liabilities'!S25</f>
        <v>#REF!</v>
      </c>
      <c r="T25" s="1106" t="e">
        <f t="shared" si="2"/>
        <v>#REF!</v>
      </c>
      <c r="V25" s="1107" t="e">
        <f>T25-'Table 8 Merchant Liabilities'!T25-#REF!</f>
        <v>#REF!</v>
      </c>
    </row>
    <row r="26" spans="4:22" ht="13.8">
      <c r="D26" s="1104" t="s">
        <v>1181</v>
      </c>
      <c r="E26" s="1105" t="e">
        <f>#REF!+'Table 8 Merchant Liabilities'!E26</f>
        <v>#REF!</v>
      </c>
      <c r="F26" s="1059" t="e">
        <f>#REF!</f>
        <v>#REF!</v>
      </c>
      <c r="G26" s="1059" t="e">
        <f>#REF!+'Table 8 Merchant Liabilities'!G26</f>
        <v>#REF!</v>
      </c>
      <c r="H26" s="1136" t="e">
        <f t="shared" si="0"/>
        <v>#REF!</v>
      </c>
      <c r="I26" s="1061" t="e">
        <f>#REF!+'Table 8 Merchant Liabilities'!I26</f>
        <v>#REF!</v>
      </c>
      <c r="J26" s="1059" t="e">
        <f>#REF!+'Table 8 Merchant Liabilities'!J26</f>
        <v>#REF!</v>
      </c>
      <c r="K26" s="1061" t="e">
        <f t="shared" si="1"/>
        <v>#REF!</v>
      </c>
      <c r="L26" s="1059" t="e">
        <f>#REF!+'Table 8 Merchant Liabilities'!L26</f>
        <v>#REF!</v>
      </c>
      <c r="M26" s="1059" t="e">
        <f>#REF!+'Table 8 Merchant Liabilities'!M26</f>
        <v>#REF!</v>
      </c>
      <c r="N26" s="1059" t="e">
        <f>#REF!+'Table 8 Merchant Liabilities'!N26</f>
        <v>#REF!</v>
      </c>
      <c r="O26" s="1059" t="e">
        <f>#REF!+'Table 8 Merchant Liabilities'!O26</f>
        <v>#REF!</v>
      </c>
      <c r="P26" s="1059" t="e">
        <f>#REF!+'Table 8 Merchant Liabilities'!P26</f>
        <v>#REF!</v>
      </c>
      <c r="Q26" s="1059" t="e">
        <f>#REF!+'Table 8 Merchant Liabilities'!Q26</f>
        <v>#REF!</v>
      </c>
      <c r="R26" s="1059" t="e">
        <f>#REF!+'Table 8 Merchant Liabilities'!R26</f>
        <v>#REF!</v>
      </c>
      <c r="S26" s="1059" t="e">
        <f>#REF!+'Table 8 Merchant Liabilities'!S26</f>
        <v>#REF!</v>
      </c>
      <c r="T26" s="1106" t="e">
        <f t="shared" si="2"/>
        <v>#REF!</v>
      </c>
      <c r="V26" s="1107" t="e">
        <f>T26-'Table 8 Merchant Liabilities'!T26-#REF!</f>
        <v>#REF!</v>
      </c>
    </row>
    <row r="27" spans="4:22" ht="13.8">
      <c r="D27" s="1104"/>
      <c r="E27" s="1105"/>
      <c r="F27" s="1059"/>
      <c r="G27" s="1059"/>
      <c r="H27" s="1136"/>
      <c r="I27" s="1061"/>
      <c r="J27" s="1059"/>
      <c r="K27" s="1061"/>
      <c r="L27" s="1059"/>
      <c r="M27" s="1059"/>
      <c r="N27" s="1059"/>
      <c r="O27" s="1059"/>
      <c r="P27" s="1059"/>
      <c r="Q27" s="1059"/>
      <c r="R27" s="1059"/>
      <c r="S27" s="1059"/>
      <c r="T27" s="1106"/>
      <c r="V27" s="1107"/>
    </row>
    <row r="28" spans="4:22" ht="13.8">
      <c r="D28" s="1101">
        <v>2016</v>
      </c>
      <c r="E28" s="1105"/>
      <c r="F28" s="1059"/>
      <c r="G28" s="1059"/>
      <c r="H28" s="1136"/>
      <c r="I28" s="1061"/>
      <c r="J28" s="1059"/>
      <c r="K28" s="1061"/>
      <c r="L28" s="1059"/>
      <c r="M28" s="1059"/>
      <c r="N28" s="1059"/>
      <c r="O28" s="1059"/>
      <c r="P28" s="1059"/>
      <c r="Q28" s="1059"/>
      <c r="R28" s="1059"/>
      <c r="S28" s="1059"/>
      <c r="T28" s="1106"/>
      <c r="V28" s="1107"/>
    </row>
    <row r="29" spans="4:22" ht="13.8">
      <c r="D29" s="1104" t="s">
        <v>1170</v>
      </c>
      <c r="E29" s="1105" t="e">
        <f>#REF!+'Table 8 Merchant Liabilities'!E29</f>
        <v>#REF!</v>
      </c>
      <c r="F29" s="1059" t="e">
        <f>#REF!</f>
        <v>#REF!</v>
      </c>
      <c r="G29" s="1059" t="e">
        <f>#REF!+'Table 8 Merchant Liabilities'!G29</f>
        <v>#REF!</v>
      </c>
      <c r="H29" s="1136" t="e">
        <f t="shared" si="0"/>
        <v>#REF!</v>
      </c>
      <c r="I29" s="1061" t="e">
        <f>#REF!+'Table 8 Merchant Liabilities'!I29</f>
        <v>#REF!</v>
      </c>
      <c r="J29" s="1059" t="e">
        <f>#REF!+'Table 8 Merchant Liabilities'!J29</f>
        <v>#REF!</v>
      </c>
      <c r="K29" s="1061" t="e">
        <f t="shared" si="1"/>
        <v>#REF!</v>
      </c>
      <c r="L29" s="1059" t="e">
        <f>#REF!+'Table 8 Merchant Liabilities'!L29</f>
        <v>#REF!</v>
      </c>
      <c r="M29" s="1059" t="e">
        <f>#REF!+'Table 8 Merchant Liabilities'!M29</f>
        <v>#REF!</v>
      </c>
      <c r="N29" s="1059" t="e">
        <f>#REF!+'Table 8 Merchant Liabilities'!N29</f>
        <v>#REF!</v>
      </c>
      <c r="O29" s="1059" t="e">
        <f>#REF!+'Table 8 Merchant Liabilities'!O29</f>
        <v>#REF!</v>
      </c>
      <c r="P29" s="1059" t="e">
        <f>#REF!+'Table 8 Merchant Liabilities'!P29</f>
        <v>#REF!</v>
      </c>
      <c r="Q29" s="1059" t="e">
        <f>#REF!+'Table 8 Merchant Liabilities'!Q29</f>
        <v>#REF!</v>
      </c>
      <c r="R29" s="1059" t="e">
        <f>#REF!+'Table 8 Merchant Liabilities'!R29</f>
        <v>#REF!</v>
      </c>
      <c r="S29" s="1059" t="e">
        <f>#REF!+'Table 8 Merchant Liabilities'!S29</f>
        <v>#REF!</v>
      </c>
      <c r="T29" s="1106" t="e">
        <f t="shared" si="2"/>
        <v>#REF!</v>
      </c>
      <c r="V29" s="1107" t="e">
        <f>T29-'Table 8 Merchant Liabilities'!T29-#REF!</f>
        <v>#REF!</v>
      </c>
    </row>
    <row r="30" spans="4:22" ht="13.8">
      <c r="D30" s="1104" t="s">
        <v>1172</v>
      </c>
      <c r="E30" s="1105" t="e">
        <f>#REF!+'Table 8 Merchant Liabilities'!E30</f>
        <v>#REF!</v>
      </c>
      <c r="F30" s="1059" t="e">
        <f>#REF!</f>
        <v>#REF!</v>
      </c>
      <c r="G30" s="1059" t="e">
        <f>#REF!+'Table 8 Merchant Liabilities'!G30</f>
        <v>#REF!</v>
      </c>
      <c r="H30" s="1136" t="e">
        <f t="shared" si="0"/>
        <v>#REF!</v>
      </c>
      <c r="I30" s="1061" t="e">
        <f>#REF!+'Table 8 Merchant Liabilities'!I30</f>
        <v>#REF!</v>
      </c>
      <c r="J30" s="1059" t="e">
        <f>#REF!+'Table 8 Merchant Liabilities'!J30</f>
        <v>#REF!</v>
      </c>
      <c r="K30" s="1061" t="e">
        <f t="shared" si="1"/>
        <v>#REF!</v>
      </c>
      <c r="L30" s="1059" t="e">
        <f>#REF!+'Table 8 Merchant Liabilities'!L30</f>
        <v>#REF!</v>
      </c>
      <c r="M30" s="1059" t="e">
        <f>#REF!+'Table 8 Merchant Liabilities'!M30</f>
        <v>#REF!</v>
      </c>
      <c r="N30" s="1059" t="e">
        <f>#REF!+'Table 8 Merchant Liabilities'!N30</f>
        <v>#REF!</v>
      </c>
      <c r="O30" s="1059" t="e">
        <f>#REF!+'Table 8 Merchant Liabilities'!O30</f>
        <v>#REF!</v>
      </c>
      <c r="P30" s="1059" t="e">
        <f>#REF!+'Table 8 Merchant Liabilities'!P30</f>
        <v>#REF!</v>
      </c>
      <c r="Q30" s="1059" t="e">
        <f>#REF!+'Table 8 Merchant Liabilities'!Q30</f>
        <v>#REF!</v>
      </c>
      <c r="R30" s="1059" t="e">
        <f>#REF!+'Table 8 Merchant Liabilities'!R30</f>
        <v>#REF!</v>
      </c>
      <c r="S30" s="1059" t="e">
        <f>#REF!+'Table 8 Merchant Liabilities'!S30</f>
        <v>#REF!</v>
      </c>
      <c r="T30" s="1106" t="e">
        <f t="shared" si="2"/>
        <v>#REF!</v>
      </c>
      <c r="V30" s="1107" t="e">
        <f>T30-'Table 8 Merchant Liabilities'!T30-#REF!</f>
        <v>#REF!</v>
      </c>
    </row>
    <row r="31" spans="4:22" ht="13.8">
      <c r="D31" s="1104" t="s">
        <v>1173</v>
      </c>
      <c r="E31" s="1105" t="e">
        <f>#REF!+'Table 8 Merchant Liabilities'!E31</f>
        <v>#REF!</v>
      </c>
      <c r="F31" s="1059" t="e">
        <f>#REF!</f>
        <v>#REF!</v>
      </c>
      <c r="G31" s="1059" t="e">
        <f>#REF!+'Table 8 Merchant Liabilities'!G31</f>
        <v>#REF!</v>
      </c>
      <c r="H31" s="1136" t="e">
        <f t="shared" si="0"/>
        <v>#REF!</v>
      </c>
      <c r="I31" s="1061" t="e">
        <f>#REF!+'Table 8 Merchant Liabilities'!I31</f>
        <v>#REF!</v>
      </c>
      <c r="J31" s="1059" t="e">
        <f>#REF!+'Table 8 Merchant Liabilities'!J31</f>
        <v>#REF!</v>
      </c>
      <c r="K31" s="1061" t="e">
        <f t="shared" si="1"/>
        <v>#REF!</v>
      </c>
      <c r="L31" s="1059" t="e">
        <f>#REF!+'Table 8 Merchant Liabilities'!L31</f>
        <v>#REF!</v>
      </c>
      <c r="M31" s="1059" t="e">
        <f>#REF!+'Table 8 Merchant Liabilities'!M31</f>
        <v>#REF!</v>
      </c>
      <c r="N31" s="1059" t="e">
        <f>#REF!+'Table 8 Merchant Liabilities'!N31</f>
        <v>#REF!</v>
      </c>
      <c r="O31" s="1059" t="e">
        <f>#REF!+'Table 8 Merchant Liabilities'!O31</f>
        <v>#REF!</v>
      </c>
      <c r="P31" s="1059" t="e">
        <f>#REF!+'Table 8 Merchant Liabilities'!P31</f>
        <v>#REF!</v>
      </c>
      <c r="Q31" s="1059" t="e">
        <f>#REF!+'Table 8 Merchant Liabilities'!Q31</f>
        <v>#REF!</v>
      </c>
      <c r="R31" s="1059" t="e">
        <f>#REF!+'Table 8 Merchant Liabilities'!R31</f>
        <v>#REF!</v>
      </c>
      <c r="S31" s="1059" t="e">
        <f>#REF!+'Table 8 Merchant Liabilities'!S31</f>
        <v>#REF!</v>
      </c>
      <c r="T31" s="1106" t="e">
        <f t="shared" si="2"/>
        <v>#REF!</v>
      </c>
      <c r="V31" s="1107" t="e">
        <f>T31-'Table 8 Merchant Liabilities'!T31-#REF!</f>
        <v>#REF!</v>
      </c>
    </row>
    <row r="32" spans="4:22" ht="13.8">
      <c r="D32" s="1104" t="s">
        <v>1174</v>
      </c>
      <c r="E32" s="1105" t="e">
        <f>#REF!+'Table 8 Merchant Liabilities'!E32</f>
        <v>#REF!</v>
      </c>
      <c r="F32" s="1059" t="e">
        <f>#REF!</f>
        <v>#REF!</v>
      </c>
      <c r="G32" s="1059" t="e">
        <f>#REF!+'Table 8 Merchant Liabilities'!G32</f>
        <v>#REF!</v>
      </c>
      <c r="H32" s="1136" t="e">
        <f t="shared" si="0"/>
        <v>#REF!</v>
      </c>
      <c r="I32" s="1061" t="e">
        <f>#REF!+'Table 8 Merchant Liabilities'!I32</f>
        <v>#REF!</v>
      </c>
      <c r="J32" s="1059" t="e">
        <f>#REF!+'Table 8 Merchant Liabilities'!J32</f>
        <v>#REF!</v>
      </c>
      <c r="K32" s="1061" t="e">
        <f t="shared" si="1"/>
        <v>#REF!</v>
      </c>
      <c r="L32" s="1059" t="e">
        <f>#REF!+'Table 8 Merchant Liabilities'!L32</f>
        <v>#REF!</v>
      </c>
      <c r="M32" s="1059" t="e">
        <f>#REF!+'Table 8 Merchant Liabilities'!M32</f>
        <v>#REF!</v>
      </c>
      <c r="N32" s="1059" t="e">
        <f>#REF!+'Table 8 Merchant Liabilities'!N32</f>
        <v>#REF!</v>
      </c>
      <c r="O32" s="1059" t="e">
        <f>#REF!+'Table 8 Merchant Liabilities'!O32</f>
        <v>#REF!</v>
      </c>
      <c r="P32" s="1059" t="e">
        <f>#REF!+'Table 8 Merchant Liabilities'!P32</f>
        <v>#REF!</v>
      </c>
      <c r="Q32" s="1059" t="e">
        <f>#REF!+'Table 8 Merchant Liabilities'!Q32</f>
        <v>#REF!</v>
      </c>
      <c r="R32" s="1059" t="e">
        <f>#REF!+'Table 8 Merchant Liabilities'!R32</f>
        <v>#REF!</v>
      </c>
      <c r="S32" s="1059" t="e">
        <f>#REF!+'Table 8 Merchant Liabilities'!S32</f>
        <v>#REF!</v>
      </c>
      <c r="T32" s="1106" t="e">
        <f t="shared" si="2"/>
        <v>#REF!</v>
      </c>
      <c r="V32" s="1107" t="e">
        <f>T32-'Table 8 Merchant Liabilities'!T32-#REF!</f>
        <v>#REF!</v>
      </c>
    </row>
    <row r="33" spans="4:23" ht="13.8">
      <c r="D33" s="1104" t="s">
        <v>1165</v>
      </c>
      <c r="E33" s="1105" t="e">
        <f>#REF!+'Table 8 Merchant Liabilities'!E33</f>
        <v>#REF!</v>
      </c>
      <c r="F33" s="1059" t="e">
        <f>#REF!</f>
        <v>#REF!</v>
      </c>
      <c r="G33" s="1059" t="e">
        <f>#REF!+'Table 8 Merchant Liabilities'!G33</f>
        <v>#REF!</v>
      </c>
      <c r="H33" s="1136" t="e">
        <f t="shared" si="0"/>
        <v>#REF!</v>
      </c>
      <c r="I33" s="1061" t="e">
        <f>#REF!+'Table 8 Merchant Liabilities'!I33</f>
        <v>#REF!</v>
      </c>
      <c r="J33" s="1059" t="e">
        <f>#REF!+'Table 8 Merchant Liabilities'!J33</f>
        <v>#REF!</v>
      </c>
      <c r="K33" s="1061" t="e">
        <f t="shared" si="1"/>
        <v>#REF!</v>
      </c>
      <c r="L33" s="1059" t="e">
        <f>#REF!+'Table 8 Merchant Liabilities'!L33</f>
        <v>#REF!</v>
      </c>
      <c r="M33" s="1059" t="e">
        <f>#REF!+'Table 8 Merchant Liabilities'!M33</f>
        <v>#REF!</v>
      </c>
      <c r="N33" s="1059" t="e">
        <f>#REF!+'Table 8 Merchant Liabilities'!N33</f>
        <v>#REF!</v>
      </c>
      <c r="O33" s="1059" t="e">
        <f>#REF!+'Table 8 Merchant Liabilities'!O33</f>
        <v>#REF!</v>
      </c>
      <c r="P33" s="1059" t="e">
        <f>#REF!+'Table 8 Merchant Liabilities'!P33</f>
        <v>#REF!</v>
      </c>
      <c r="Q33" s="1059" t="e">
        <f>#REF!+'Table 8 Merchant Liabilities'!Q33</f>
        <v>#REF!</v>
      </c>
      <c r="R33" s="1059" t="e">
        <f>#REF!+'Table 8 Merchant Liabilities'!R33</f>
        <v>#REF!</v>
      </c>
      <c r="S33" s="1059" t="e">
        <f>#REF!+'Table 8 Merchant Liabilities'!S33</f>
        <v>#REF!</v>
      </c>
      <c r="T33" s="1106" t="e">
        <f t="shared" si="2"/>
        <v>#REF!</v>
      </c>
      <c r="V33" s="1107" t="e">
        <f>T33-'Table 8 Merchant Liabilities'!T33-#REF!</f>
        <v>#REF!</v>
      </c>
    </row>
    <row r="34" spans="4:23" ht="13.8">
      <c r="D34" s="1104" t="s">
        <v>1203</v>
      </c>
      <c r="E34" s="1105" t="e">
        <f>#REF!+'Table 8 Merchant Liabilities'!E34</f>
        <v>#REF!</v>
      </c>
      <c r="F34" s="1059" t="e">
        <f>#REF!</f>
        <v>#REF!</v>
      </c>
      <c r="G34" s="1059" t="e">
        <f>#REF!+'Table 8 Merchant Liabilities'!G34</f>
        <v>#REF!</v>
      </c>
      <c r="H34" s="1136" t="e">
        <f t="shared" si="0"/>
        <v>#REF!</v>
      </c>
      <c r="I34" s="1061" t="e">
        <f>#REF!+'Table 8 Merchant Liabilities'!I34</f>
        <v>#REF!</v>
      </c>
      <c r="J34" s="1059" t="e">
        <f>#REF!+'Table 8 Merchant Liabilities'!J34</f>
        <v>#REF!</v>
      </c>
      <c r="K34" s="1061" t="e">
        <f t="shared" si="1"/>
        <v>#REF!</v>
      </c>
      <c r="L34" s="1059" t="e">
        <f>#REF!+'Table 8 Merchant Liabilities'!L34</f>
        <v>#REF!</v>
      </c>
      <c r="M34" s="1059" t="e">
        <f>#REF!+'Table 8 Merchant Liabilities'!M34</f>
        <v>#REF!</v>
      </c>
      <c r="N34" s="1059" t="e">
        <f>#REF!+'Table 8 Merchant Liabilities'!N34</f>
        <v>#REF!</v>
      </c>
      <c r="O34" s="1059" t="e">
        <f>#REF!+'Table 8 Merchant Liabilities'!O34</f>
        <v>#REF!</v>
      </c>
      <c r="P34" s="1059" t="e">
        <f>#REF!+'Table 8 Merchant Liabilities'!P34</f>
        <v>#REF!</v>
      </c>
      <c r="Q34" s="1059" t="e">
        <f>#REF!+'Table 8 Merchant Liabilities'!Q34</f>
        <v>#REF!</v>
      </c>
      <c r="R34" s="1059" t="e">
        <f>#REF!+'Table 8 Merchant Liabilities'!R34</f>
        <v>#REF!</v>
      </c>
      <c r="S34" s="1059" t="e">
        <f>#REF!+'Table 8 Merchant Liabilities'!S34</f>
        <v>#REF!</v>
      </c>
      <c r="T34" s="1106" t="e">
        <f t="shared" si="2"/>
        <v>#REF!</v>
      </c>
      <c r="V34" s="1107" t="e">
        <f>T34-'Table 8 Merchant Liabilities'!T34-#REF!</f>
        <v>#REF!</v>
      </c>
    </row>
    <row r="35" spans="4:23" ht="13.8">
      <c r="D35" s="1104" t="s">
        <v>1205</v>
      </c>
      <c r="E35" s="1105" t="e">
        <f>#REF!+'Table 8 Merchant Liabilities'!E35</f>
        <v>#REF!</v>
      </c>
      <c r="F35" s="1059" t="e">
        <f>#REF!</f>
        <v>#REF!</v>
      </c>
      <c r="G35" s="1059" t="e">
        <f>#REF!+'Table 8 Merchant Liabilities'!G35</f>
        <v>#REF!</v>
      </c>
      <c r="H35" s="1136" t="e">
        <f t="shared" si="0"/>
        <v>#REF!</v>
      </c>
      <c r="I35" s="1061" t="e">
        <f>#REF!+'Table 8 Merchant Liabilities'!I35</f>
        <v>#REF!</v>
      </c>
      <c r="J35" s="1059" t="e">
        <f>#REF!+'Table 8 Merchant Liabilities'!J35</f>
        <v>#REF!</v>
      </c>
      <c r="K35" s="1061" t="e">
        <f t="shared" si="1"/>
        <v>#REF!</v>
      </c>
      <c r="L35" s="1059" t="e">
        <f>#REF!+'Table 8 Merchant Liabilities'!L35</f>
        <v>#REF!</v>
      </c>
      <c r="M35" s="1059" t="e">
        <f>#REF!+'Table 8 Merchant Liabilities'!M35</f>
        <v>#REF!</v>
      </c>
      <c r="N35" s="1059" t="e">
        <f>#REF!+'Table 8 Merchant Liabilities'!N35</f>
        <v>#REF!</v>
      </c>
      <c r="O35" s="1059" t="e">
        <f>#REF!+'Table 8 Merchant Liabilities'!O35</f>
        <v>#REF!</v>
      </c>
      <c r="P35" s="1059" t="e">
        <f>#REF!+'Table 8 Merchant Liabilities'!P35</f>
        <v>#REF!</v>
      </c>
      <c r="Q35" s="1059" t="e">
        <f>#REF!+'Table 8 Merchant Liabilities'!Q35</f>
        <v>#REF!</v>
      </c>
      <c r="R35" s="1059" t="e">
        <f>#REF!+'Table 8 Merchant Liabilities'!R35</f>
        <v>#REF!</v>
      </c>
      <c r="S35" s="1059" t="e">
        <f>#REF!+'Table 8 Merchant Liabilities'!S35</f>
        <v>#REF!</v>
      </c>
      <c r="T35" s="1106" t="e">
        <f t="shared" si="2"/>
        <v>#REF!</v>
      </c>
      <c r="V35" s="1107" t="e">
        <f>T35-'Table 8 Merchant Liabilities'!T35-#REF!</f>
        <v>#REF!</v>
      </c>
    </row>
    <row r="36" spans="4:23" ht="13.8">
      <c r="D36" s="1104" t="s">
        <v>1177</v>
      </c>
      <c r="E36" s="1105" t="e">
        <f>#REF!+'Table 8 Merchant Liabilities'!E36</f>
        <v>#REF!</v>
      </c>
      <c r="F36" s="1059" t="e">
        <f>#REF!</f>
        <v>#REF!</v>
      </c>
      <c r="G36" s="1059" t="e">
        <f>#REF!+'Table 8 Merchant Liabilities'!G36</f>
        <v>#REF!</v>
      </c>
      <c r="H36" s="1136" t="e">
        <f t="shared" si="0"/>
        <v>#REF!</v>
      </c>
      <c r="I36" s="1061" t="e">
        <f>#REF!+'Table 8 Merchant Liabilities'!I36</f>
        <v>#REF!</v>
      </c>
      <c r="J36" s="1059" t="e">
        <f>#REF!+'Table 8 Merchant Liabilities'!J36</f>
        <v>#REF!</v>
      </c>
      <c r="K36" s="1061" t="e">
        <f t="shared" si="1"/>
        <v>#REF!</v>
      </c>
      <c r="L36" s="1059" t="e">
        <f>#REF!+'Table 8 Merchant Liabilities'!L36</f>
        <v>#REF!</v>
      </c>
      <c r="M36" s="1059" t="e">
        <f>#REF!+'Table 8 Merchant Liabilities'!M36</f>
        <v>#REF!</v>
      </c>
      <c r="N36" s="1059" t="e">
        <f>#REF!+'Table 8 Merchant Liabilities'!N36</f>
        <v>#REF!</v>
      </c>
      <c r="O36" s="1059" t="e">
        <f>#REF!+'Table 8 Merchant Liabilities'!O36</f>
        <v>#REF!</v>
      </c>
      <c r="P36" s="1059" t="e">
        <f>#REF!+'Table 8 Merchant Liabilities'!P36</f>
        <v>#REF!</v>
      </c>
      <c r="Q36" s="1059" t="e">
        <f>#REF!+'Table 8 Merchant Liabilities'!Q36</f>
        <v>#REF!</v>
      </c>
      <c r="R36" s="1059" t="e">
        <f>#REF!+'Table 8 Merchant Liabilities'!R36</f>
        <v>#REF!</v>
      </c>
      <c r="S36" s="1059" t="e">
        <f>#REF!+'Table 8 Merchant Liabilities'!S36</f>
        <v>#REF!</v>
      </c>
      <c r="T36" s="1106" t="e">
        <f t="shared" si="2"/>
        <v>#REF!</v>
      </c>
      <c r="V36" s="1107" t="e">
        <f>T36-'Table 8 Merchant Liabilities'!T36-#REF!</f>
        <v>#REF!</v>
      </c>
      <c r="W36" s="1108"/>
    </row>
    <row r="37" spans="4:23" ht="13.8">
      <c r="D37" s="1104" t="s">
        <v>1178</v>
      </c>
      <c r="E37" s="1105" t="e">
        <f>#REF!+'Table 8 Merchant Liabilities'!E37</f>
        <v>#REF!</v>
      </c>
      <c r="F37" s="1059" t="e">
        <f>#REF!</f>
        <v>#REF!</v>
      </c>
      <c r="G37" s="1059" t="e">
        <f>#REF!+'Table 8 Merchant Liabilities'!G37</f>
        <v>#REF!</v>
      </c>
      <c r="H37" s="1136" t="e">
        <f t="shared" si="0"/>
        <v>#REF!</v>
      </c>
      <c r="I37" s="1061" t="e">
        <f>#REF!+'Table 8 Merchant Liabilities'!I37</f>
        <v>#REF!</v>
      </c>
      <c r="J37" s="1059" t="e">
        <f>#REF!+'Table 8 Merchant Liabilities'!J37</f>
        <v>#REF!</v>
      </c>
      <c r="K37" s="1061" t="e">
        <f t="shared" si="1"/>
        <v>#REF!</v>
      </c>
      <c r="L37" s="1059" t="e">
        <f>#REF!+'Table 8 Merchant Liabilities'!L37</f>
        <v>#REF!</v>
      </c>
      <c r="M37" s="1059" t="e">
        <f>#REF!+'Table 8 Merchant Liabilities'!M37</f>
        <v>#REF!</v>
      </c>
      <c r="N37" s="1059" t="e">
        <f>#REF!+'Table 8 Merchant Liabilities'!N37</f>
        <v>#REF!</v>
      </c>
      <c r="O37" s="1059" t="e">
        <f>#REF!+'Table 8 Merchant Liabilities'!O37</f>
        <v>#REF!</v>
      </c>
      <c r="P37" s="1059" t="e">
        <f>#REF!+'Table 8 Merchant Liabilities'!P37</f>
        <v>#REF!</v>
      </c>
      <c r="Q37" s="1059" t="e">
        <f>#REF!+'Table 8 Merchant Liabilities'!Q37</f>
        <v>#REF!</v>
      </c>
      <c r="R37" s="1059" t="e">
        <f>#REF!+'Table 8 Merchant Liabilities'!R37</f>
        <v>#REF!</v>
      </c>
      <c r="S37" s="1059" t="e">
        <f>#REF!+'Table 8 Merchant Liabilities'!S37</f>
        <v>#REF!</v>
      </c>
      <c r="T37" s="1106" t="e">
        <f t="shared" si="2"/>
        <v>#REF!</v>
      </c>
      <c r="V37" s="1107" t="e">
        <f>T37-'Table 8 Merchant Liabilities'!T37-#REF!</f>
        <v>#REF!</v>
      </c>
      <c r="W37" s="1108"/>
    </row>
    <row r="38" spans="4:23" ht="13.8">
      <c r="D38" s="1104" t="s">
        <v>1179</v>
      </c>
      <c r="E38" s="1105" t="e">
        <f>#REF!+'Table 8 Merchant Liabilities'!E38</f>
        <v>#REF!</v>
      </c>
      <c r="F38" s="1059" t="e">
        <f>#REF!</f>
        <v>#REF!</v>
      </c>
      <c r="G38" s="1059" t="e">
        <f>#REF!+'Table 8 Merchant Liabilities'!G38</f>
        <v>#REF!</v>
      </c>
      <c r="H38" s="1136" t="e">
        <f t="shared" si="0"/>
        <v>#REF!</v>
      </c>
      <c r="I38" s="1061" t="e">
        <f>#REF!+'Table 8 Merchant Liabilities'!I38</f>
        <v>#REF!</v>
      </c>
      <c r="J38" s="1059" t="e">
        <f>#REF!+'Table 8 Merchant Liabilities'!J38</f>
        <v>#REF!</v>
      </c>
      <c r="K38" s="1061" t="e">
        <f t="shared" si="1"/>
        <v>#REF!</v>
      </c>
      <c r="L38" s="1059" t="e">
        <f>#REF!+'Table 8 Merchant Liabilities'!L38</f>
        <v>#REF!</v>
      </c>
      <c r="M38" s="1059" t="e">
        <f>#REF!+'Table 8 Merchant Liabilities'!M38</f>
        <v>#REF!</v>
      </c>
      <c r="N38" s="1059" t="e">
        <f>#REF!+'Table 8 Merchant Liabilities'!N38</f>
        <v>#REF!</v>
      </c>
      <c r="O38" s="1059" t="e">
        <f>#REF!+'Table 8 Merchant Liabilities'!O38</f>
        <v>#REF!</v>
      </c>
      <c r="P38" s="1059" t="e">
        <f>#REF!+'Table 8 Merchant Liabilities'!P38</f>
        <v>#REF!</v>
      </c>
      <c r="Q38" s="1059" t="e">
        <f>#REF!+'Table 8 Merchant Liabilities'!Q38</f>
        <v>#REF!</v>
      </c>
      <c r="R38" s="1059" t="e">
        <f>#REF!+'Table 8 Merchant Liabilities'!R38</f>
        <v>#REF!</v>
      </c>
      <c r="S38" s="1059" t="e">
        <f>#REF!+'Table 8 Merchant Liabilities'!S38</f>
        <v>#REF!</v>
      </c>
      <c r="T38" s="1106" t="e">
        <f t="shared" si="2"/>
        <v>#REF!</v>
      </c>
      <c r="V38" s="1107" t="e">
        <f>T38-'Table 8 Merchant Liabilities'!T38-#REF!</f>
        <v>#REF!</v>
      </c>
      <c r="W38" s="1108"/>
    </row>
    <row r="39" spans="4:23" ht="13.8">
      <c r="D39" s="1104" t="s">
        <v>1180</v>
      </c>
      <c r="E39" s="1105" t="e">
        <f>#REF!+'Table 8 Merchant Liabilities'!E39</f>
        <v>#REF!</v>
      </c>
      <c r="F39" s="1059" t="e">
        <f>#REF!</f>
        <v>#REF!</v>
      </c>
      <c r="G39" s="1059" t="e">
        <f>#REF!+'Table 8 Merchant Liabilities'!G39</f>
        <v>#REF!</v>
      </c>
      <c r="H39" s="1136" t="e">
        <f t="shared" si="0"/>
        <v>#REF!</v>
      </c>
      <c r="I39" s="1061" t="e">
        <f>#REF!+'Table 8 Merchant Liabilities'!I39</f>
        <v>#REF!</v>
      </c>
      <c r="J39" s="1059" t="e">
        <f>#REF!+'Table 8 Merchant Liabilities'!J39</f>
        <v>#REF!</v>
      </c>
      <c r="K39" s="1061" t="e">
        <f t="shared" si="1"/>
        <v>#REF!</v>
      </c>
      <c r="L39" s="1059" t="e">
        <f>#REF!+'Table 8 Merchant Liabilities'!L39</f>
        <v>#REF!</v>
      </c>
      <c r="M39" s="1059" t="e">
        <f>#REF!+'Table 8 Merchant Liabilities'!M39</f>
        <v>#REF!</v>
      </c>
      <c r="N39" s="1059" t="e">
        <f>#REF!+'Table 8 Merchant Liabilities'!N39</f>
        <v>#REF!</v>
      </c>
      <c r="O39" s="1059" t="e">
        <f>#REF!+'Table 8 Merchant Liabilities'!O39</f>
        <v>#REF!</v>
      </c>
      <c r="P39" s="1059" t="e">
        <f>#REF!+'Table 8 Merchant Liabilities'!P39</f>
        <v>#REF!</v>
      </c>
      <c r="Q39" s="1059" t="e">
        <f>#REF!+'Table 8 Merchant Liabilities'!Q39</f>
        <v>#REF!</v>
      </c>
      <c r="R39" s="1059" t="e">
        <f>#REF!+'Table 8 Merchant Liabilities'!R39</f>
        <v>#REF!</v>
      </c>
      <c r="S39" s="1059" t="e">
        <f>#REF!+'Table 8 Merchant Liabilities'!S39</f>
        <v>#REF!</v>
      </c>
      <c r="T39" s="1106" t="e">
        <f t="shared" si="2"/>
        <v>#REF!</v>
      </c>
      <c r="V39" s="1107" t="e">
        <f>T39-'Table 8 Merchant Liabilities'!T39-#REF!</f>
        <v>#REF!</v>
      </c>
      <c r="W39" s="1108"/>
    </row>
    <row r="40" spans="4:23" ht="13.8">
      <c r="D40" s="1104" t="s">
        <v>1181</v>
      </c>
      <c r="E40" s="1105" t="e">
        <f>#REF!+'Table 8 Merchant Liabilities'!E40</f>
        <v>#REF!</v>
      </c>
      <c r="F40" s="1059" t="e">
        <f>#REF!</f>
        <v>#REF!</v>
      </c>
      <c r="G40" s="1059" t="e">
        <f>#REF!+'Table 8 Merchant Liabilities'!G40</f>
        <v>#REF!</v>
      </c>
      <c r="H40" s="1136" t="e">
        <f t="shared" si="0"/>
        <v>#REF!</v>
      </c>
      <c r="I40" s="1061" t="e">
        <f>#REF!+'Table 8 Merchant Liabilities'!I40</f>
        <v>#REF!</v>
      </c>
      <c r="J40" s="1059" t="e">
        <f>#REF!+'Table 8 Merchant Liabilities'!J40</f>
        <v>#REF!</v>
      </c>
      <c r="K40" s="1061" t="e">
        <f t="shared" si="1"/>
        <v>#REF!</v>
      </c>
      <c r="L40" s="1059" t="e">
        <f>#REF!+'Table 8 Merchant Liabilities'!L40</f>
        <v>#REF!</v>
      </c>
      <c r="M40" s="1059" t="e">
        <f>#REF!+'Table 8 Merchant Liabilities'!M40</f>
        <v>#REF!</v>
      </c>
      <c r="N40" s="1059" t="e">
        <f>#REF!+'Table 8 Merchant Liabilities'!N40</f>
        <v>#REF!</v>
      </c>
      <c r="O40" s="1059" t="e">
        <f>#REF!+'Table 8 Merchant Liabilities'!O40</f>
        <v>#REF!</v>
      </c>
      <c r="P40" s="1059" t="e">
        <f>#REF!+'Table 8 Merchant Liabilities'!P40</f>
        <v>#REF!</v>
      </c>
      <c r="Q40" s="1059" t="e">
        <f>#REF!+'Table 8 Merchant Liabilities'!Q40</f>
        <v>#REF!</v>
      </c>
      <c r="R40" s="1059" t="e">
        <f>#REF!+'Table 8 Merchant Liabilities'!R40</f>
        <v>#REF!</v>
      </c>
      <c r="S40" s="1059" t="e">
        <f>#REF!+'Table 8 Merchant Liabilities'!S40</f>
        <v>#REF!</v>
      </c>
      <c r="T40" s="1106" t="e">
        <f t="shared" si="2"/>
        <v>#REF!</v>
      </c>
      <c r="V40" s="1107" t="e">
        <f>T40-'Table 8 Merchant Liabilities'!T40-#REF!</f>
        <v>#REF!</v>
      </c>
      <c r="W40" s="1108"/>
    </row>
    <row r="41" spans="4:23" ht="13.8">
      <c r="D41" s="1104"/>
      <c r="E41" s="1105"/>
      <c r="F41" s="1059"/>
      <c r="G41" s="1059"/>
      <c r="H41" s="1061"/>
      <c r="I41" s="1059"/>
      <c r="J41" s="1059"/>
      <c r="K41" s="1061"/>
      <c r="L41" s="1059"/>
      <c r="M41" s="1059"/>
      <c r="N41" s="1059"/>
      <c r="O41" s="1059"/>
      <c r="P41" s="1059"/>
      <c r="Q41" s="1059"/>
      <c r="R41" s="1059"/>
      <c r="S41" s="1059"/>
      <c r="T41" s="1106"/>
      <c r="W41" s="1108"/>
    </row>
    <row r="42" spans="4:23" ht="13.8">
      <c r="D42" s="1101">
        <v>2017</v>
      </c>
      <c r="E42" s="1105"/>
      <c r="F42" s="1059"/>
      <c r="G42" s="1059"/>
      <c r="H42" s="1061"/>
      <c r="I42" s="1059"/>
      <c r="J42" s="1059"/>
      <c r="K42" s="1061"/>
      <c r="L42" s="1059"/>
      <c r="M42" s="1059"/>
      <c r="N42" s="1059"/>
      <c r="O42" s="1059"/>
      <c r="P42" s="1059"/>
      <c r="Q42" s="1059"/>
      <c r="R42" s="1059"/>
      <c r="S42" s="1059"/>
      <c r="T42" s="1061"/>
      <c r="U42" s="1109"/>
      <c r="V42" s="1111"/>
      <c r="W42" s="1108"/>
    </row>
    <row r="43" spans="4:23" ht="13.8">
      <c r="D43" s="1104" t="s">
        <v>1170</v>
      </c>
      <c r="E43" s="1105" t="e">
        <f>#REF!+'Table 8 Merchant Liabilities'!E43</f>
        <v>#REF!</v>
      </c>
      <c r="F43" s="1059" t="e">
        <f>#REF!</f>
        <v>#REF!</v>
      </c>
      <c r="G43" s="1059" t="e">
        <f>#REF!+'Table 8 Merchant Liabilities'!G43</f>
        <v>#REF!</v>
      </c>
      <c r="H43" s="1136" t="e">
        <f>SUM(E43:G43)</f>
        <v>#REF!</v>
      </c>
      <c r="I43" s="1061" t="e">
        <f>#REF!+'Table 8 Merchant Liabilities'!I43</f>
        <v>#REF!</v>
      </c>
      <c r="J43" s="1059" t="e">
        <f>#REF!+'Table 8 Merchant Liabilities'!J43</f>
        <v>#REF!</v>
      </c>
      <c r="K43" s="1061" t="e">
        <f>SUM(H43:J43)</f>
        <v>#REF!</v>
      </c>
      <c r="L43" s="1059" t="e">
        <f>#REF!+'Table 8 Merchant Liabilities'!L43</f>
        <v>#REF!</v>
      </c>
      <c r="M43" s="1059" t="e">
        <f>#REF!+'Table 8 Merchant Liabilities'!M43</f>
        <v>#REF!</v>
      </c>
      <c r="N43" s="1059" t="e">
        <f>#REF!+'Table 8 Merchant Liabilities'!N43</f>
        <v>#REF!</v>
      </c>
      <c r="O43" s="1059" t="e">
        <f>#REF!+'Table 8 Merchant Liabilities'!O43</f>
        <v>#REF!</v>
      </c>
      <c r="P43" s="1059" t="e">
        <f>#REF!+'Table 8 Merchant Liabilities'!P43</f>
        <v>#REF!</v>
      </c>
      <c r="Q43" s="1059" t="e">
        <f>#REF!+'Table 8 Merchant Liabilities'!Q43</f>
        <v>#REF!</v>
      </c>
      <c r="R43" s="1059" t="e">
        <f>#REF!+'Table 8 Merchant Liabilities'!R43</f>
        <v>#REF!</v>
      </c>
      <c r="S43" s="1059" t="e">
        <f>#REF!+'Table 8 Merchant Liabilities'!S43</f>
        <v>#REF!</v>
      </c>
      <c r="T43" s="1106" t="e">
        <f>SUM(K43:S43)</f>
        <v>#REF!</v>
      </c>
      <c r="V43" s="1107" t="e">
        <f>T43-'Table 8 Merchant Liabilities'!T43-#REF!</f>
        <v>#REF!</v>
      </c>
      <c r="W43" s="1108"/>
    </row>
    <row r="44" spans="4:23" ht="13.8">
      <c r="D44" s="1104" t="s">
        <v>1172</v>
      </c>
      <c r="E44" s="1105" t="e">
        <f>#REF!+'Table 8 Merchant Liabilities'!E44</f>
        <v>#REF!</v>
      </c>
      <c r="F44" s="1059" t="e">
        <f>#REF!</f>
        <v>#REF!</v>
      </c>
      <c r="G44" s="1059" t="e">
        <f>#REF!+'Table 8 Merchant Liabilities'!G44</f>
        <v>#REF!</v>
      </c>
      <c r="H44" s="1136" t="e">
        <f>SUM(E44:G44)</f>
        <v>#REF!</v>
      </c>
      <c r="I44" s="1061" t="e">
        <f>#REF!+'Table 8 Merchant Liabilities'!I44</f>
        <v>#REF!</v>
      </c>
      <c r="J44" s="1059" t="e">
        <f>#REF!+'Table 8 Merchant Liabilities'!J44</f>
        <v>#REF!</v>
      </c>
      <c r="K44" s="1061" t="e">
        <f>SUM(H44:J44)</f>
        <v>#REF!</v>
      </c>
      <c r="L44" s="1059" t="e">
        <f>#REF!+'Table 8 Merchant Liabilities'!L44</f>
        <v>#REF!</v>
      </c>
      <c r="M44" s="1059" t="e">
        <f>#REF!+'Table 8 Merchant Liabilities'!M44</f>
        <v>#REF!</v>
      </c>
      <c r="N44" s="1059" t="e">
        <f>#REF!+'Table 8 Merchant Liabilities'!N44</f>
        <v>#REF!</v>
      </c>
      <c r="O44" s="1059" t="e">
        <f>#REF!+'Table 8 Merchant Liabilities'!O44</f>
        <v>#REF!</v>
      </c>
      <c r="P44" s="1059" t="e">
        <f>#REF!+'Table 8 Merchant Liabilities'!P44</f>
        <v>#REF!</v>
      </c>
      <c r="Q44" s="1059" t="e">
        <f>#REF!+'Table 8 Merchant Liabilities'!Q44</f>
        <v>#REF!</v>
      </c>
      <c r="R44" s="1059" t="e">
        <f>#REF!+'Table 8 Merchant Liabilities'!R44</f>
        <v>#REF!</v>
      </c>
      <c r="S44" s="1059" t="e">
        <f>#REF!+'Table 8 Merchant Liabilities'!S44</f>
        <v>#REF!</v>
      </c>
      <c r="T44" s="1106" t="e">
        <f>SUM(K44:S44)</f>
        <v>#REF!</v>
      </c>
      <c r="V44" s="1107" t="e">
        <f>T44-'Table 8 Merchant Liabilities'!T44-#REF!</f>
        <v>#REF!</v>
      </c>
      <c r="W44" s="1108"/>
    </row>
    <row r="45" spans="4:23" ht="14.4" thickBot="1">
      <c r="D45" s="1116"/>
      <c r="E45" s="1126"/>
      <c r="F45" s="1129"/>
      <c r="G45" s="1129"/>
      <c r="H45" s="1130"/>
      <c r="I45" s="1129"/>
      <c r="J45" s="1129"/>
      <c r="K45" s="1130"/>
      <c r="L45" s="1129"/>
      <c r="M45" s="1129"/>
      <c r="N45" s="1129"/>
      <c r="O45" s="1129"/>
      <c r="P45" s="1129"/>
      <c r="Q45" s="1129"/>
      <c r="R45" s="1129"/>
      <c r="S45" s="1129"/>
      <c r="T45" s="1130"/>
      <c r="U45" s="1102"/>
    </row>
    <row r="46" spans="4:23" ht="13.8" thickTop="1">
      <c r="D46" s="1131"/>
      <c r="E46" s="1132"/>
      <c r="F46" s="1132"/>
      <c r="G46" s="1132"/>
      <c r="H46" s="1133"/>
      <c r="I46" s="1132"/>
      <c r="J46" s="1132"/>
      <c r="K46" s="1134"/>
      <c r="L46" s="1135"/>
      <c r="M46" s="1135"/>
      <c r="N46" s="1135"/>
      <c r="O46" s="1135"/>
      <c r="P46" s="1135"/>
      <c r="Q46" s="1135"/>
      <c r="R46" s="1135"/>
      <c r="S46" s="1135"/>
      <c r="T46" s="1134"/>
      <c r="U46" s="1102"/>
    </row>
    <row r="47" spans="4:23" ht="16.8">
      <c r="D47" s="965" t="s">
        <v>1360</v>
      </c>
      <c r="E47" s="928"/>
      <c r="F47" s="928"/>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6" customWidth="1"/>
    <col min="2" max="3" width="8.90625" style="616" customWidth="1"/>
    <col min="4" max="4" width="10.81640625" style="616" customWidth="1"/>
    <col min="5" max="5" width="11" style="616" customWidth="1"/>
    <col min="6" max="6" width="13.81640625" style="616" customWidth="1"/>
    <col min="7" max="8" width="12.90625" style="616" customWidth="1"/>
    <col min="9" max="9" width="11.08984375" style="616" customWidth="1"/>
    <col min="10" max="10" width="12.1796875" style="616" bestFit="1" customWidth="1"/>
    <col min="11" max="11" width="15" style="616" customWidth="1"/>
    <col min="12" max="12" width="10.36328125" style="616" customWidth="1"/>
    <col min="13" max="13" width="9.90625" style="616" bestFit="1" customWidth="1"/>
    <col min="14" max="14" width="13" style="616" bestFit="1" customWidth="1"/>
    <col min="15" max="15" width="12.6328125" style="616" bestFit="1" customWidth="1"/>
    <col min="16" max="17" width="11.453125" style="616" customWidth="1"/>
    <col min="18" max="18" width="12.1796875" style="616" customWidth="1"/>
    <col min="19" max="19" width="17.54296875" style="616" customWidth="1"/>
    <col min="20" max="20" width="18.08984375" style="1030" bestFit="1" customWidth="1"/>
    <col min="21" max="21" width="8.90625" style="1031" bestFit="1" customWidth="1"/>
    <col min="22" max="22" width="9.36328125" style="1032" bestFit="1" customWidth="1"/>
    <col min="23" max="16384" width="8.6328125" style="616"/>
  </cols>
  <sheetData>
    <row r="1" spans="1:22" ht="27" customHeight="1">
      <c r="B1" s="1844" t="s">
        <v>1721</v>
      </c>
      <c r="C1" s="1844"/>
      <c r="D1" s="1844"/>
      <c r="E1" s="1844"/>
      <c r="F1" s="1844"/>
      <c r="G1" s="1844"/>
      <c r="H1" s="1844"/>
      <c r="I1" s="1844"/>
      <c r="J1" s="1844"/>
      <c r="K1" s="1844"/>
      <c r="L1" s="1844"/>
      <c r="M1" s="1844"/>
      <c r="N1" s="1844"/>
      <c r="O1" s="1844"/>
      <c r="P1" s="1844"/>
      <c r="Q1" s="1844"/>
      <c r="R1" s="1844"/>
    </row>
    <row r="2" spans="1:22" ht="13.95" customHeight="1">
      <c r="A2" s="618"/>
      <c r="B2" s="959"/>
      <c r="C2" s="959"/>
      <c r="D2" s="959"/>
      <c r="E2" s="959"/>
      <c r="F2" s="959"/>
      <c r="G2" s="959"/>
      <c r="H2" s="959"/>
      <c r="I2" s="959"/>
      <c r="J2" s="959"/>
      <c r="K2" s="959"/>
      <c r="L2" s="959"/>
      <c r="M2" s="959"/>
      <c r="N2" s="959"/>
      <c r="O2" s="959"/>
      <c r="P2" s="959"/>
      <c r="Q2" s="959"/>
      <c r="R2" s="959"/>
    </row>
    <row r="3" spans="1:22" ht="19.5" customHeight="1">
      <c r="A3" s="617"/>
      <c r="B3" s="1818" t="s">
        <v>1349</v>
      </c>
      <c r="C3" s="1818"/>
      <c r="D3" s="1818"/>
      <c r="E3" s="1818"/>
      <c r="F3" s="1818"/>
      <c r="G3" s="1818"/>
      <c r="H3" s="1818"/>
      <c r="I3" s="1818"/>
      <c r="J3" s="1818"/>
      <c r="K3" s="1818"/>
      <c r="L3" s="1818"/>
      <c r="M3" s="1818"/>
      <c r="N3" s="1818"/>
      <c r="O3" s="1818"/>
      <c r="P3" s="1818"/>
      <c r="Q3" s="1818"/>
      <c r="R3" s="1818"/>
    </row>
    <row r="4" spans="1:22" ht="13.95" customHeight="1" thickBot="1">
      <c r="A4" s="618"/>
      <c r="B4" s="754"/>
      <c r="C4" s="754"/>
      <c r="D4" s="754"/>
      <c r="E4" s="754"/>
      <c r="F4" s="754"/>
      <c r="G4" s="754"/>
      <c r="H4" s="754"/>
      <c r="I4" s="754"/>
      <c r="J4" s="754"/>
      <c r="K4" s="754"/>
      <c r="L4" s="754"/>
      <c r="M4" s="754"/>
      <c r="N4" s="754"/>
      <c r="O4" s="754"/>
      <c r="P4" s="754"/>
      <c r="Q4" s="754"/>
      <c r="R4" s="754"/>
    </row>
    <row r="5" spans="1:22" ht="15" customHeight="1" thickTop="1">
      <c r="B5" s="1033"/>
      <c r="C5" s="1034"/>
      <c r="D5" s="1035"/>
      <c r="E5" s="1036"/>
      <c r="F5" s="1036"/>
      <c r="G5" s="1037"/>
      <c r="H5" s="1036"/>
      <c r="I5" s="1035"/>
      <c r="J5" s="1036"/>
      <c r="K5" s="1036"/>
      <c r="L5" s="1037"/>
      <c r="M5" s="1035"/>
      <c r="N5" s="1036"/>
      <c r="O5" s="1037"/>
      <c r="P5" s="1038"/>
      <c r="Q5" s="1038"/>
      <c r="R5" s="1038"/>
    </row>
    <row r="6" spans="1:22" ht="19.5" customHeight="1" thickBot="1">
      <c r="B6" s="1039"/>
      <c r="C6" s="1040"/>
      <c r="D6" s="1819"/>
      <c r="E6" s="1820"/>
      <c r="F6" s="1820"/>
      <c r="G6" s="1821"/>
      <c r="H6" s="1041"/>
      <c r="I6" s="1822"/>
      <c r="J6" s="1823"/>
      <c r="K6" s="1823"/>
      <c r="L6" s="1824"/>
      <c r="M6" s="1044"/>
      <c r="N6" s="1095"/>
      <c r="O6" s="1048"/>
      <c r="P6" s="1042"/>
      <c r="Q6" s="1042"/>
      <c r="R6" s="1042"/>
    </row>
    <row r="7" spans="1:22" ht="15" customHeight="1" thickTop="1" thickBot="1">
      <c r="B7" s="1043"/>
      <c r="C7" s="1043"/>
      <c r="D7" s="1042" t="s">
        <v>35</v>
      </c>
      <c r="E7" s="1042"/>
      <c r="F7" s="1042"/>
      <c r="G7" s="1042"/>
      <c r="H7" s="1044"/>
      <c r="I7" s="1825" t="s">
        <v>1694</v>
      </c>
      <c r="J7" s="1826"/>
      <c r="K7" s="1826"/>
      <c r="L7" s="1826"/>
      <c r="M7" s="1827" t="s">
        <v>1695</v>
      </c>
      <c r="N7" s="1828"/>
      <c r="O7" s="1829"/>
      <c r="P7" s="1042" t="s">
        <v>1479</v>
      </c>
      <c r="Q7" s="1042" t="s">
        <v>1164</v>
      </c>
      <c r="R7" s="1045" t="s">
        <v>287</v>
      </c>
    </row>
    <row r="8" spans="1:22" ht="16.5" customHeight="1" thickTop="1">
      <c r="B8" s="1042" t="s">
        <v>32</v>
      </c>
      <c r="C8" s="1042"/>
      <c r="D8" s="1042" t="s">
        <v>998</v>
      </c>
      <c r="E8" s="1042"/>
      <c r="F8" s="1042"/>
      <c r="G8" s="1042"/>
      <c r="H8" s="1042"/>
      <c r="I8" s="1046"/>
      <c r="J8" s="1047"/>
      <c r="K8" s="1047"/>
      <c r="L8" s="1047"/>
      <c r="M8" s="1042"/>
      <c r="N8" s="1042"/>
      <c r="O8" s="1042"/>
      <c r="P8" s="1042"/>
      <c r="Q8" s="1042" t="s">
        <v>1026</v>
      </c>
      <c r="R8" s="1042"/>
    </row>
    <row r="9" spans="1:22" ht="18" customHeight="1">
      <c r="B9" s="1043"/>
      <c r="C9" s="1042" t="s">
        <v>1326</v>
      </c>
      <c r="D9" s="1042" t="s">
        <v>766</v>
      </c>
      <c r="E9" s="1042" t="s">
        <v>999</v>
      </c>
      <c r="F9" s="1042" t="s">
        <v>1697</v>
      </c>
      <c r="G9" s="1042" t="s">
        <v>999</v>
      </c>
      <c r="H9" s="1042" t="s">
        <v>1698</v>
      </c>
      <c r="I9" s="1042"/>
      <c r="J9" s="1048"/>
      <c r="K9" s="1048"/>
      <c r="L9" s="1048"/>
      <c r="M9" s="1042"/>
      <c r="N9" s="1042"/>
      <c r="O9" s="1042"/>
      <c r="P9" s="1042"/>
      <c r="Q9" s="1042"/>
      <c r="R9" s="1042"/>
    </row>
    <row r="10" spans="1:22" ht="17.25" customHeight="1">
      <c r="B10" s="1043"/>
      <c r="C10" s="1042" t="s">
        <v>1351</v>
      </c>
      <c r="D10" s="1042" t="s">
        <v>1004</v>
      </c>
      <c r="E10" s="1042" t="s">
        <v>1001</v>
      </c>
      <c r="F10" s="1042" t="s">
        <v>1699</v>
      </c>
      <c r="G10" s="1042" t="s">
        <v>1001</v>
      </c>
      <c r="H10" s="1042" t="s">
        <v>1700</v>
      </c>
      <c r="I10" s="1048" t="s">
        <v>1701</v>
      </c>
      <c r="J10" s="1048" t="s">
        <v>1702</v>
      </c>
      <c r="K10" s="1042" t="s">
        <v>1141</v>
      </c>
      <c r="L10" s="1048" t="s">
        <v>1703</v>
      </c>
      <c r="M10" s="1042" t="s">
        <v>1723</v>
      </c>
      <c r="N10" s="1042" t="s">
        <v>64</v>
      </c>
      <c r="O10" s="1042" t="s">
        <v>31</v>
      </c>
      <c r="P10" s="1042"/>
      <c r="Q10" s="1042"/>
      <c r="R10" s="1042"/>
    </row>
    <row r="11" spans="1:22" ht="18.75" customHeight="1" thickBot="1">
      <c r="B11" s="1049"/>
      <c r="C11" s="1050" t="s">
        <v>1324</v>
      </c>
      <c r="D11" s="1051"/>
      <c r="E11" s="1051" t="s">
        <v>1005</v>
      </c>
      <c r="F11" s="1051" t="s">
        <v>1706</v>
      </c>
      <c r="G11" s="1051" t="s">
        <v>1187</v>
      </c>
      <c r="H11" s="1051" t="s">
        <v>1707</v>
      </c>
      <c r="I11" s="1051" t="s">
        <v>1163</v>
      </c>
      <c r="J11" s="1052" t="s">
        <v>1708</v>
      </c>
      <c r="K11" s="1052"/>
      <c r="L11" s="1052"/>
      <c r="M11" s="1051"/>
      <c r="N11" s="1051"/>
      <c r="O11" s="1051"/>
      <c r="P11" s="1051"/>
      <c r="Q11" s="1051"/>
      <c r="R11" s="1051"/>
    </row>
    <row r="12" spans="1:22" ht="15" customHeight="1" thickTop="1">
      <c r="B12" s="1053"/>
      <c r="C12" s="1053"/>
      <c r="D12" s="1046"/>
      <c r="E12" s="1042"/>
      <c r="F12" s="1042"/>
      <c r="G12" s="1042"/>
      <c r="H12" s="1042"/>
      <c r="I12" s="1046"/>
      <c r="J12" s="1048"/>
      <c r="K12" s="1048"/>
      <c r="L12" s="1048"/>
      <c r="M12" s="1042"/>
      <c r="N12" s="1042"/>
      <c r="O12" s="1042"/>
      <c r="P12" s="1042"/>
      <c r="Q12" s="1042"/>
      <c r="R12" s="1042"/>
      <c r="T12" s="1054" t="s">
        <v>1709</v>
      </c>
    </row>
    <row r="13" spans="1:22" ht="15" customHeight="1">
      <c r="B13" s="1055">
        <v>2015</v>
      </c>
      <c r="C13" s="1055"/>
      <c r="D13" s="1042"/>
      <c r="E13" s="1042"/>
      <c r="F13" s="1042"/>
      <c r="G13" s="1042"/>
      <c r="H13" s="1042"/>
      <c r="I13" s="1042"/>
      <c r="J13" s="1048"/>
      <c r="K13" s="1048"/>
      <c r="L13" s="1048"/>
      <c r="M13" s="1042"/>
      <c r="N13" s="1042"/>
      <c r="O13" s="1042"/>
      <c r="P13" s="1042"/>
      <c r="Q13" s="1042"/>
      <c r="R13" s="1042"/>
    </row>
    <row r="14" spans="1:22" ht="15" customHeight="1">
      <c r="B14" s="1056" t="s">
        <v>1170</v>
      </c>
      <c r="C14" s="1057">
        <f>'Table 5 Build Assets'!C14+'Table 9 POSB Assets'!C14</f>
        <v>0.122193</v>
      </c>
      <c r="D14" s="1058">
        <f>'Table 5 Build Assets'!D14+'Table 9 POSB Assets'!D14</f>
        <v>46.693309240000005</v>
      </c>
      <c r="E14" s="1058">
        <f>'Table 5 Build Assets'!E14+'Table 9 POSB Assets'!E14</f>
        <v>45.684432999999999</v>
      </c>
      <c r="F14" s="1058">
        <f>+'Table 5 Build Assets'!F14+'Table 9 POSB Assets'!F14</f>
        <v>157.15839829000001</v>
      </c>
      <c r="G14" s="1059">
        <f>'Table 5 Build Assets'!G14+'Table 9 POSB Assets'!G14</f>
        <v>22.647586</v>
      </c>
      <c r="H14" s="1059">
        <f>'Table 5 Build Assets'!H14+'Table 9 POSB Assets'!H14</f>
        <v>0</v>
      </c>
      <c r="I14" s="1059">
        <f>'Table 5 Build Assets'!I14+'Table 9 POSB Assets'!I14</f>
        <v>51.923437999999997</v>
      </c>
      <c r="J14" s="1060">
        <f>'Table 5 Build Assets'!J14+'Table 9 POSB Assets'!J14</f>
        <v>0</v>
      </c>
      <c r="K14" s="1060">
        <f>'Table 5 Build Assets'!K14+'Table 9 POSB Assets'!K14</f>
        <v>0</v>
      </c>
      <c r="L14" s="1060">
        <f>'Table 5 Build Assets'!L14+'Table 9 POSB Assets'!L14</f>
        <v>0</v>
      </c>
      <c r="M14" s="1059">
        <f>'Table 5 Build Assets'!M14</f>
        <v>516.70842674999994</v>
      </c>
      <c r="N14" s="1059">
        <f>'Table 5 Build Assets'!N14+'Table 9 POSB Assets'!M14</f>
        <v>0</v>
      </c>
      <c r="O14" s="1059">
        <f>'Table 5 Build Assets'!R14+'Table 9 POSB Assets'!N14+'Table 9 POSB Assets'!O14+'Table 9 POSB Assets'!P14+'Table 9 POSB Assets'!Q14</f>
        <v>244.66146749000001</v>
      </c>
      <c r="P14" s="1059">
        <f>'Table 5 Build Assets'!U14+'Table 9 POSB Assets'!S14</f>
        <v>112.27251178</v>
      </c>
      <c r="Q14" s="1059">
        <f>'Table 5 Build Assets'!V14+'Table 9 POSB Assets'!T14</f>
        <v>133.67994222000002</v>
      </c>
      <c r="R14" s="1061">
        <f>SUM(C14:Q14)</f>
        <v>1331.5517057699999</v>
      </c>
      <c r="T14" s="1062">
        <f>R14-'Table 9 POSB Assets'!U14-'Table 5 Build Assets'!W14</f>
        <v>0</v>
      </c>
      <c r="U14" s="1063">
        <f>+T14/R14</f>
        <v>0</v>
      </c>
      <c r="V14" s="1032">
        <f>+T14*1000000</f>
        <v>0</v>
      </c>
    </row>
    <row r="15" spans="1:22" ht="15" customHeight="1">
      <c r="B15" s="1056" t="s">
        <v>1172</v>
      </c>
      <c r="C15" s="1057">
        <f>'Table 5 Build Assets'!C15+'Table 9 POSB Assets'!C15</f>
        <v>8.6395E-2</v>
      </c>
      <c r="D15" s="1058">
        <f>'Table 5 Build Assets'!D15+'Table 9 POSB Assets'!D15</f>
        <v>35.417288809999995</v>
      </c>
      <c r="E15" s="1058">
        <f>'Table 5 Build Assets'!E15+'Table 9 POSB Assets'!E15</f>
        <v>69.331699</v>
      </c>
      <c r="F15" s="1058">
        <f>+'Table 5 Build Assets'!F15+'Table 9 POSB Assets'!F15</f>
        <v>175.64654059</v>
      </c>
      <c r="G15" s="1059">
        <f>'Table 5 Build Assets'!G15+'Table 9 POSB Assets'!G15</f>
        <v>14.090648</v>
      </c>
      <c r="H15" s="1059">
        <f>'Table 5 Build Assets'!H15+'Table 9 POSB Assets'!H15</f>
        <v>0</v>
      </c>
      <c r="I15" s="1059">
        <f>'Table 5 Build Assets'!I15+'Table 9 POSB Assets'!I15</f>
        <v>52.006954</v>
      </c>
      <c r="J15" s="1060">
        <f>'Table 5 Build Assets'!J15+'Table 9 POSB Assets'!J15</f>
        <v>13.018803999999999</v>
      </c>
      <c r="K15" s="1060">
        <f>'Table 5 Build Assets'!K15+'Table 9 POSB Assets'!K15</f>
        <v>0</v>
      </c>
      <c r="L15" s="1060">
        <f>'Table 5 Build Assets'!L15+'Table 9 POSB Assets'!L15</f>
        <v>2.75</v>
      </c>
      <c r="M15" s="1059">
        <f>'Table 5 Build Assets'!M15</f>
        <v>513.99619958000005</v>
      </c>
      <c r="N15" s="1059">
        <f>'Table 5 Build Assets'!N15+'Table 9 POSB Assets'!M15</f>
        <v>0</v>
      </c>
      <c r="O15" s="1059">
        <f>'Table 5 Build Assets'!R15+'Table 9 POSB Assets'!N15+'Table 9 POSB Assets'!O15+'Table 9 POSB Assets'!P15+'Table 9 POSB Assets'!Q15</f>
        <v>251.72140084000003</v>
      </c>
      <c r="P15" s="1059">
        <f>'Table 5 Build Assets'!U15+'Table 9 POSB Assets'!S15</f>
        <v>113.88109878</v>
      </c>
      <c r="Q15" s="1059">
        <f>'Table 5 Build Assets'!V15+'Table 9 POSB Assets'!T15</f>
        <v>133.26004388999999</v>
      </c>
      <c r="R15" s="1061">
        <f t="shared" ref="R15:R39" si="0">SUM(C15:Q15)</f>
        <v>1375.20707249</v>
      </c>
      <c r="T15" s="1062">
        <f>R15-'Table 9 POSB Assets'!U15-'Table 5 Build Assets'!W15</f>
        <v>0</v>
      </c>
      <c r="U15" s="1063">
        <f t="shared" ref="U15:U39" si="1">+T15/R15</f>
        <v>0</v>
      </c>
      <c r="V15" s="1032">
        <f t="shared" ref="V15:V25" si="2">+T15*1000000</f>
        <v>0</v>
      </c>
    </row>
    <row r="16" spans="1:22" ht="15" customHeight="1">
      <c r="B16" s="1056" t="s">
        <v>1173</v>
      </c>
      <c r="C16" s="1057">
        <f>'Table 5 Build Assets'!C16+'Table 9 POSB Assets'!C16</f>
        <v>0.10184504</v>
      </c>
      <c r="D16" s="1058">
        <f>'Table 5 Build Assets'!D16+'Table 9 POSB Assets'!D16</f>
        <v>54.15435188</v>
      </c>
      <c r="E16" s="1058">
        <f>'Table 5 Build Assets'!E16+'Table 9 POSB Assets'!E16</f>
        <v>43.955234000000004</v>
      </c>
      <c r="F16" s="1058">
        <f>+'Table 5 Build Assets'!F16+'Table 9 POSB Assets'!F16</f>
        <v>177.63927679</v>
      </c>
      <c r="G16" s="1059">
        <f>'Table 5 Build Assets'!G16+'Table 9 POSB Assets'!G16</f>
        <v>10.191883000000001</v>
      </c>
      <c r="H16" s="1059">
        <f>'Table 5 Build Assets'!H16+'Table 9 POSB Assets'!H16</f>
        <v>0</v>
      </c>
      <c r="I16" s="1059">
        <f>'Table 5 Build Assets'!I16+'Table 9 POSB Assets'!I16</f>
        <v>59.604871000000003</v>
      </c>
      <c r="J16" s="1060">
        <f>'Table 5 Build Assets'!J16+'Table 9 POSB Assets'!J16</f>
        <v>12.630632</v>
      </c>
      <c r="K16" s="1060">
        <f>'Table 5 Build Assets'!K16+'Table 9 POSB Assets'!K16</f>
        <v>0</v>
      </c>
      <c r="L16" s="1060">
        <f>'Table 5 Build Assets'!L16+'Table 9 POSB Assets'!L16</f>
        <v>0</v>
      </c>
      <c r="M16" s="1059">
        <f>'Table 5 Build Assets'!M16</f>
        <v>513.18942761000005</v>
      </c>
      <c r="N16" s="1059">
        <f>'Table 5 Build Assets'!N16+'Table 9 POSB Assets'!M16</f>
        <v>0</v>
      </c>
      <c r="O16" s="1059">
        <f>'Table 5 Build Assets'!R16+'Table 9 POSB Assets'!N16+'Table 9 POSB Assets'!O16+'Table 9 POSB Assets'!P16+'Table 9 POSB Assets'!Q16</f>
        <v>255.04734769000001</v>
      </c>
      <c r="P16" s="1059">
        <f>'Table 5 Build Assets'!U16+'Table 9 POSB Assets'!S16</f>
        <v>116.09076813000001</v>
      </c>
      <c r="Q16" s="1059">
        <f>'Table 5 Build Assets'!V16+'Table 9 POSB Assets'!T16</f>
        <v>132.88708257000002</v>
      </c>
      <c r="R16" s="1061">
        <f t="shared" si="0"/>
        <v>1375.4927197100001</v>
      </c>
      <c r="T16" s="1062">
        <f>R16-'Table 9 POSB Assets'!U16-'Table 5 Build Assets'!W16</f>
        <v>0</v>
      </c>
      <c r="U16" s="1063">
        <f t="shared" si="1"/>
        <v>0</v>
      </c>
      <c r="V16" s="1032">
        <f t="shared" si="2"/>
        <v>0</v>
      </c>
    </row>
    <row r="17" spans="2:22" ht="15" customHeight="1">
      <c r="B17" s="1056" t="s">
        <v>1174</v>
      </c>
      <c r="C17" s="1057">
        <f>'Table 5 Build Assets'!C17+'Table 9 POSB Assets'!C17</f>
        <v>0.126417</v>
      </c>
      <c r="D17" s="1058">
        <f>'Table 5 Build Assets'!D17+'Table 9 POSB Assets'!D17</f>
        <v>36.659097359999997</v>
      </c>
      <c r="E17" s="1058">
        <f>'Table 5 Build Assets'!E17+'Table 9 POSB Assets'!E17</f>
        <v>59.760225000000005</v>
      </c>
      <c r="F17" s="1058">
        <f>+'Table 5 Build Assets'!F17+'Table 9 POSB Assets'!F17</f>
        <v>184.50488909000001</v>
      </c>
      <c r="G17" s="1059">
        <f>'Table 5 Build Assets'!G17+'Table 9 POSB Assets'!G17</f>
        <v>11.565559</v>
      </c>
      <c r="H17" s="1059">
        <f>'Table 5 Build Assets'!H17+'Table 9 POSB Assets'!H17</f>
        <v>0</v>
      </c>
      <c r="I17" s="1059">
        <f>'Table 5 Build Assets'!I17+'Table 9 POSB Assets'!I17</f>
        <v>68.044620350000002</v>
      </c>
      <c r="J17" s="1060">
        <f>'Table 5 Build Assets'!J17+'Table 9 POSB Assets'!J17</f>
        <v>10.433168</v>
      </c>
      <c r="K17" s="1060">
        <f>'Table 5 Build Assets'!K17+'Table 9 POSB Assets'!K17</f>
        <v>0</v>
      </c>
      <c r="L17" s="1060">
        <f>'Table 5 Build Assets'!L17+'Table 9 POSB Assets'!L17</f>
        <v>0</v>
      </c>
      <c r="M17" s="1059">
        <f>'Table 5 Build Assets'!M17</f>
        <v>527.71008371000005</v>
      </c>
      <c r="N17" s="1059">
        <f>'Table 5 Build Assets'!N17+'Table 9 POSB Assets'!M17</f>
        <v>0</v>
      </c>
      <c r="O17" s="1059">
        <f>'Table 5 Build Assets'!R17+'Table 9 POSB Assets'!N17+'Table 9 POSB Assets'!O17+'Table 9 POSB Assets'!P17+'Table 9 POSB Assets'!Q17</f>
        <v>247.80765036999998</v>
      </c>
      <c r="P17" s="1059">
        <f>'Table 5 Build Assets'!U17+'Table 9 POSB Assets'!S17</f>
        <v>119.75127443000001</v>
      </c>
      <c r="Q17" s="1059">
        <f>'Table 5 Build Assets'!V17+'Table 9 POSB Assets'!T17</f>
        <v>132.10636031999999</v>
      </c>
      <c r="R17" s="1061">
        <f t="shared" si="0"/>
        <v>1398.46934463</v>
      </c>
      <c r="T17" s="1062">
        <f>R17-'Table 9 POSB Assets'!U17-'Table 5 Build Assets'!W17</f>
        <v>0</v>
      </c>
      <c r="U17" s="1063">
        <f t="shared" si="1"/>
        <v>0</v>
      </c>
      <c r="V17" s="1032">
        <f t="shared" si="2"/>
        <v>0</v>
      </c>
    </row>
    <row r="18" spans="2:22" ht="15" customHeight="1">
      <c r="B18" s="1056" t="s">
        <v>1165</v>
      </c>
      <c r="C18" s="1057">
        <f>'Table 5 Build Assets'!C18+'Table 9 POSB Assets'!C18</f>
        <v>0.15384400000000001</v>
      </c>
      <c r="D18" s="1058">
        <f>'Table 5 Build Assets'!D18+'Table 9 POSB Assets'!D18</f>
        <v>59.985887079999998</v>
      </c>
      <c r="E18" s="1058">
        <f>'Table 5 Build Assets'!E18+'Table 9 POSB Assets'!E18</f>
        <v>57.834136000000001</v>
      </c>
      <c r="F18" s="1058">
        <f>+'Table 5 Build Assets'!F18+'Table 9 POSB Assets'!F18</f>
        <v>158.51526143000001</v>
      </c>
      <c r="G18" s="1059">
        <f>'Table 5 Build Assets'!G18+'Table 9 POSB Assets'!G18</f>
        <v>29.274093000000001</v>
      </c>
      <c r="H18" s="1059">
        <f>'Table 5 Build Assets'!H18+'Table 9 POSB Assets'!H18</f>
        <v>0</v>
      </c>
      <c r="I18" s="1059">
        <f>'Table 5 Build Assets'!I18+'Table 9 POSB Assets'!I18</f>
        <v>68.317758999999995</v>
      </c>
      <c r="J18" s="1060">
        <f>'Table 5 Build Assets'!J18+'Table 9 POSB Assets'!J18</f>
        <v>17.250122000000001</v>
      </c>
      <c r="K18" s="1060">
        <f>'Table 5 Build Assets'!K18+'Table 9 POSB Assets'!K18</f>
        <v>0</v>
      </c>
      <c r="L18" s="1060">
        <f>'Table 5 Build Assets'!L18+'Table 9 POSB Assets'!L18</f>
        <v>0</v>
      </c>
      <c r="M18" s="1059">
        <f>'Table 5 Build Assets'!M18</f>
        <v>448.66998238000002</v>
      </c>
      <c r="N18" s="1059">
        <f>'Table 5 Build Assets'!N18+'Table 9 POSB Assets'!M18</f>
        <v>0</v>
      </c>
      <c r="O18" s="1059">
        <f>'Table 5 Build Assets'!R18+'Table 9 POSB Assets'!N18+'Table 9 POSB Assets'!O18+'Table 9 POSB Assets'!P18+'Table 9 POSB Assets'!Q18</f>
        <v>309.76374215999999</v>
      </c>
      <c r="P18" s="1059">
        <f>'Table 5 Build Assets'!U18+'Table 9 POSB Assets'!S18</f>
        <v>123.30063687000001</v>
      </c>
      <c r="Q18" s="1059">
        <f>'Table 5 Build Assets'!V18+'Table 9 POSB Assets'!T18</f>
        <v>132.47002918999999</v>
      </c>
      <c r="R18" s="1061">
        <f t="shared" si="0"/>
        <v>1405.5354931100001</v>
      </c>
      <c r="T18" s="1062">
        <f>R18-'Table 9 POSB Assets'!U18-'Table 5 Build Assets'!W18</f>
        <v>0</v>
      </c>
      <c r="U18" s="1063">
        <f t="shared" si="1"/>
        <v>0</v>
      </c>
      <c r="V18" s="1032">
        <f t="shared" si="2"/>
        <v>0</v>
      </c>
    </row>
    <row r="19" spans="2:22" ht="15" customHeight="1">
      <c r="B19" s="1056" t="s">
        <v>1175</v>
      </c>
      <c r="C19" s="1057">
        <f>'Table 5 Build Assets'!C19+'Table 9 POSB Assets'!C19</f>
        <v>0.21633878639334891</v>
      </c>
      <c r="D19" s="1058">
        <f>'Table 5 Build Assets'!D19+'Table 9 POSB Assets'!D19</f>
        <v>66.879627323606655</v>
      </c>
      <c r="E19" s="1058">
        <f>'Table 5 Build Assets'!E19+'Table 9 POSB Assets'!E19</f>
        <v>36.73612352</v>
      </c>
      <c r="F19" s="1058">
        <f>+'Table 5 Build Assets'!F19+'Table 9 POSB Assets'!F19</f>
        <v>163.70746843119338</v>
      </c>
      <c r="G19" s="1059">
        <f>'Table 5 Build Assets'!G19+'Table 9 POSB Assets'!G19</f>
        <v>14.879698606777955</v>
      </c>
      <c r="H19" s="1059">
        <f>'Table 5 Build Assets'!H19+'Table 9 POSB Assets'!H19</f>
        <v>0</v>
      </c>
      <c r="I19" s="1059">
        <f>'Table 5 Build Assets'!I19+'Table 9 POSB Assets'!I19</f>
        <v>68.317759269999996</v>
      </c>
      <c r="J19" s="1060">
        <f>'Table 5 Build Assets'!J19+'Table 9 POSB Assets'!J19</f>
        <v>29.873533200000001</v>
      </c>
      <c r="K19" s="1060">
        <f>'Table 5 Build Assets'!K19+'Table 9 POSB Assets'!K19</f>
        <v>0</v>
      </c>
      <c r="L19" s="1060">
        <f>'Table 5 Build Assets'!L19+'Table 9 POSB Assets'!L19</f>
        <v>0</v>
      </c>
      <c r="M19" s="1059">
        <f>'Table 5 Build Assets'!M19</f>
        <v>464.87320198992467</v>
      </c>
      <c r="N19" s="1059">
        <f>'Table 5 Build Assets'!N19+'Table 9 POSB Assets'!M19</f>
        <v>10</v>
      </c>
      <c r="O19" s="1059">
        <f>'Table 5 Build Assets'!R19+'Table 9 POSB Assets'!N19+'Table 9 POSB Assets'!O19+'Table 9 POSB Assets'!P19+'Table 9 POSB Assets'!Q19</f>
        <v>299.18937032007528</v>
      </c>
      <c r="P19" s="1059">
        <f>'Table 5 Build Assets'!U19+'Table 9 POSB Assets'!S19</f>
        <v>121.22493495000001</v>
      </c>
      <c r="Q19" s="1059">
        <f>'Table 5 Build Assets'!V19+'Table 9 POSB Assets'!T19</f>
        <v>129.70978546000003</v>
      </c>
      <c r="R19" s="1061">
        <f t="shared" si="0"/>
        <v>1405.6078418579714</v>
      </c>
      <c r="T19" s="1062">
        <f>R19-'Table 9 POSB Assets'!U19-'Table 5 Build Assets'!W19</f>
        <v>0</v>
      </c>
      <c r="U19" s="1063">
        <f t="shared" si="1"/>
        <v>0</v>
      </c>
      <c r="V19" s="1032">
        <f t="shared" si="2"/>
        <v>0</v>
      </c>
    </row>
    <row r="20" spans="2:22" ht="15" customHeight="1">
      <c r="B20" s="1056" t="s">
        <v>1176</v>
      </c>
      <c r="C20" s="1057">
        <f>'Table 5 Build Assets'!C20+'Table 9 POSB Assets'!C20</f>
        <v>0.18740000000000001</v>
      </c>
      <c r="D20" s="1058">
        <f>'Table 5 Build Assets'!D20+'Table 9 POSB Assets'!D20</f>
        <v>57.513080219999999</v>
      </c>
      <c r="E20" s="1058">
        <f>'Table 5 Build Assets'!E20+'Table 9 POSB Assets'!E20</f>
        <v>51.687299000000003</v>
      </c>
      <c r="F20" s="1058">
        <f>+'Table 5 Build Assets'!F20+'Table 9 POSB Assets'!F20</f>
        <v>129.68340514000002</v>
      </c>
      <c r="G20" s="1059">
        <f>'Table 5 Build Assets'!G20+'Table 9 POSB Assets'!G20</f>
        <v>28.887501</v>
      </c>
      <c r="H20" s="1059">
        <f>'Table 5 Build Assets'!H20+'Table 9 POSB Assets'!H20</f>
        <v>0</v>
      </c>
      <c r="I20" s="1059">
        <f>'Table 5 Build Assets'!I20+'Table 9 POSB Assets'!I20</f>
        <v>71.096578000000008</v>
      </c>
      <c r="J20" s="1060">
        <f>'Table 5 Build Assets'!J20+'Table 9 POSB Assets'!J20</f>
        <v>29.037831000000001</v>
      </c>
      <c r="K20" s="1060">
        <f>'Table 5 Build Assets'!K20+'Table 9 POSB Assets'!K20</f>
        <v>0</v>
      </c>
      <c r="L20" s="1060">
        <f>'Table 5 Build Assets'!L20+'Table 9 POSB Assets'!L20</f>
        <v>0</v>
      </c>
      <c r="M20" s="1059">
        <f>'Table 5 Build Assets'!M20</f>
        <v>461.54434114999998</v>
      </c>
      <c r="N20" s="1059">
        <f>'Table 5 Build Assets'!N20+'Table 9 POSB Assets'!M20</f>
        <v>0</v>
      </c>
      <c r="O20" s="1059">
        <f>'Table 5 Build Assets'!R20+'Table 9 POSB Assets'!N20+'Table 9 POSB Assets'!O20+'Table 9 POSB Assets'!P20+'Table 9 POSB Assets'!Q20</f>
        <v>309.55751385999997</v>
      </c>
      <c r="P20" s="1059">
        <f>'Table 5 Build Assets'!U20+'Table 9 POSB Assets'!S20</f>
        <v>117.27673148000001</v>
      </c>
      <c r="Q20" s="1059">
        <f>'Table 5 Build Assets'!V20+'Table 9 POSB Assets'!T20</f>
        <v>129.75296814999999</v>
      </c>
      <c r="R20" s="1061">
        <f t="shared" si="0"/>
        <v>1386.224649</v>
      </c>
      <c r="T20" s="1062">
        <f>R20-'Table 9 POSB Assets'!U20-'Table 5 Build Assets'!W20</f>
        <v>0</v>
      </c>
      <c r="U20" s="1063">
        <f t="shared" si="1"/>
        <v>0</v>
      </c>
      <c r="V20" s="1032">
        <f t="shared" si="2"/>
        <v>0</v>
      </c>
    </row>
    <row r="21" spans="2:22" ht="15" customHeight="1">
      <c r="B21" s="1056" t="s">
        <v>1177</v>
      </c>
      <c r="C21" s="1057">
        <f>'Table 5 Build Assets'!C21+'Table 9 POSB Assets'!C21</f>
        <v>0.156862</v>
      </c>
      <c r="D21" s="1058">
        <f>'Table 5 Build Assets'!D21+'Table 9 POSB Assets'!D21</f>
        <v>57.85144605</v>
      </c>
      <c r="E21" s="1058">
        <f>'Table 5 Build Assets'!E21+'Table 9 POSB Assets'!E21</f>
        <v>25.010346999999999</v>
      </c>
      <c r="F21" s="1058">
        <f>+'Table 5 Build Assets'!F21+'Table 9 POSB Assets'!F21</f>
        <v>121.30606057</v>
      </c>
      <c r="G21" s="1059">
        <f>'Table 5 Build Assets'!G21+'Table 9 POSB Assets'!G21</f>
        <v>20.187266000000001</v>
      </c>
      <c r="H21" s="1059">
        <f>'Table 5 Build Assets'!H21+'Table 9 POSB Assets'!H21</f>
        <v>0</v>
      </c>
      <c r="I21" s="1059">
        <f>'Table 5 Build Assets'!I21+'Table 9 POSB Assets'!I21</f>
        <v>87.260193999999998</v>
      </c>
      <c r="J21" s="1060">
        <f>'Table 5 Build Assets'!J21+'Table 9 POSB Assets'!J21</f>
        <v>28.452183000000002</v>
      </c>
      <c r="K21" s="1060">
        <f>'Table 5 Build Assets'!K21+'Table 9 POSB Assets'!K21</f>
        <v>0</v>
      </c>
      <c r="L21" s="1060">
        <f>'Table 5 Build Assets'!L21+'Table 9 POSB Assets'!L21</f>
        <v>0</v>
      </c>
      <c r="M21" s="1059">
        <f>'Table 5 Build Assets'!M21</f>
        <v>482.91544892000002</v>
      </c>
      <c r="N21" s="1059">
        <f>'Table 5 Build Assets'!N21+'Table 9 POSB Assets'!M21</f>
        <v>0</v>
      </c>
      <c r="O21" s="1059">
        <f>'Table 5 Build Assets'!R21+'Table 9 POSB Assets'!N21+'Table 9 POSB Assets'!O21+'Table 9 POSB Assets'!P21+'Table 9 POSB Assets'!Q21</f>
        <v>306.93463147999995</v>
      </c>
      <c r="P21" s="1059">
        <f>'Table 5 Build Assets'!U21+'Table 9 POSB Assets'!S21</f>
        <v>117.23899137000001</v>
      </c>
      <c r="Q21" s="1059">
        <f>'Table 5 Build Assets'!V21+'Table 9 POSB Assets'!T21</f>
        <v>130.41797969000001</v>
      </c>
      <c r="R21" s="1061">
        <f t="shared" si="0"/>
        <v>1377.7314100800002</v>
      </c>
      <c r="T21" s="1062">
        <f>R21-'Table 9 POSB Assets'!U21-'Table 5 Build Assets'!W21</f>
        <v>0</v>
      </c>
      <c r="U21" s="1063">
        <f t="shared" si="1"/>
        <v>0</v>
      </c>
      <c r="V21" s="1032">
        <f t="shared" si="2"/>
        <v>0</v>
      </c>
    </row>
    <row r="22" spans="2:22" ht="15" customHeight="1">
      <c r="B22" s="1056" t="s">
        <v>1178</v>
      </c>
      <c r="C22" s="1057">
        <f>'Table 5 Build Assets'!C22+'Table 9 POSB Assets'!C22</f>
        <v>0.15912399999999999</v>
      </c>
      <c r="D22" s="1058">
        <f>'Table 5 Build Assets'!D22+'Table 9 POSB Assets'!D22</f>
        <v>62.086574320000004</v>
      </c>
      <c r="E22" s="1058">
        <f>'Table 5 Build Assets'!E22+'Table 9 POSB Assets'!E22</f>
        <v>54.511285000000001</v>
      </c>
      <c r="F22" s="1058">
        <f>+'Table 5 Build Assets'!F22+'Table 9 POSB Assets'!F22</f>
        <v>99.446982219999995</v>
      </c>
      <c r="G22" s="1059">
        <f>'Table 5 Build Assets'!G22+'Table 9 POSB Assets'!G22</f>
        <v>18.456313999999999</v>
      </c>
      <c r="H22" s="1059">
        <f>'Table 5 Build Assets'!H22+'Table 9 POSB Assets'!H22</f>
        <v>0</v>
      </c>
      <c r="I22" s="1059">
        <f>'Table 5 Build Assets'!I22+'Table 9 POSB Assets'!I22</f>
        <v>89.073292999999993</v>
      </c>
      <c r="J22" s="1060">
        <f>'Table 5 Build Assets'!J22+'Table 9 POSB Assets'!J22</f>
        <v>27.553245</v>
      </c>
      <c r="K22" s="1060">
        <f>'Table 5 Build Assets'!K22+'Table 9 POSB Assets'!K22</f>
        <v>0</v>
      </c>
      <c r="L22" s="1060">
        <f>'Table 5 Build Assets'!L22+'Table 9 POSB Assets'!L22</f>
        <v>0</v>
      </c>
      <c r="M22" s="1059">
        <f>'Table 5 Build Assets'!M22</f>
        <v>480.39760675999997</v>
      </c>
      <c r="N22" s="1059">
        <f>'Table 5 Build Assets'!N22+'Table 9 POSB Assets'!M22</f>
        <v>0</v>
      </c>
      <c r="O22" s="1059">
        <f>'Table 5 Build Assets'!R22+'Table 9 POSB Assets'!N22+'Table 9 POSB Assets'!O22+'Table 9 POSB Assets'!P22+'Table 9 POSB Assets'!Q22</f>
        <v>316.60833157000002</v>
      </c>
      <c r="P22" s="1059">
        <f>'Table 5 Build Assets'!U22+'Table 9 POSB Assets'!S22</f>
        <v>135.53628165000001</v>
      </c>
      <c r="Q22" s="1059">
        <f>'Table 5 Build Assets'!V22+'Table 9 POSB Assets'!T22</f>
        <v>130.27327124000001</v>
      </c>
      <c r="R22" s="1061">
        <f t="shared" si="0"/>
        <v>1414.1023087600001</v>
      </c>
      <c r="T22" s="1062">
        <f>R22-'Table 9 POSB Assets'!U22-'Table 5 Build Assets'!W22</f>
        <v>0</v>
      </c>
      <c r="U22" s="1063">
        <f t="shared" si="1"/>
        <v>0</v>
      </c>
      <c r="V22" s="1032">
        <f t="shared" si="2"/>
        <v>0</v>
      </c>
    </row>
    <row r="23" spans="2:22" ht="15" customHeight="1">
      <c r="B23" s="1056" t="s">
        <v>1179</v>
      </c>
      <c r="C23" s="1057">
        <f>'Table 5 Build Assets'!C23+'Table 9 POSB Assets'!C23</f>
        <v>0.14474013999999999</v>
      </c>
      <c r="D23" s="1058">
        <f>'Table 5 Build Assets'!D23+'Table 9 POSB Assets'!D23</f>
        <v>50.633595219999989</v>
      </c>
      <c r="E23" s="1058">
        <f>'Table 5 Build Assets'!E23+'Table 9 POSB Assets'!E23</f>
        <v>44.005161999999999</v>
      </c>
      <c r="F23" s="1058">
        <f>+'Table 5 Build Assets'!F23+'Table 9 POSB Assets'!F23</f>
        <v>183.09311080000003</v>
      </c>
      <c r="G23" s="1059">
        <f>'Table 5 Build Assets'!G23+'Table 9 POSB Assets'!G23</f>
        <v>11.112339</v>
      </c>
      <c r="H23" s="1059">
        <f>'Table 5 Build Assets'!H23+'Table 9 POSB Assets'!H23</f>
        <v>0</v>
      </c>
      <c r="I23" s="1059">
        <f>'Table 5 Build Assets'!I23+'Table 9 POSB Assets'!I23</f>
        <v>91.067487999999997</v>
      </c>
      <c r="J23" s="1060">
        <f>'Table 5 Build Assets'!J23+'Table 9 POSB Assets'!J23</f>
        <v>27.283086000000001</v>
      </c>
      <c r="K23" s="1060">
        <f>'Table 5 Build Assets'!K23+'Table 9 POSB Assets'!K23</f>
        <v>0</v>
      </c>
      <c r="L23" s="1060">
        <f>'Table 5 Build Assets'!L23+'Table 9 POSB Assets'!L23</f>
        <v>0</v>
      </c>
      <c r="M23" s="1059">
        <f>'Table 5 Build Assets'!M23</f>
        <v>500.46808470999997</v>
      </c>
      <c r="N23" s="1059">
        <f>'Table 5 Build Assets'!N23+'Table 9 POSB Assets'!M23</f>
        <v>0</v>
      </c>
      <c r="O23" s="1059">
        <f>'Table 5 Build Assets'!R23+'Table 9 POSB Assets'!N23+'Table 9 POSB Assets'!O23+'Table 9 POSB Assets'!P23+'Table 9 POSB Assets'!Q23</f>
        <v>317.02133148000001</v>
      </c>
      <c r="P23" s="1059">
        <f>'Table 5 Build Assets'!U23+'Table 9 POSB Assets'!S23</f>
        <v>135.81614759999999</v>
      </c>
      <c r="Q23" s="1059">
        <f>'Table 5 Build Assets'!V23+'Table 9 POSB Assets'!T23</f>
        <v>130.87533252</v>
      </c>
      <c r="R23" s="1061">
        <f t="shared" si="0"/>
        <v>1491.5204174700002</v>
      </c>
      <c r="T23" s="1062">
        <f>R23-'Table 9 POSB Assets'!U23-'Table 5 Build Assets'!W23</f>
        <v>0</v>
      </c>
      <c r="U23" s="1063">
        <f t="shared" si="1"/>
        <v>0</v>
      </c>
      <c r="V23" s="1032">
        <f t="shared" si="2"/>
        <v>0</v>
      </c>
    </row>
    <row r="24" spans="2:22" ht="15" customHeight="1">
      <c r="B24" s="1056" t="s">
        <v>1180</v>
      </c>
      <c r="C24" s="1057">
        <f>'Table 5 Build Assets'!C24+'Table 9 POSB Assets'!C24</f>
        <v>0.15580392000000001</v>
      </c>
      <c r="D24" s="1058">
        <f>'Table 5 Build Assets'!D24+'Table 9 POSB Assets'!D24</f>
        <v>45.613525159999995</v>
      </c>
      <c r="E24" s="1058">
        <f>'Table 5 Build Assets'!E24+'Table 9 POSB Assets'!E24</f>
        <v>51.097920619999996</v>
      </c>
      <c r="F24" s="1058">
        <f>+'Table 5 Build Assets'!F24+'Table 9 POSB Assets'!F24</f>
        <v>211.2808251629711</v>
      </c>
      <c r="G24" s="1059">
        <f>'Table 5 Build Assets'!G24+'Table 9 POSB Assets'!G24</f>
        <v>11.034101508336253</v>
      </c>
      <c r="H24" s="1059">
        <f>'Table 5 Build Assets'!H24+'Table 9 POSB Assets'!H24</f>
        <v>0</v>
      </c>
      <c r="I24" s="1059">
        <f>'Table 5 Build Assets'!I24+'Table 9 POSB Assets'!I24</f>
        <v>91.174399599999973</v>
      </c>
      <c r="J24" s="1060">
        <f>'Table 5 Build Assets'!J24+'Table 9 POSB Assets'!J24</f>
        <v>31.07096057</v>
      </c>
      <c r="K24" s="1060">
        <f>'Table 5 Build Assets'!K24+'Table 9 POSB Assets'!K24</f>
        <v>0</v>
      </c>
      <c r="L24" s="1060">
        <f>'Table 5 Build Assets'!L24+'Table 9 POSB Assets'!L24</f>
        <v>0</v>
      </c>
      <c r="M24" s="1059">
        <f>'Table 5 Build Assets'!M24</f>
        <v>298.58750432073668</v>
      </c>
      <c r="N24" s="1059">
        <f>'Table 5 Build Assets'!N24+'Table 9 POSB Assets'!M24</f>
        <v>0</v>
      </c>
      <c r="O24" s="1059">
        <f>'Table 5 Build Assets'!R24+'Table 9 POSB Assets'!N24+'Table 9 POSB Assets'!O24+'Table 9 POSB Assets'!P24+'Table 9 POSB Assets'!Q24</f>
        <v>526.57935460926331</v>
      </c>
      <c r="P24" s="1059">
        <f>'Table 5 Build Assets'!U24+'Table 9 POSB Assets'!S24</f>
        <v>140.88311468999999</v>
      </c>
      <c r="Q24" s="1059">
        <f>'Table 5 Build Assets'!V24+'Table 9 POSB Assets'!T24</f>
        <v>129.22927558999999</v>
      </c>
      <c r="R24" s="1061">
        <f t="shared" si="0"/>
        <v>1536.7067857513075</v>
      </c>
      <c r="T24" s="1062">
        <f>R24-'Table 9 POSB Assets'!U24-'Table 5 Build Assets'!W24</f>
        <v>0</v>
      </c>
      <c r="U24" s="1063">
        <f t="shared" si="1"/>
        <v>0</v>
      </c>
      <c r="V24" s="1032">
        <f t="shared" si="2"/>
        <v>0</v>
      </c>
    </row>
    <row r="25" spans="2:22" ht="15" customHeight="1">
      <c r="B25" s="1056" t="s">
        <v>1181</v>
      </c>
      <c r="C25" s="1057">
        <f>'Table 5 Build Assets'!C25+'Table 9 POSB Assets'!C25</f>
        <v>9.6848000000000004E-2</v>
      </c>
      <c r="D25" s="1058">
        <f>'Table 5 Build Assets'!D25+'Table 9 POSB Assets'!D25</f>
        <v>36.938191070000002</v>
      </c>
      <c r="E25" s="1058">
        <f>'Table 5 Build Assets'!E25+'Table 9 POSB Assets'!E25</f>
        <v>38.995902000000001</v>
      </c>
      <c r="F25" s="1058">
        <f>+'Table 5 Build Assets'!F25+'Table 9 POSB Assets'!F25</f>
        <v>216.91063196000002</v>
      </c>
      <c r="G25" s="1059">
        <f>'Table 5 Build Assets'!G25+'Table 9 POSB Assets'!G25</f>
        <v>21.96611</v>
      </c>
      <c r="H25" s="1059">
        <f>'Table 5 Build Assets'!H25+'Table 9 POSB Assets'!H25</f>
        <v>0</v>
      </c>
      <c r="I25" s="1059">
        <f>'Table 5 Build Assets'!I25+'Table 9 POSB Assets'!I25</f>
        <v>113.08244999999999</v>
      </c>
      <c r="J25" s="1060">
        <f>'Table 5 Build Assets'!J25+'Table 9 POSB Assets'!J25</f>
        <v>29.325984999999999</v>
      </c>
      <c r="K25" s="1060">
        <f>'Table 5 Build Assets'!K25+'Table 9 POSB Assets'!K25</f>
        <v>0</v>
      </c>
      <c r="L25" s="1060">
        <f>'Table 5 Build Assets'!L25+'Table 9 POSB Assets'!L25</f>
        <v>0</v>
      </c>
      <c r="M25" s="1059">
        <f>'Table 5 Build Assets'!M25</f>
        <v>323.03406057000001</v>
      </c>
      <c r="N25" s="1059">
        <f>'Table 5 Build Assets'!N25+'Table 9 POSB Assets'!M25</f>
        <v>0</v>
      </c>
      <c r="O25" s="1059">
        <f>'Table 5 Build Assets'!R25+'Table 9 POSB Assets'!N25+'Table 9 POSB Assets'!O25+'Table 9 POSB Assets'!P25+'Table 9 POSB Assets'!Q25</f>
        <v>525.78178540999988</v>
      </c>
      <c r="P25" s="1059">
        <f>'Table 5 Build Assets'!U25+'Table 9 POSB Assets'!S25</f>
        <v>125.35281265</v>
      </c>
      <c r="Q25" s="1059">
        <f>'Table 5 Build Assets'!V25+'Table 9 POSB Assets'!T25</f>
        <v>126.47981953999999</v>
      </c>
      <c r="R25" s="1061">
        <f t="shared" si="0"/>
        <v>1557.9645962</v>
      </c>
      <c r="T25" s="1062">
        <f>R25-'Table 9 POSB Assets'!U25-'Table 5 Build Assets'!W25</f>
        <v>0</v>
      </c>
      <c r="U25" s="1063">
        <f t="shared" si="1"/>
        <v>0</v>
      </c>
      <c r="V25" s="1032">
        <f t="shared" si="2"/>
        <v>0</v>
      </c>
    </row>
    <row r="26" spans="2:22" ht="15" customHeight="1">
      <c r="B26" s="1064"/>
      <c r="C26" s="1057"/>
      <c r="D26" s="1058"/>
      <c r="E26" s="1058"/>
      <c r="F26" s="1058"/>
      <c r="G26" s="1059"/>
      <c r="H26" s="1059"/>
      <c r="I26" s="1059"/>
      <c r="J26" s="1060"/>
      <c r="K26" s="1060"/>
      <c r="L26" s="1060"/>
      <c r="M26" s="1059"/>
      <c r="N26" s="1059"/>
      <c r="O26" s="1059"/>
      <c r="P26" s="1059"/>
      <c r="Q26" s="1059"/>
      <c r="R26" s="1061"/>
      <c r="T26" s="1062">
        <f>R26-'Table 9 POSB Assets'!U26-'Table 5 Build Assets'!W26</f>
        <v>0</v>
      </c>
      <c r="U26" s="1063"/>
    </row>
    <row r="27" spans="2:22" ht="15" customHeight="1">
      <c r="B27" s="1055">
        <v>2016</v>
      </c>
      <c r="C27" s="1057"/>
      <c r="D27" s="1058"/>
      <c r="E27" s="1058"/>
      <c r="F27" s="1058"/>
      <c r="G27" s="1059"/>
      <c r="H27" s="1059"/>
      <c r="I27" s="1059"/>
      <c r="J27" s="1060"/>
      <c r="K27" s="1060"/>
      <c r="L27" s="1060"/>
      <c r="M27" s="1059"/>
      <c r="N27" s="1059"/>
      <c r="O27" s="1059"/>
      <c r="P27" s="1059"/>
      <c r="Q27" s="1059"/>
      <c r="R27" s="1061"/>
      <c r="T27" s="1062">
        <f>R27-'Table 9 POSB Assets'!U27-'Table 5 Build Assets'!W27</f>
        <v>0</v>
      </c>
      <c r="U27" s="1063"/>
    </row>
    <row r="28" spans="2:22" ht="15" customHeight="1">
      <c r="B28" s="1065" t="s">
        <v>345</v>
      </c>
      <c r="C28" s="1057">
        <f>'Table 5 Build Assets'!C28+'Table 9 POSB Assets'!C28</f>
        <v>0.17101334999999998</v>
      </c>
      <c r="D28" s="1058">
        <f>'Table 5 Build Assets'!D28+'Table 9 POSB Assets'!D28</f>
        <v>21.19653242</v>
      </c>
      <c r="E28" s="1058">
        <f>'Table 5 Build Assets'!E28+'Table 9 POSB Assets'!E28</f>
        <v>65.155509159999994</v>
      </c>
      <c r="F28" s="1058">
        <f>+'Table 5 Build Assets'!F28+'Table 9 POSB Assets'!F28</f>
        <v>175.33898268617327</v>
      </c>
      <c r="G28" s="1059">
        <f>'Table 5 Build Assets'!G28+'Table 9 POSB Assets'!G28</f>
        <v>10.395487149999999</v>
      </c>
      <c r="H28" s="1059">
        <f>'Table 5 Build Assets'!H28+'Table 9 POSB Assets'!H28</f>
        <v>0</v>
      </c>
      <c r="I28" s="1059">
        <f>'Table 5 Build Assets'!I28+'Table 9 POSB Assets'!I28</f>
        <v>107.46640668000001</v>
      </c>
      <c r="J28" s="1060">
        <f>'Table 5 Build Assets'!J28+'Table 9 POSB Assets'!J28</f>
        <v>28.774100172209955</v>
      </c>
      <c r="K28" s="1060">
        <f>'Table 5 Build Assets'!K28+'Table 9 POSB Assets'!K28</f>
        <v>0</v>
      </c>
      <c r="L28" s="1060">
        <f>'Table 5 Build Assets'!L28+'Table 9 POSB Assets'!L28</f>
        <v>0</v>
      </c>
      <c r="M28" s="1059">
        <f>'Table 5 Build Assets'!M28</f>
        <v>332.75965152326887</v>
      </c>
      <c r="N28" s="1059">
        <f>'Table 5 Build Assets'!N28+'Table 9 POSB Assets'!M28</f>
        <v>0</v>
      </c>
      <c r="O28" s="1059">
        <f>'Table 5 Build Assets'!R28+'Table 9 POSB Assets'!N28+'Table 9 POSB Assets'!O28+'Table 9 POSB Assets'!P28+'Table 9 POSB Assets'!Q28</f>
        <v>499.7218330745211</v>
      </c>
      <c r="P28" s="1059">
        <f>'Table 5 Build Assets'!U28+'Table 9 POSB Assets'!S28</f>
        <v>124.64192518999999</v>
      </c>
      <c r="Q28" s="1059">
        <f>'Table 5 Build Assets'!V28+'Table 9 POSB Assets'!T28</f>
        <v>128.16969526000003</v>
      </c>
      <c r="R28" s="1061">
        <f t="shared" si="0"/>
        <v>1493.7911366661731</v>
      </c>
      <c r="T28" s="1062">
        <f>R28-'Table 9 POSB Assets'!U28-'Table 5 Build Assets'!W28</f>
        <v>0</v>
      </c>
      <c r="U28" s="1063">
        <f t="shared" si="1"/>
        <v>0</v>
      </c>
      <c r="V28" s="1032">
        <f t="shared" ref="V28:V39" si="3">+T28*1000000</f>
        <v>0</v>
      </c>
    </row>
    <row r="29" spans="2:22" ht="15" customHeight="1">
      <c r="B29" s="1056" t="s">
        <v>334</v>
      </c>
      <c r="C29" s="1057">
        <f>'Table 5 Build Assets'!C29+'Table 9 POSB Assets'!C29</f>
        <v>0.22892535</v>
      </c>
      <c r="D29" s="1058">
        <f>'Table 5 Build Assets'!D29+'Table 9 POSB Assets'!D29</f>
        <v>19.467086619999996</v>
      </c>
      <c r="E29" s="1058">
        <f>'Table 5 Build Assets'!E29+'Table 9 POSB Assets'!E29</f>
        <v>60.424972320000002</v>
      </c>
      <c r="F29" s="1058">
        <f>+'Table 5 Build Assets'!F29+'Table 9 POSB Assets'!F29</f>
        <v>189.68710944413223</v>
      </c>
      <c r="G29" s="1059">
        <f>'Table 5 Build Assets'!G29+'Table 9 POSB Assets'!G29</f>
        <v>9.7066290899999998</v>
      </c>
      <c r="H29" s="1059">
        <f>'Table 5 Build Assets'!H29+'Table 9 POSB Assets'!H29</f>
        <v>0</v>
      </c>
      <c r="I29" s="1059">
        <f>'Table 5 Build Assets'!I29+'Table 9 POSB Assets'!I29</f>
        <v>100.63274034</v>
      </c>
      <c r="J29" s="1060">
        <f>'Table 5 Build Assets'!J29+'Table 9 POSB Assets'!J29</f>
        <v>29.212299170000001</v>
      </c>
      <c r="K29" s="1060">
        <f>'Table 5 Build Assets'!K29+'Table 9 POSB Assets'!K29</f>
        <v>0</v>
      </c>
      <c r="L29" s="1060">
        <f>'Table 5 Build Assets'!L29+'Table 9 POSB Assets'!L29</f>
        <v>0</v>
      </c>
      <c r="M29" s="1059">
        <f>'Table 5 Build Assets'!M29</f>
        <v>330.16119238934164</v>
      </c>
      <c r="N29" s="1059">
        <f>'Table 5 Build Assets'!N29+'Table 9 POSB Assets'!M29</f>
        <v>0</v>
      </c>
      <c r="O29" s="1059">
        <f>'Table 5 Build Assets'!R29+'Table 9 POSB Assets'!N29+'Table 9 POSB Assets'!O29+'Table 9 POSB Assets'!P29+'Table 9 POSB Assets'!Q29</f>
        <v>504.60957043484007</v>
      </c>
      <c r="P29" s="1059">
        <f>'Table 5 Build Assets'!U29+'Table 9 POSB Assets'!S29</f>
        <v>125.26192046999999</v>
      </c>
      <c r="Q29" s="1059">
        <f>'Table 5 Build Assets'!V29+'Table 9 POSB Assets'!T29</f>
        <v>128.10171038678442</v>
      </c>
      <c r="R29" s="1061">
        <f t="shared" si="0"/>
        <v>1497.4941560150983</v>
      </c>
      <c r="T29" s="1062">
        <f>R29-'Table 9 POSB Assets'!U29-'Table 5 Build Assets'!W29</f>
        <v>0</v>
      </c>
      <c r="U29" s="1063">
        <f t="shared" si="1"/>
        <v>0</v>
      </c>
      <c r="V29" s="1032">
        <f t="shared" si="3"/>
        <v>0</v>
      </c>
    </row>
    <row r="30" spans="2:22" ht="15" customHeight="1">
      <c r="B30" s="1056" t="s">
        <v>335</v>
      </c>
      <c r="C30" s="1057">
        <f>'Table 5 Build Assets'!C30+'Table 9 POSB Assets'!C30</f>
        <v>0.21661902999999999</v>
      </c>
      <c r="D30" s="1058">
        <f>'Table 5 Build Assets'!D30+'Table 9 POSB Assets'!D30</f>
        <v>16.966307390000001</v>
      </c>
      <c r="E30" s="1058">
        <f>'Table 5 Build Assets'!E30+'Table 9 POSB Assets'!E30</f>
        <v>72.740625000000009</v>
      </c>
      <c r="F30" s="1058">
        <f>+'Table 5 Build Assets'!F30+'Table 9 POSB Assets'!F30</f>
        <v>190.07819719</v>
      </c>
      <c r="G30" s="1059">
        <f>'Table 5 Build Assets'!G30+'Table 9 POSB Assets'!G30</f>
        <v>16.798900999999997</v>
      </c>
      <c r="H30" s="1059">
        <f>'Table 5 Build Assets'!H30+'Table 9 POSB Assets'!H30</f>
        <v>0</v>
      </c>
      <c r="I30" s="1059">
        <f>'Table 5 Build Assets'!I30+'Table 9 POSB Assets'!I30</f>
        <v>81.464934700000001</v>
      </c>
      <c r="J30" s="1060">
        <f>'Table 5 Build Assets'!J30+'Table 9 POSB Assets'!J30</f>
        <v>28.526461000000001</v>
      </c>
      <c r="K30" s="1060">
        <f>'Table 5 Build Assets'!K30+'Table 9 POSB Assets'!K30</f>
        <v>0</v>
      </c>
      <c r="L30" s="1060">
        <f>'Table 5 Build Assets'!L30+'Table 9 POSB Assets'!L30</f>
        <v>0</v>
      </c>
      <c r="M30" s="1059">
        <f>'Table 5 Build Assets'!M30</f>
        <v>345.42025390845453</v>
      </c>
      <c r="N30" s="1059">
        <f>'Table 5 Build Assets'!N30+'Table 9 POSB Assets'!M30</f>
        <v>0</v>
      </c>
      <c r="O30" s="1059">
        <f>'Table 5 Build Assets'!R30+'Table 9 POSB Assets'!N30+'Table 9 POSB Assets'!O30+'Table 9 POSB Assets'!P30+'Table 9 POSB Assets'!Q30</f>
        <v>481.87650387090849</v>
      </c>
      <c r="P30" s="1059">
        <f>'Table 5 Build Assets'!U30+'Table 9 POSB Assets'!S30</f>
        <v>120.71498859000002</v>
      </c>
      <c r="Q30" s="1059">
        <f>'Table 5 Build Assets'!V30+'Table 9 POSB Assets'!T30</f>
        <v>127.73098991017666</v>
      </c>
      <c r="R30" s="1061">
        <f t="shared" si="0"/>
        <v>1482.5347815895398</v>
      </c>
      <c r="T30" s="1062">
        <f>R30-'Table 9 POSB Assets'!U30-'Table 5 Build Assets'!W30</f>
        <v>0</v>
      </c>
      <c r="U30" s="1063">
        <f t="shared" si="1"/>
        <v>0</v>
      </c>
      <c r="V30" s="1032">
        <f t="shared" si="3"/>
        <v>0</v>
      </c>
    </row>
    <row r="31" spans="2:22" ht="15" customHeight="1">
      <c r="B31" s="1056" t="s">
        <v>336</v>
      </c>
      <c r="C31" s="1057">
        <f>'Table 5 Build Assets'!C31+'Table 9 POSB Assets'!C31</f>
        <v>0.20363700000000001</v>
      </c>
      <c r="D31" s="1058">
        <f>'Table 5 Build Assets'!D31+'Table 9 POSB Assets'!D31</f>
        <v>10.3299976</v>
      </c>
      <c r="E31" s="1058">
        <f>'Table 5 Build Assets'!E31+'Table 9 POSB Assets'!E31</f>
        <v>39.801606</v>
      </c>
      <c r="F31" s="1058">
        <f>+'Table 5 Build Assets'!F31+'Table 9 POSB Assets'!F31</f>
        <v>186.43316201999997</v>
      </c>
      <c r="G31" s="1059">
        <f>'Table 5 Build Assets'!G31+'Table 9 POSB Assets'!G31</f>
        <v>3.4646859999999999</v>
      </c>
      <c r="H31" s="1059">
        <f>'Table 5 Build Assets'!H31+'Table 9 POSB Assets'!H31</f>
        <v>0</v>
      </c>
      <c r="I31" s="1059">
        <f>'Table 5 Build Assets'!I31+'Table 9 POSB Assets'!I31</f>
        <v>121.57441718000001</v>
      </c>
      <c r="J31" s="1060">
        <f>'Table 5 Build Assets'!J31+'Table 9 POSB Assets'!J31</f>
        <v>27.627929999999999</v>
      </c>
      <c r="K31" s="1060">
        <f>'Table 5 Build Assets'!K31+'Table 9 POSB Assets'!K31</f>
        <v>0</v>
      </c>
      <c r="L31" s="1060">
        <f>'Table 5 Build Assets'!L31+'Table 9 POSB Assets'!L31</f>
        <v>0</v>
      </c>
      <c r="M31" s="1059">
        <f>'Table 5 Build Assets'!M31</f>
        <v>332.51425957999999</v>
      </c>
      <c r="N31" s="1059">
        <f>'Table 5 Build Assets'!N31+'Table 9 POSB Assets'!M31</f>
        <v>0</v>
      </c>
      <c r="O31" s="1059">
        <f>'Table 5 Build Assets'!R31+'Table 9 POSB Assets'!N31+'Table 9 POSB Assets'!O31+'Table 9 POSB Assets'!P31+'Table 9 POSB Assets'!Q31</f>
        <v>483.21672396999998</v>
      </c>
      <c r="P31" s="1059">
        <f>'Table 5 Build Assets'!U31+'Table 9 POSB Assets'!S31</f>
        <v>126.40193347999997</v>
      </c>
      <c r="Q31" s="1059">
        <f>'Table 5 Build Assets'!V31+'Table 9 POSB Assets'!T31</f>
        <v>127.54257502</v>
      </c>
      <c r="R31" s="1061">
        <f t="shared" si="0"/>
        <v>1459.1109278499998</v>
      </c>
      <c r="T31" s="1062">
        <f>R31-'Table 9 POSB Assets'!U31-'Table 5 Build Assets'!W31</f>
        <v>0</v>
      </c>
      <c r="U31" s="1063">
        <f t="shared" si="1"/>
        <v>0</v>
      </c>
      <c r="V31" s="1032">
        <f t="shared" si="3"/>
        <v>0</v>
      </c>
    </row>
    <row r="32" spans="2:22" ht="15" customHeight="1">
      <c r="B32" s="1056" t="s">
        <v>337</v>
      </c>
      <c r="C32" s="1057">
        <f>'Table 5 Build Assets'!C32+'Table 9 POSB Assets'!C32</f>
        <v>0.15651699999999999</v>
      </c>
      <c r="D32" s="1058">
        <f>'Table 5 Build Assets'!D32+'Table 9 POSB Assets'!D32</f>
        <v>10.44437699</v>
      </c>
      <c r="E32" s="1058">
        <f>'Table 5 Build Assets'!E32+'Table 9 POSB Assets'!E32</f>
        <v>80.753261000000009</v>
      </c>
      <c r="F32" s="1058">
        <f>+'Table 5 Build Assets'!F32+'Table 9 POSB Assets'!F32</f>
        <v>149.83594675999998</v>
      </c>
      <c r="G32" s="1059">
        <f>'Table 5 Build Assets'!G32+'Table 9 POSB Assets'!G32</f>
        <v>5.6149310000000003</v>
      </c>
      <c r="H32" s="1059">
        <f>'Table 5 Build Assets'!H32+'Table 9 POSB Assets'!H32</f>
        <v>0</v>
      </c>
      <c r="I32" s="1059">
        <f>'Table 5 Build Assets'!I32+'Table 9 POSB Assets'!I32</f>
        <v>124.38044678</v>
      </c>
      <c r="J32" s="1060">
        <f>'Table 5 Build Assets'!J32+'Table 9 POSB Assets'!J32</f>
        <v>26.763019</v>
      </c>
      <c r="K32" s="1060">
        <f>'Table 5 Build Assets'!K32+'Table 9 POSB Assets'!K32</f>
        <v>0</v>
      </c>
      <c r="L32" s="1060">
        <f>'Table 5 Build Assets'!L32+'Table 9 POSB Assets'!L32</f>
        <v>0</v>
      </c>
      <c r="M32" s="1059">
        <f>'Table 5 Build Assets'!M32</f>
        <v>339.75100457000002</v>
      </c>
      <c r="N32" s="1059">
        <f>'Table 5 Build Assets'!N32+'Table 9 POSB Assets'!M32</f>
        <v>0</v>
      </c>
      <c r="O32" s="1059">
        <f>'Table 5 Build Assets'!R32+'Table 9 POSB Assets'!N32+'Table 9 POSB Assets'!O32+'Table 9 POSB Assets'!P32+'Table 9 POSB Assets'!Q32</f>
        <v>494.73502959000001</v>
      </c>
      <c r="P32" s="1059">
        <f>'Table 5 Build Assets'!U32+'Table 9 POSB Assets'!S32</f>
        <v>128.70626904</v>
      </c>
      <c r="Q32" s="1059">
        <f>'Table 5 Build Assets'!V32+'Table 9 POSB Assets'!T32</f>
        <v>130.46873757</v>
      </c>
      <c r="R32" s="1061">
        <f t="shared" si="0"/>
        <v>1491.6095393000001</v>
      </c>
      <c r="T32" s="1062">
        <f>R32-'Table 9 POSB Assets'!U32-'Table 5 Build Assets'!W32</f>
        <v>0</v>
      </c>
      <c r="U32" s="1063">
        <f t="shared" si="1"/>
        <v>0</v>
      </c>
      <c r="V32" s="1032">
        <f t="shared" si="3"/>
        <v>0</v>
      </c>
    </row>
    <row r="33" spans="2:22" ht="15" customHeight="1">
      <c r="B33" s="1056" t="s">
        <v>338</v>
      </c>
      <c r="C33" s="1057">
        <f>'Table 5 Build Assets'!C33+'Table 9 POSB Assets'!C33</f>
        <v>0.19526499000000005</v>
      </c>
      <c r="D33" s="1058">
        <f>'Table 5 Build Assets'!D33+'Table 9 POSB Assets'!D33</f>
        <v>15.978676189999998</v>
      </c>
      <c r="E33" s="1058">
        <f>'Table 5 Build Assets'!E33+'Table 9 POSB Assets'!E33</f>
        <v>80.55936355</v>
      </c>
      <c r="F33" s="1058">
        <f>+'Table 5 Build Assets'!F33+'Table 9 POSB Assets'!F33</f>
        <v>202.1353143856833</v>
      </c>
      <c r="G33" s="1059">
        <f>'Table 5 Build Assets'!G33+'Table 9 POSB Assets'!G33</f>
        <v>5.2722730000000002</v>
      </c>
      <c r="H33" s="1059">
        <f>'Table 5 Build Assets'!H33+'Table 9 POSB Assets'!H33</f>
        <v>0</v>
      </c>
      <c r="I33" s="1059">
        <f>'Table 5 Build Assets'!I33+'Table 9 POSB Assets'!I33</f>
        <v>133.65641362223809</v>
      </c>
      <c r="J33" s="1060">
        <f>'Table 5 Build Assets'!J33+'Table 9 POSB Assets'!J33</f>
        <v>25.875589000000002</v>
      </c>
      <c r="K33" s="1060">
        <f>'Table 5 Build Assets'!K33+'Table 9 POSB Assets'!K33</f>
        <v>0</v>
      </c>
      <c r="L33" s="1060">
        <f>'Table 5 Build Assets'!L33+'Table 9 POSB Assets'!L33</f>
        <v>0</v>
      </c>
      <c r="M33" s="1059">
        <f>'Table 5 Build Assets'!M33</f>
        <v>353.33118632498417</v>
      </c>
      <c r="N33" s="1059">
        <f>'Table 5 Build Assets'!N33+'Table 9 POSB Assets'!M33</f>
        <v>0</v>
      </c>
      <c r="O33" s="1059">
        <f>'Table 5 Build Assets'!R33+'Table 9 POSB Assets'!N33+'Table 9 POSB Assets'!O33+'Table 9 POSB Assets'!P33+'Table 9 POSB Assets'!Q33</f>
        <v>479.04966329057135</v>
      </c>
      <c r="P33" s="1059">
        <f>'Table 5 Build Assets'!U33+'Table 9 POSB Assets'!S33</f>
        <v>123.24040105000037</v>
      </c>
      <c r="Q33" s="1059">
        <f>'Table 5 Build Assets'!V33+'Table 9 POSB Assets'!T33</f>
        <v>127.33345698999997</v>
      </c>
      <c r="R33" s="1061">
        <f t="shared" si="0"/>
        <v>1546.6276023934774</v>
      </c>
      <c r="T33" s="1062">
        <f>R33-'Table 9 POSB Assets'!U33-'Table 5 Build Assets'!W33</f>
        <v>0</v>
      </c>
      <c r="U33" s="1063">
        <f t="shared" si="1"/>
        <v>0</v>
      </c>
      <c r="V33" s="1032">
        <f t="shared" si="3"/>
        <v>0</v>
      </c>
    </row>
    <row r="34" spans="2:22" ht="15" customHeight="1">
      <c r="B34" s="1056" t="s">
        <v>339</v>
      </c>
      <c r="C34" s="1057">
        <f>'Table 5 Build Assets'!C34+'Table 9 POSB Assets'!C34</f>
        <v>0.16852098000000001</v>
      </c>
      <c r="D34" s="1058">
        <f>'Table 5 Build Assets'!D34+'Table 9 POSB Assets'!D34</f>
        <v>9.2291534300000002</v>
      </c>
      <c r="E34" s="1058">
        <f>'Table 5 Build Assets'!E34+'Table 9 POSB Assets'!E34</f>
        <v>74.269169835308006</v>
      </c>
      <c r="F34" s="1058">
        <f>+'Table 5 Build Assets'!F34+'Table 9 POSB Assets'!F34</f>
        <v>162.46915425137306</v>
      </c>
      <c r="G34" s="1059">
        <f>'Table 5 Build Assets'!G34+'Table 9 POSB Assets'!G34</f>
        <v>6.102409559999999</v>
      </c>
      <c r="H34" s="1059">
        <f>'Table 5 Build Assets'!H34+'Table 9 POSB Assets'!H34</f>
        <v>0</v>
      </c>
      <c r="I34" s="1059">
        <f>'Table 5 Build Assets'!I34+'Table 9 POSB Assets'!I34</f>
        <v>133.02706760392442</v>
      </c>
      <c r="J34" s="1060">
        <f>'Table 5 Build Assets'!J34+'Table 9 POSB Assets'!J34</f>
        <v>33.431617850000002</v>
      </c>
      <c r="K34" s="1060">
        <f>'Table 5 Build Assets'!K34+'Table 9 POSB Assets'!K34</f>
        <v>0</v>
      </c>
      <c r="L34" s="1060">
        <f>'Table 5 Build Assets'!L34+'Table 9 POSB Assets'!L34</f>
        <v>0</v>
      </c>
      <c r="M34" s="1059">
        <f>'Table 5 Build Assets'!M34</f>
        <v>346.78745830999992</v>
      </c>
      <c r="N34" s="1059">
        <f>'Table 5 Build Assets'!N34+'Table 9 POSB Assets'!M34</f>
        <v>0</v>
      </c>
      <c r="O34" s="1059">
        <f>'Table 5 Build Assets'!R34+'Table 9 POSB Assets'!N34+'Table 9 POSB Assets'!O34+'Table 9 POSB Assets'!P34+'Table 9 POSB Assets'!Q34</f>
        <v>505.48518314999995</v>
      </c>
      <c r="P34" s="1059">
        <f>'Table 5 Build Assets'!U34+'Table 9 POSB Assets'!S34</f>
        <v>123.47477888999998</v>
      </c>
      <c r="Q34" s="1059">
        <f>'Table 5 Build Assets'!V34+'Table 9 POSB Assets'!T34</f>
        <v>131.87199607000002</v>
      </c>
      <c r="R34" s="1061">
        <f t="shared" si="0"/>
        <v>1526.3165099306054</v>
      </c>
      <c r="T34" s="1062">
        <f>R34-'Table 9 POSB Assets'!U34-'Table 5 Build Assets'!W34</f>
        <v>0</v>
      </c>
      <c r="U34" s="1063">
        <f t="shared" si="1"/>
        <v>0</v>
      </c>
      <c r="V34" s="1032">
        <f t="shared" si="3"/>
        <v>0</v>
      </c>
    </row>
    <row r="35" spans="2:22" ht="15" customHeight="1">
      <c r="B35" s="1056" t="s">
        <v>340</v>
      </c>
      <c r="C35" s="1057">
        <f>'Table 5 Build Assets'!C35+'Table 9 POSB Assets'!C35</f>
        <v>0.22493439000000001</v>
      </c>
      <c r="D35" s="1058">
        <f>'Table 5 Build Assets'!D35+'Table 9 POSB Assets'!D35</f>
        <v>8.1534469200000004</v>
      </c>
      <c r="E35" s="1058">
        <f>'Table 5 Build Assets'!E35+'Table 9 POSB Assets'!E35</f>
        <v>100.89213549999999</v>
      </c>
      <c r="F35" s="1058">
        <f>+'Table 5 Build Assets'!F35+'Table 9 POSB Assets'!F35</f>
        <v>136.88596411517463</v>
      </c>
      <c r="G35" s="1059">
        <f>'Table 5 Build Assets'!G35+'Table 9 POSB Assets'!G35</f>
        <v>4.132765</v>
      </c>
      <c r="H35" s="1059">
        <f>'Table 5 Build Assets'!H35+'Table 9 POSB Assets'!H35</f>
        <v>0</v>
      </c>
      <c r="I35" s="1059">
        <f>'Table 5 Build Assets'!I35+'Table 9 POSB Assets'!I35</f>
        <v>122.5851778491861</v>
      </c>
      <c r="J35" s="1060">
        <f>'Table 5 Build Assets'!J35+'Table 9 POSB Assets'!J35</f>
        <v>32.303736999999998</v>
      </c>
      <c r="K35" s="1060">
        <f>'Table 5 Build Assets'!K35+'Table 9 POSB Assets'!K35</f>
        <v>0</v>
      </c>
      <c r="L35" s="1060">
        <f>'Table 5 Build Assets'!L35+'Table 9 POSB Assets'!L35</f>
        <v>0</v>
      </c>
      <c r="M35" s="1059">
        <f>'Table 5 Build Assets'!M35</f>
        <v>353.41814746692461</v>
      </c>
      <c r="N35" s="1059">
        <f>'Table 5 Build Assets'!N35+'Table 9 POSB Assets'!M35</f>
        <v>0</v>
      </c>
      <c r="O35" s="1059">
        <f>'Table 5 Build Assets'!R35+'Table 9 POSB Assets'!N35+'Table 9 POSB Assets'!O35+'Table 9 POSB Assets'!P35+'Table 9 POSB Assets'!Q35</f>
        <v>496.4931093264488</v>
      </c>
      <c r="P35" s="1059">
        <f>'Table 5 Build Assets'!U35+'Table 9 POSB Assets'!S35</f>
        <v>122.13599675</v>
      </c>
      <c r="Q35" s="1059">
        <f>'Table 5 Build Assets'!V35+'Table 9 POSB Assets'!T35</f>
        <v>131.28573410000001</v>
      </c>
      <c r="R35" s="1061">
        <f t="shared" si="0"/>
        <v>1508.5111484177341</v>
      </c>
      <c r="T35" s="1062">
        <f>R35-'Table 9 POSB Assets'!U35-'Table 5 Build Assets'!W35</f>
        <v>0</v>
      </c>
      <c r="U35" s="1063">
        <f t="shared" si="1"/>
        <v>0</v>
      </c>
      <c r="V35" s="1032">
        <f t="shared" si="3"/>
        <v>0</v>
      </c>
    </row>
    <row r="36" spans="2:22" ht="15" customHeight="1">
      <c r="B36" s="1056" t="s">
        <v>341</v>
      </c>
      <c r="C36" s="1057">
        <f>'Table 5 Build Assets'!C36+'Table 9 POSB Assets'!C36</f>
        <v>0.22944300000000001</v>
      </c>
      <c r="D36" s="1058">
        <f>'Table 5 Build Assets'!D36+'Table 9 POSB Assets'!D36</f>
        <v>4.6399745399999999</v>
      </c>
      <c r="E36" s="1058">
        <f>'Table 5 Build Assets'!E36+'Table 9 POSB Assets'!E36</f>
        <v>83.897112000000007</v>
      </c>
      <c r="F36" s="1058">
        <f>+'Table 5 Build Assets'!F36+'Table 9 POSB Assets'!F36</f>
        <v>166.23670342000003</v>
      </c>
      <c r="G36" s="1059">
        <f>'Table 5 Build Assets'!G36+'Table 9 POSB Assets'!G36</f>
        <v>3.9337429999999998</v>
      </c>
      <c r="H36" s="1059">
        <f>'Table 5 Build Assets'!H36+'Table 9 POSB Assets'!H36</f>
        <v>0</v>
      </c>
      <c r="I36" s="1059">
        <f>'Table 5 Build Assets'!I36+'Table 9 POSB Assets'!I36</f>
        <v>131.33595472000002</v>
      </c>
      <c r="J36" s="1060">
        <f>'Table 5 Build Assets'!J36+'Table 9 POSB Assets'!J36</f>
        <v>29.010404999999999</v>
      </c>
      <c r="K36" s="1060">
        <f>'Table 5 Build Assets'!K36+'Table 9 POSB Assets'!K36</f>
        <v>0</v>
      </c>
      <c r="L36" s="1060">
        <f>'Table 5 Build Assets'!L36+'Table 9 POSB Assets'!L36</f>
        <v>0</v>
      </c>
      <c r="M36" s="1059">
        <f>'Table 5 Build Assets'!M36</f>
        <v>354.36290431999998</v>
      </c>
      <c r="N36" s="1059">
        <f>'Table 5 Build Assets'!N36+'Table 9 POSB Assets'!M36</f>
        <v>0</v>
      </c>
      <c r="O36" s="1059">
        <f>'Table 5 Build Assets'!R36+'Table 9 POSB Assets'!N36+'Table 9 POSB Assets'!O36+'Table 9 POSB Assets'!P36+'Table 9 POSB Assets'!Q36</f>
        <v>494.64767273999996</v>
      </c>
      <c r="P36" s="1059">
        <f>'Table 5 Build Assets'!U36+'Table 9 POSB Assets'!S36</f>
        <v>121.89043031999998</v>
      </c>
      <c r="Q36" s="1059">
        <f>'Table 5 Build Assets'!V36+'Table 9 POSB Assets'!T36</f>
        <v>131.12533264999999</v>
      </c>
      <c r="R36" s="1061">
        <f t="shared" si="0"/>
        <v>1521.30967571</v>
      </c>
      <c r="T36" s="1062">
        <f>R36-'Table 9 POSB Assets'!U36-'Table 5 Build Assets'!W36</f>
        <v>0</v>
      </c>
      <c r="U36" s="1063">
        <f t="shared" si="1"/>
        <v>0</v>
      </c>
      <c r="V36" s="1032">
        <f t="shared" si="3"/>
        <v>0</v>
      </c>
    </row>
    <row r="37" spans="2:22" ht="15" customHeight="1">
      <c r="B37" s="1056" t="s">
        <v>342</v>
      </c>
      <c r="C37" s="1057">
        <f>'Table 5 Build Assets'!C37+'Table 9 POSB Assets'!C37</f>
        <v>0.14622599999999999</v>
      </c>
      <c r="D37" s="1058">
        <f>'Table 5 Build Assets'!D37+'Table 9 POSB Assets'!D37</f>
        <v>7.5095628899999998</v>
      </c>
      <c r="E37" s="1058">
        <f>'Table 5 Build Assets'!E37+'Table 9 POSB Assets'!E37</f>
        <v>63.630305</v>
      </c>
      <c r="F37" s="1058">
        <f>+'Table 5 Build Assets'!F37+'Table 9 POSB Assets'!F37</f>
        <v>191.25204495</v>
      </c>
      <c r="G37" s="1059">
        <f>'Table 5 Build Assets'!G37+'Table 9 POSB Assets'!G37</f>
        <v>7.2049890000000003</v>
      </c>
      <c r="H37" s="1059">
        <f>'Table 5 Build Assets'!H37+'Table 9 POSB Assets'!H37</f>
        <v>0</v>
      </c>
      <c r="I37" s="1059">
        <f>'Table 5 Build Assets'!I37+'Table 9 POSB Assets'!I37</f>
        <v>141.14161190999999</v>
      </c>
      <c r="J37" s="1060">
        <f>'Table 5 Build Assets'!J37+'Table 9 POSB Assets'!J37</f>
        <v>26.270807999999999</v>
      </c>
      <c r="K37" s="1060">
        <f>'Table 5 Build Assets'!K37+'Table 9 POSB Assets'!K37</f>
        <v>0</v>
      </c>
      <c r="L37" s="1060">
        <f>'Table 5 Build Assets'!L37+'Table 9 POSB Assets'!L37</f>
        <v>0</v>
      </c>
      <c r="M37" s="1059">
        <f>'Table 5 Build Assets'!M37</f>
        <v>356.94122479999999</v>
      </c>
      <c r="N37" s="1059">
        <f>'Table 5 Build Assets'!N37+'Table 9 POSB Assets'!M37</f>
        <v>0</v>
      </c>
      <c r="O37" s="1059">
        <f>'Table 5 Build Assets'!R37+'Table 9 POSB Assets'!N37+'Table 9 POSB Assets'!O37+'Table 9 POSB Assets'!P37+'Table 9 POSB Assets'!Q37</f>
        <v>499.31089786000001</v>
      </c>
      <c r="P37" s="1059">
        <f>'Table 5 Build Assets'!U37+'Table 9 POSB Assets'!S37</f>
        <v>125.04822951999999</v>
      </c>
      <c r="Q37" s="1059">
        <f>'Table 5 Build Assets'!V37+'Table 9 POSB Assets'!T37</f>
        <v>131.22029739000001</v>
      </c>
      <c r="R37" s="1061">
        <f t="shared" si="0"/>
        <v>1549.67619732</v>
      </c>
      <c r="T37" s="1062">
        <f>R37-'Table 9 POSB Assets'!U37-'Table 5 Build Assets'!W37</f>
        <v>0</v>
      </c>
      <c r="U37" s="1063">
        <f t="shared" si="1"/>
        <v>0</v>
      </c>
      <c r="V37" s="1032">
        <f t="shared" si="3"/>
        <v>0</v>
      </c>
    </row>
    <row r="38" spans="2:22" ht="15" customHeight="1">
      <c r="B38" s="1056" t="s">
        <v>343</v>
      </c>
      <c r="C38" s="1057">
        <f>'Table 5 Build Assets'!C38+'Table 9 POSB Assets'!C38</f>
        <v>0.32882</v>
      </c>
      <c r="D38" s="1058">
        <f>'Table 5 Build Assets'!D38+'Table 9 POSB Assets'!D38</f>
        <v>6.8044450999999997</v>
      </c>
      <c r="E38" s="1058">
        <f>'Table 5 Build Assets'!E38+'Table 9 POSB Assets'!E38</f>
        <v>74.716224580000002</v>
      </c>
      <c r="F38" s="1058">
        <f>+'Table 5 Build Assets'!F38+'Table 9 POSB Assets'!F38</f>
        <v>214.70051713999999</v>
      </c>
      <c r="G38" s="1059">
        <f>'Table 5 Build Assets'!G38+'Table 9 POSB Assets'!G38</f>
        <v>4.5724809999999998</v>
      </c>
      <c r="H38" s="1059">
        <f>'Table 5 Build Assets'!H38+'Table 9 POSB Assets'!H38</f>
        <v>0</v>
      </c>
      <c r="I38" s="1059">
        <f>'Table 5 Build Assets'!I38+'Table 9 POSB Assets'!I38</f>
        <v>150.6581529</v>
      </c>
      <c r="J38" s="1060">
        <f>'Table 5 Build Assets'!J38+'Table 9 POSB Assets'!J38</f>
        <v>22.345286999999999</v>
      </c>
      <c r="K38" s="1060">
        <f>'Table 5 Build Assets'!K38+'Table 9 POSB Assets'!K38</f>
        <v>0</v>
      </c>
      <c r="L38" s="1060">
        <f>'Table 5 Build Assets'!L38+'Table 9 POSB Assets'!L38</f>
        <v>0</v>
      </c>
      <c r="M38" s="1059">
        <f>'Table 5 Build Assets'!M38</f>
        <v>381.17409596000005</v>
      </c>
      <c r="N38" s="1059">
        <f>'Table 5 Build Assets'!N38+'Table 9 POSB Assets'!M38</f>
        <v>0</v>
      </c>
      <c r="O38" s="1059">
        <f>'Table 5 Build Assets'!R38+'Table 9 POSB Assets'!N38+'Table 9 POSB Assets'!O38+'Table 9 POSB Assets'!P38+'Table 9 POSB Assets'!Q38</f>
        <v>517.81191410999998</v>
      </c>
      <c r="P38" s="1059">
        <f>'Table 5 Build Assets'!U38+'Table 9 POSB Assets'!S38</f>
        <v>123.84128597</v>
      </c>
      <c r="Q38" s="1059">
        <f>'Table 5 Build Assets'!V38+'Table 9 POSB Assets'!T38</f>
        <v>132.43734558</v>
      </c>
      <c r="R38" s="1061">
        <f t="shared" si="0"/>
        <v>1629.39056934</v>
      </c>
      <c r="T38" s="1062">
        <f>R38-'Table 9 POSB Assets'!U38-'Table 5 Build Assets'!W38</f>
        <v>0</v>
      </c>
      <c r="U38" s="1063">
        <f t="shared" si="1"/>
        <v>0</v>
      </c>
      <c r="V38" s="1032">
        <f t="shared" si="3"/>
        <v>0</v>
      </c>
    </row>
    <row r="39" spans="2:22" ht="15" customHeight="1">
      <c r="B39" s="1056" t="s">
        <v>344</v>
      </c>
      <c r="C39" s="1057">
        <f>'Table 5 Build Assets'!C39+'Table 9 POSB Assets'!C39</f>
        <v>2.4968125799999998</v>
      </c>
      <c r="D39" s="1058">
        <f>'Table 5 Build Assets'!D39+'Table 9 POSB Assets'!D39</f>
        <v>8.625361869999999</v>
      </c>
      <c r="E39" s="1058">
        <f>'Table 5 Build Assets'!E39+'Table 9 POSB Assets'!E39</f>
        <v>110.49596018000001</v>
      </c>
      <c r="F39" s="1058">
        <f>+'Table 5 Build Assets'!F39+'Table 9 POSB Assets'!F39</f>
        <v>243.88261799999998</v>
      </c>
      <c r="G39" s="1059">
        <f>'Table 5 Build Assets'!G39+'Table 9 POSB Assets'!G39</f>
        <v>6.1724550000000002</v>
      </c>
      <c r="H39" s="1059">
        <f>'Table 5 Build Assets'!H39+'Table 9 POSB Assets'!H39</f>
        <v>0</v>
      </c>
      <c r="I39" s="1059">
        <f>'Table 5 Build Assets'!I39+'Table 9 POSB Assets'!I39</f>
        <v>137.05797346999998</v>
      </c>
      <c r="J39" s="1060">
        <f>'Table 5 Build Assets'!J39+'Table 9 POSB Assets'!J39</f>
        <v>20.996459999999999</v>
      </c>
      <c r="K39" s="1060">
        <f>'Table 5 Build Assets'!K39+'Table 9 POSB Assets'!K39</f>
        <v>0</v>
      </c>
      <c r="L39" s="1060">
        <f>'Table 5 Build Assets'!L39+'Table 9 POSB Assets'!L39</f>
        <v>0</v>
      </c>
      <c r="M39" s="1059">
        <f>'Table 5 Build Assets'!M39</f>
        <v>379.75031736</v>
      </c>
      <c r="N39" s="1059">
        <f>'Table 5 Build Assets'!N39+'Table 9 POSB Assets'!M39</f>
        <v>0</v>
      </c>
      <c r="O39" s="1059">
        <f>'Table 5 Build Assets'!R39+'Table 9 POSB Assets'!N39+'Table 9 POSB Assets'!O39+'Table 9 POSB Assets'!P39+'Table 9 POSB Assets'!Q39</f>
        <v>502.5129424700001</v>
      </c>
      <c r="P39" s="1059">
        <f>'Table 5 Build Assets'!U39+'Table 9 POSB Assets'!S39</f>
        <v>125.24595554000001</v>
      </c>
      <c r="Q39" s="1059">
        <f>'Table 5 Build Assets'!V39+'Table 9 POSB Assets'!T39</f>
        <v>132.19680298</v>
      </c>
      <c r="R39" s="1061">
        <f t="shared" si="0"/>
        <v>1669.4336594500001</v>
      </c>
      <c r="T39" s="1062">
        <f>R39-'Table 9 POSB Assets'!U39-'Table 5 Build Assets'!W39</f>
        <v>0</v>
      </c>
      <c r="U39" s="1063">
        <f t="shared" si="1"/>
        <v>0</v>
      </c>
      <c r="V39" s="1032">
        <f t="shared" si="3"/>
        <v>0</v>
      </c>
    </row>
    <row r="40" spans="2:22" ht="15" customHeight="1">
      <c r="B40" s="1059"/>
      <c r="C40" s="1057"/>
      <c r="D40" s="1058"/>
      <c r="E40" s="1058"/>
      <c r="F40" s="1058"/>
      <c r="G40" s="1059"/>
      <c r="H40" s="1059"/>
      <c r="I40" s="1059"/>
      <c r="J40" s="1060"/>
      <c r="K40" s="1060"/>
      <c r="L40" s="1060"/>
      <c r="M40" s="1059"/>
      <c r="N40" s="1059"/>
      <c r="O40" s="1059"/>
      <c r="P40" s="1059"/>
      <c r="Q40" s="1059"/>
      <c r="R40" s="1061"/>
      <c r="T40" s="1062"/>
      <c r="U40" s="1063"/>
    </row>
    <row r="41" spans="2:22" ht="15" customHeight="1">
      <c r="B41" s="1066">
        <v>2017</v>
      </c>
      <c r="C41" s="1138"/>
      <c r="D41" s="1059"/>
      <c r="E41" s="1059"/>
      <c r="F41" s="1059"/>
      <c r="G41" s="1059"/>
      <c r="H41" s="1059"/>
      <c r="I41" s="1059"/>
      <c r="J41" s="1059"/>
      <c r="K41" s="1059"/>
      <c r="L41" s="1059"/>
      <c r="M41" s="1059"/>
      <c r="N41" s="1059"/>
      <c r="O41" s="1059"/>
      <c r="P41" s="1059"/>
      <c r="Q41" s="1059"/>
      <c r="R41" s="1061"/>
    </row>
    <row r="42" spans="2:22" ht="15" customHeight="1">
      <c r="B42" s="1059" t="s">
        <v>345</v>
      </c>
      <c r="C42" s="1057">
        <f>'Table 5 Build Assets'!C42+'Table 9 POSB Assets'!C42</f>
        <v>2.4869919700000001</v>
      </c>
      <c r="D42" s="1058">
        <f>'Table 5 Build Assets'!D42+'Table 9 POSB Assets'!D42</f>
        <v>7.2242241199999997</v>
      </c>
      <c r="E42" s="1058">
        <f>'Table 5 Build Assets'!E42+'Table 9 POSB Assets'!E42</f>
        <v>130.48251797</v>
      </c>
      <c r="F42" s="1058">
        <f>+'Table 5 Build Assets'!F42+'Table 9 POSB Assets'!F42</f>
        <v>157.87461343000001</v>
      </c>
      <c r="G42" s="1059">
        <f>'Table 5 Build Assets'!G42+'Table 9 POSB Assets'!G42</f>
        <v>4.4584150000000005</v>
      </c>
      <c r="H42" s="1059">
        <f>'Table 5 Build Assets'!H42+'Table 9 POSB Assets'!H42</f>
        <v>0</v>
      </c>
      <c r="I42" s="1059">
        <f>'Table 5 Build Assets'!I42+'Table 9 POSB Assets'!I42</f>
        <v>169.38352011000001</v>
      </c>
      <c r="J42" s="1060">
        <f>'Table 5 Build Assets'!J42+'Table 9 POSB Assets'!J42</f>
        <v>20.800909000000001</v>
      </c>
      <c r="K42" s="1060">
        <f>'Table 5 Build Assets'!K42+'Table 9 POSB Assets'!K42</f>
        <v>0</v>
      </c>
      <c r="L42" s="1060">
        <f>'Table 5 Build Assets'!L42+'Table 9 POSB Assets'!L42</f>
        <v>0</v>
      </c>
      <c r="M42" s="1059">
        <f>'Table 5 Build Assets'!M42</f>
        <v>389.14858106999998</v>
      </c>
      <c r="N42" s="1059">
        <f>'Table 5 Build Assets'!N42+'Table 9 POSB Assets'!M42</f>
        <v>0</v>
      </c>
      <c r="O42" s="1059">
        <f>'Table 5 Build Assets'!R42+'Table 9 POSB Assets'!N42+'Table 9 POSB Assets'!O42+'Table 9 POSB Assets'!P42+'Table 9 POSB Assets'!Q42</f>
        <v>477.64085401999995</v>
      </c>
      <c r="P42" s="1059">
        <f>'Table 5 Build Assets'!U42+'Table 9 POSB Assets'!S42</f>
        <v>121.61931971</v>
      </c>
      <c r="Q42" s="1059">
        <f>'Table 5 Build Assets'!V42+'Table 9 POSB Assets'!T42</f>
        <v>132.11227880999999</v>
      </c>
      <c r="R42" s="1061">
        <f>SUM(C42:Q42)</f>
        <v>1613.2322252099998</v>
      </c>
      <c r="T42" s="1062">
        <f>R42-'Table 9 POSB Assets'!U42-'Table 5 Build Assets'!W42</f>
        <v>0</v>
      </c>
      <c r="U42" s="1063">
        <f>+T42/R42</f>
        <v>0</v>
      </c>
      <c r="V42" s="1032">
        <f>+T42*1000000</f>
        <v>0</v>
      </c>
    </row>
    <row r="43" spans="2:22" ht="15" customHeight="1">
      <c r="B43" s="1059" t="s">
        <v>334</v>
      </c>
      <c r="C43" s="1057">
        <f>'Table 5 Build Assets'!C43+'Table 9 POSB Assets'!C43</f>
        <v>3.0096092800000003</v>
      </c>
      <c r="D43" s="1058">
        <f>'Table 5 Build Assets'!D43+'Table 9 POSB Assets'!D43</f>
        <v>7.3982437399999998</v>
      </c>
      <c r="E43" s="1058">
        <f>'Table 5 Build Assets'!E43+'Table 9 POSB Assets'!E43</f>
        <v>90.363137999999992</v>
      </c>
      <c r="F43" s="1058">
        <f>+'Table 5 Build Assets'!F43+'Table 9 POSB Assets'!F43</f>
        <v>155.66854341000001</v>
      </c>
      <c r="G43" s="1059">
        <f>'Table 5 Build Assets'!G43+'Table 9 POSB Assets'!G43</f>
        <v>7.7147730000000001</v>
      </c>
      <c r="H43" s="1059">
        <f>'Table 5 Build Assets'!H43+'Table 9 POSB Assets'!H43</f>
        <v>0</v>
      </c>
      <c r="I43" s="1059">
        <f>'Table 5 Build Assets'!I43+'Table 9 POSB Assets'!I43</f>
        <v>211.25951699000001</v>
      </c>
      <c r="J43" s="1060">
        <f>'Table 5 Build Assets'!J43+'Table 9 POSB Assets'!J43</f>
        <v>20.105533999999999</v>
      </c>
      <c r="K43" s="1060">
        <f>'Table 5 Build Assets'!K43+'Table 9 POSB Assets'!K43</f>
        <v>0</v>
      </c>
      <c r="L43" s="1060">
        <f>'Table 5 Build Assets'!L43+'Table 9 POSB Assets'!L43</f>
        <v>0</v>
      </c>
      <c r="M43" s="1059">
        <f>'Table 5 Build Assets'!M43</f>
        <v>394.35552951</v>
      </c>
      <c r="N43" s="1059">
        <f>'Table 5 Build Assets'!N43+'Table 9 POSB Assets'!M43</f>
        <v>0</v>
      </c>
      <c r="O43" s="1059">
        <f>'Table 5 Build Assets'!R43+'Table 9 POSB Assets'!N43+'Table 9 POSB Assets'!O43+'Table 9 POSB Assets'!P43+'Table 9 POSB Assets'!Q43</f>
        <v>477.8534817800001</v>
      </c>
      <c r="P43" s="1059">
        <f>'Table 5 Build Assets'!U43+'Table 9 POSB Assets'!S43</f>
        <v>124.09802815</v>
      </c>
      <c r="Q43" s="1059">
        <f>'Table 5 Build Assets'!V43+'Table 9 POSB Assets'!T43</f>
        <v>132.01081585</v>
      </c>
      <c r="R43" s="1061">
        <f>SUM(C43:Q43)</f>
        <v>1623.8372137099998</v>
      </c>
      <c r="T43" s="1062">
        <f>R43-'Table 9 POSB Assets'!U43-'Table 5 Build Assets'!W43</f>
        <v>0</v>
      </c>
      <c r="U43" s="1063">
        <f>+T43/R43</f>
        <v>0</v>
      </c>
      <c r="V43" s="1032">
        <f>+T43*1000000</f>
        <v>0</v>
      </c>
    </row>
    <row r="44" spans="2:22" ht="15" customHeight="1">
      <c r="B44" s="1059" t="s">
        <v>335</v>
      </c>
      <c r="C44" s="1059"/>
      <c r="D44" s="1059"/>
      <c r="E44" s="1059"/>
      <c r="F44" s="1059"/>
      <c r="G44" s="1059"/>
      <c r="H44" s="1059"/>
      <c r="I44" s="1059"/>
      <c r="J44" s="1059"/>
      <c r="K44" s="1059"/>
      <c r="L44" s="1059"/>
      <c r="M44" s="1059"/>
      <c r="N44" s="1059"/>
      <c r="O44" s="1059"/>
      <c r="P44" s="1059"/>
      <c r="Q44" s="1059"/>
      <c r="R44" s="1061"/>
    </row>
    <row r="45" spans="2:22" ht="15" customHeight="1">
      <c r="B45" s="1064" t="s">
        <v>1174</v>
      </c>
      <c r="C45" s="1064"/>
      <c r="D45" s="1059"/>
      <c r="E45" s="1059"/>
      <c r="F45" s="1059"/>
      <c r="G45" s="1059"/>
      <c r="H45" s="1059"/>
      <c r="I45" s="1059"/>
      <c r="J45" s="1059"/>
      <c r="K45" s="1059"/>
      <c r="L45" s="1059"/>
      <c r="M45" s="1059"/>
      <c r="N45" s="1059"/>
      <c r="O45" s="1059"/>
      <c r="P45" s="1059"/>
      <c r="Q45" s="1059"/>
      <c r="R45" s="1061"/>
    </row>
    <row r="46" spans="2:22" ht="15" customHeight="1">
      <c r="B46" s="1059" t="s">
        <v>337</v>
      </c>
      <c r="C46" s="1059"/>
      <c r="D46" s="1059"/>
      <c r="E46" s="1059"/>
      <c r="F46" s="1059"/>
      <c r="G46" s="1059"/>
      <c r="H46" s="1059"/>
      <c r="I46" s="1059"/>
      <c r="J46" s="1059"/>
      <c r="K46" s="1059"/>
      <c r="L46" s="1059"/>
      <c r="M46" s="1059"/>
      <c r="N46" s="1059"/>
      <c r="O46" s="1059"/>
      <c r="P46" s="1059"/>
      <c r="Q46" s="1059"/>
      <c r="R46" s="1061"/>
    </row>
    <row r="47" spans="2:22" ht="15" customHeight="1">
      <c r="B47" s="1059" t="s">
        <v>338</v>
      </c>
      <c r="C47" s="1059"/>
      <c r="D47" s="1059"/>
      <c r="E47" s="1059"/>
      <c r="F47" s="1059"/>
      <c r="G47" s="1059"/>
      <c r="H47" s="1059"/>
      <c r="I47" s="1059"/>
      <c r="J47" s="1059"/>
      <c r="K47" s="1059"/>
      <c r="L47" s="1059"/>
      <c r="M47" s="1059"/>
      <c r="N47" s="1059"/>
      <c r="O47" s="1059"/>
      <c r="P47" s="1059"/>
      <c r="Q47" s="1059"/>
      <c r="R47" s="1061"/>
    </row>
    <row r="48" spans="2:22" ht="15" customHeight="1">
      <c r="B48" s="1059" t="s">
        <v>339</v>
      </c>
      <c r="C48" s="1059"/>
      <c r="D48" s="1059"/>
      <c r="E48" s="1059"/>
      <c r="F48" s="1059"/>
      <c r="G48" s="1059"/>
      <c r="H48" s="1059"/>
      <c r="I48" s="1059"/>
      <c r="J48" s="1059"/>
      <c r="K48" s="1059"/>
      <c r="L48" s="1059"/>
      <c r="M48" s="1059"/>
      <c r="N48" s="1059"/>
      <c r="O48" s="1059"/>
      <c r="P48" s="1059"/>
      <c r="Q48" s="1059"/>
      <c r="R48" s="1061"/>
    </row>
    <row r="49" spans="2:22" ht="15" customHeight="1">
      <c r="B49" s="1059" t="s">
        <v>340</v>
      </c>
      <c r="C49" s="1059"/>
      <c r="D49" s="1059"/>
      <c r="E49" s="1059"/>
      <c r="F49" s="1059"/>
      <c r="G49" s="1059"/>
      <c r="H49" s="1059"/>
      <c r="I49" s="1059"/>
      <c r="J49" s="1059"/>
      <c r="K49" s="1059"/>
      <c r="L49" s="1059"/>
      <c r="M49" s="1059"/>
      <c r="N49" s="1059"/>
      <c r="O49" s="1059"/>
      <c r="P49" s="1059"/>
      <c r="Q49" s="1059"/>
      <c r="R49" s="1061"/>
    </row>
    <row r="50" spans="2:22" ht="15" customHeight="1" thickBot="1">
      <c r="B50" s="1067" t="s">
        <v>1178</v>
      </c>
      <c r="C50" s="1067"/>
      <c r="D50" s="1068"/>
      <c r="E50" s="1068"/>
      <c r="F50" s="1068"/>
      <c r="G50" s="1068"/>
      <c r="H50" s="1068"/>
      <c r="I50" s="1068"/>
      <c r="J50" s="1068"/>
      <c r="K50" s="1068"/>
      <c r="L50" s="1068"/>
      <c r="M50" s="1069"/>
      <c r="N50" s="1068"/>
      <c r="O50" s="1069"/>
      <c r="P50" s="1068"/>
      <c r="Q50" s="1068"/>
      <c r="R50" s="1070"/>
    </row>
    <row r="51" spans="2:22" ht="10.8" thickTop="1"/>
    <row r="52" spans="2:22">
      <c r="B52" s="1071"/>
      <c r="C52" s="1071"/>
      <c r="D52" s="1071"/>
      <c r="E52" s="1071"/>
      <c r="F52" s="1071"/>
      <c r="G52" s="1071"/>
      <c r="H52" s="1071"/>
      <c r="I52" s="1071"/>
      <c r="J52" s="1071"/>
      <c r="K52" s="1071"/>
      <c r="L52" s="1071"/>
      <c r="M52" s="1071"/>
      <c r="N52" s="1071"/>
      <c r="O52" s="1071"/>
      <c r="P52" s="1071"/>
      <c r="Q52" s="1071"/>
      <c r="R52" s="1071"/>
      <c r="S52" s="1072"/>
    </row>
    <row r="53" spans="2:22" ht="16.8">
      <c r="B53" s="965" t="s">
        <v>1360</v>
      </c>
      <c r="C53" s="928"/>
      <c r="D53" s="928"/>
      <c r="E53" s="1071"/>
      <c r="F53" s="1071"/>
      <c r="G53" s="1071"/>
      <c r="H53" s="1071"/>
      <c r="I53" s="1071"/>
      <c r="J53" s="1071"/>
      <c r="K53" s="1071"/>
      <c r="L53" s="1071"/>
      <c r="M53" s="1071"/>
      <c r="N53" s="1071"/>
      <c r="O53" s="1071"/>
      <c r="P53" s="1071"/>
      <c r="Q53" s="1071"/>
      <c r="R53" s="1071"/>
      <c r="S53" s="1072"/>
    </row>
    <row r="54" spans="2:22" ht="15.6">
      <c r="B54" s="239" t="s">
        <v>998</v>
      </c>
    </row>
    <row r="55" spans="2:22" s="923" customFormat="1" ht="13.8">
      <c r="B55" s="1073">
        <v>1</v>
      </c>
      <c r="T55" s="1074"/>
      <c r="U55" s="1075"/>
      <c r="V55" s="1076"/>
    </row>
    <row r="56" spans="2:22" s="923" customFormat="1" ht="13.8">
      <c r="B56" s="1073">
        <v>2</v>
      </c>
      <c r="T56" s="1074"/>
      <c r="U56" s="1075"/>
      <c r="V56" s="1076"/>
    </row>
    <row r="57" spans="2:22" s="923" customFormat="1" ht="13.8">
      <c r="B57" s="1073">
        <v>3</v>
      </c>
      <c r="T57" s="1074"/>
      <c r="U57" s="1075"/>
      <c r="V57" s="1076"/>
    </row>
    <row r="58" spans="2:22" s="923" customFormat="1" ht="13.8">
      <c r="T58" s="1074"/>
      <c r="U58" s="1075"/>
      <c r="V58" s="1076"/>
    </row>
    <row r="59" spans="2:22" s="923" customFormat="1" ht="13.8">
      <c r="T59" s="1074"/>
      <c r="U59" s="1075"/>
      <c r="V59" s="1076"/>
    </row>
    <row r="60" spans="2:22" s="923" customFormat="1" ht="13.8">
      <c r="T60" s="1074"/>
      <c r="U60" s="1075"/>
      <c r="V60" s="1076"/>
    </row>
    <row r="61" spans="2:22" s="923" customFormat="1" ht="13.8">
      <c r="T61" s="1074"/>
      <c r="U61" s="1075"/>
      <c r="V61" s="1076"/>
    </row>
    <row r="62" spans="2:22" s="923" customFormat="1" ht="13.8">
      <c r="T62" s="1074"/>
      <c r="U62" s="1075"/>
      <c r="V62" s="1076"/>
    </row>
    <row r="63" spans="2:22" s="923" customFormat="1" ht="13.8">
      <c r="T63" s="1074"/>
      <c r="U63" s="1075"/>
      <c r="V63" s="1076"/>
    </row>
    <row r="64" spans="2:22" s="923" customFormat="1" ht="13.8">
      <c r="T64" s="1074"/>
      <c r="U64" s="1075"/>
      <c r="V64" s="1076"/>
    </row>
    <row r="65" spans="20:22" s="923" customFormat="1" ht="13.8">
      <c r="T65" s="1074"/>
      <c r="U65" s="1075"/>
      <c r="V65" s="1076"/>
    </row>
    <row r="66" spans="20:22" s="923" customFormat="1" ht="13.8">
      <c r="T66" s="1074"/>
      <c r="U66" s="1075"/>
      <c r="V66" s="1076"/>
    </row>
    <row r="67" spans="20:22" s="923" customFormat="1" ht="13.8">
      <c r="T67" s="1074"/>
      <c r="U67" s="1075"/>
      <c r="V67" s="1076"/>
    </row>
    <row r="68" spans="20:22" s="923" customFormat="1" ht="13.8">
      <c r="T68" s="1074"/>
      <c r="U68" s="1075"/>
      <c r="V68" s="1076"/>
    </row>
    <row r="69" spans="20:22" s="923" customFormat="1" ht="13.8">
      <c r="T69" s="1074"/>
      <c r="U69" s="1075"/>
      <c r="V69" s="1076"/>
    </row>
    <row r="70" spans="20:22" s="923" customFormat="1" ht="13.8">
      <c r="T70" s="1074"/>
      <c r="U70" s="1075"/>
      <c r="V70" s="1076"/>
    </row>
    <row r="71" spans="20:22" s="923" customFormat="1" ht="13.8">
      <c r="T71" s="1074"/>
      <c r="U71" s="1075"/>
      <c r="V71" s="1076"/>
    </row>
    <row r="72" spans="20:22" s="923" customFormat="1" ht="13.8">
      <c r="T72" s="1074"/>
      <c r="U72" s="1075"/>
      <c r="V72" s="1076"/>
    </row>
    <row r="73" spans="20:22" s="923" customFormat="1" ht="13.8">
      <c r="T73" s="1074"/>
      <c r="U73" s="1075"/>
      <c r="V73" s="1076"/>
    </row>
    <row r="74" spans="20:22" s="923" customFormat="1" ht="13.8">
      <c r="T74" s="1074"/>
      <c r="U74" s="1075"/>
      <c r="V74" s="1076"/>
    </row>
    <row r="75" spans="20:22" s="923" customFormat="1" ht="13.8">
      <c r="T75" s="1074"/>
      <c r="U75" s="1075"/>
      <c r="V75" s="1076"/>
    </row>
    <row r="76" spans="20:22" s="923" customFormat="1" ht="13.8">
      <c r="T76" s="1074"/>
      <c r="U76" s="1075"/>
      <c r="V76" s="1076"/>
    </row>
    <row r="77" spans="20:22" s="923" customFormat="1" ht="13.8">
      <c r="T77" s="1074"/>
      <c r="U77" s="1075"/>
      <c r="V77" s="1076"/>
    </row>
    <row r="78" spans="20:22" s="923" customFormat="1" ht="13.8">
      <c r="T78" s="1074"/>
      <c r="U78" s="1075"/>
      <c r="V78" s="1076"/>
    </row>
    <row r="79" spans="20:22" s="923" customFormat="1" ht="13.8">
      <c r="T79" s="1074"/>
      <c r="U79" s="1075"/>
      <c r="V79" s="1076"/>
    </row>
    <row r="80" spans="20:22" s="923" customFormat="1" ht="13.8">
      <c r="T80" s="1074"/>
      <c r="U80" s="1075"/>
      <c r="V80" s="1076"/>
    </row>
    <row r="81" spans="20:22" s="923" customFormat="1" ht="13.8">
      <c r="T81" s="1074"/>
      <c r="U81" s="1075"/>
      <c r="V81" s="1076"/>
    </row>
    <row r="82" spans="20:22" s="923" customFormat="1" ht="13.8">
      <c r="T82" s="1074"/>
      <c r="U82" s="1075"/>
      <c r="V82" s="1076"/>
    </row>
    <row r="83" spans="20:22" s="923" customFormat="1" ht="13.8">
      <c r="T83" s="1074"/>
      <c r="U83" s="1075"/>
      <c r="V83" s="1076"/>
    </row>
    <row r="84" spans="20:22" s="923" customFormat="1" ht="13.8">
      <c r="T84" s="1074"/>
      <c r="U84" s="1075"/>
      <c r="V84" s="1076"/>
    </row>
    <row r="85" spans="20:22" s="923" customFormat="1" ht="13.8">
      <c r="T85" s="1074"/>
      <c r="U85" s="1075"/>
      <c r="V85" s="1076"/>
    </row>
    <row r="86" spans="20:22" s="923" customFormat="1" ht="13.8">
      <c r="T86" s="1074"/>
      <c r="U86" s="1075"/>
      <c r="V86" s="1076"/>
    </row>
    <row r="87" spans="20:22" s="923" customFormat="1" ht="13.8">
      <c r="T87" s="1074"/>
      <c r="U87" s="1075"/>
      <c r="V87" s="1076"/>
    </row>
    <row r="88" spans="20:22" s="923" customFormat="1" ht="13.8">
      <c r="T88" s="1074"/>
      <c r="U88" s="1075"/>
      <c r="V88" s="1076"/>
    </row>
    <row r="89" spans="20:22" s="923" customFormat="1" ht="13.8">
      <c r="T89" s="1074"/>
      <c r="U89" s="1075"/>
      <c r="V89" s="1076"/>
    </row>
    <row r="90" spans="20:22" s="923" customFormat="1" ht="13.8">
      <c r="T90" s="1074"/>
      <c r="U90" s="1075"/>
      <c r="V90" s="1076"/>
    </row>
    <row r="91" spans="20:22" s="923" customFormat="1" ht="13.8">
      <c r="T91" s="1074"/>
      <c r="U91" s="1075"/>
      <c r="V91" s="1076"/>
    </row>
    <row r="92" spans="20:22" s="923" customFormat="1" ht="13.8">
      <c r="T92" s="1074"/>
      <c r="U92" s="1075"/>
      <c r="V92" s="1076"/>
    </row>
    <row r="93" spans="20:22" s="923" customFormat="1" ht="13.8">
      <c r="T93" s="1074"/>
      <c r="U93" s="1075"/>
      <c r="V93" s="1076"/>
    </row>
    <row r="94" spans="20:22" s="923" customFormat="1" ht="13.8">
      <c r="T94" s="1074"/>
      <c r="U94" s="1075"/>
      <c r="V94" s="1076"/>
    </row>
    <row r="95" spans="20:22" s="923" customFormat="1" ht="13.8">
      <c r="T95" s="1074"/>
      <c r="U95" s="1075"/>
      <c r="V95" s="1076"/>
    </row>
    <row r="96" spans="20:22" s="923" customFormat="1" ht="13.8">
      <c r="T96" s="1074"/>
      <c r="U96" s="1075"/>
      <c r="V96" s="1076"/>
    </row>
    <row r="97" spans="20:22" s="923" customFormat="1" ht="13.8">
      <c r="T97" s="1074"/>
      <c r="U97" s="1075"/>
      <c r="V97" s="1076"/>
    </row>
    <row r="98" spans="20:22" s="923" customFormat="1" ht="13.8">
      <c r="T98" s="1074"/>
      <c r="U98" s="1075"/>
      <c r="V98" s="1076"/>
    </row>
    <row r="99" spans="20:22" s="923" customFormat="1" ht="13.8">
      <c r="T99" s="1074"/>
      <c r="U99" s="1075"/>
      <c r="V99" s="1076"/>
    </row>
    <row r="100" spans="20:22" s="923" customFormat="1" ht="13.8">
      <c r="T100" s="1074"/>
      <c r="U100" s="1075"/>
      <c r="V100" s="1076"/>
    </row>
    <row r="101" spans="20:22" s="923" customFormat="1" ht="13.8">
      <c r="T101" s="1074"/>
      <c r="U101" s="1075"/>
      <c r="V101" s="1076"/>
    </row>
    <row r="102" spans="20:22" s="923" customFormat="1" ht="13.8">
      <c r="T102" s="1074"/>
      <c r="U102" s="1075"/>
      <c r="V102" s="1076"/>
    </row>
    <row r="103" spans="20:22" s="923" customFormat="1" ht="13.8">
      <c r="T103" s="1074"/>
      <c r="U103" s="1075"/>
      <c r="V103" s="1076"/>
    </row>
    <row r="104" spans="20:22" s="923" customFormat="1" ht="13.8">
      <c r="T104" s="1074"/>
      <c r="U104" s="1075"/>
      <c r="V104" s="1076"/>
    </row>
    <row r="105" spans="20:22" s="923" customFormat="1" ht="13.8">
      <c r="T105" s="1074"/>
      <c r="U105" s="1075"/>
      <c r="V105" s="1076"/>
    </row>
    <row r="106" spans="20:22" s="923" customFormat="1" ht="13.8">
      <c r="T106" s="1074"/>
      <c r="U106" s="1075"/>
      <c r="V106" s="1076"/>
    </row>
    <row r="107" spans="20:22" s="923" customFormat="1" ht="13.8">
      <c r="T107" s="1074"/>
      <c r="U107" s="1075"/>
      <c r="V107" s="1076"/>
    </row>
    <row r="108" spans="20:22" s="923" customFormat="1" ht="13.8">
      <c r="T108" s="1074"/>
      <c r="U108" s="1075"/>
      <c r="V108" s="1076"/>
    </row>
    <row r="109" spans="20:22" s="923" customFormat="1" ht="13.8">
      <c r="T109" s="1074"/>
      <c r="U109" s="1075"/>
      <c r="V109" s="1076"/>
    </row>
    <row r="110" spans="20:22" s="923" customFormat="1" ht="13.8">
      <c r="T110" s="1074"/>
      <c r="U110" s="1075"/>
      <c r="V110" s="1076"/>
    </row>
    <row r="111" spans="20:22" s="923" customFormat="1" ht="13.8">
      <c r="T111" s="1074"/>
      <c r="U111" s="1075"/>
      <c r="V111" s="1076"/>
    </row>
    <row r="112" spans="20:22" s="923" customFormat="1" ht="13.8">
      <c r="T112" s="1074"/>
      <c r="U112" s="1075"/>
      <c r="V112" s="1076"/>
    </row>
    <row r="113" spans="20:22" s="923" customFormat="1" ht="13.8">
      <c r="T113" s="1074"/>
      <c r="U113" s="1075"/>
      <c r="V113" s="1076"/>
    </row>
    <row r="114" spans="20:22" s="923" customFormat="1" ht="13.8">
      <c r="T114" s="1074"/>
      <c r="U114" s="1075"/>
      <c r="V114" s="1076"/>
    </row>
    <row r="115" spans="20:22" s="923" customFormat="1" ht="13.8">
      <c r="T115" s="1074"/>
      <c r="U115" s="1075"/>
      <c r="V115" s="1076"/>
    </row>
    <row r="116" spans="20:22" s="923" customFormat="1" ht="13.8">
      <c r="T116" s="1074"/>
      <c r="U116" s="1075"/>
      <c r="V116" s="1076"/>
    </row>
    <row r="117" spans="20:22" s="923" customFormat="1" ht="13.8">
      <c r="T117" s="1074"/>
      <c r="U117" s="1075"/>
      <c r="V117" s="1076"/>
    </row>
    <row r="118" spans="20:22" s="923" customFormat="1" ht="13.8">
      <c r="T118" s="1074"/>
      <c r="U118" s="1075"/>
      <c r="V118" s="1076"/>
    </row>
    <row r="119" spans="20:22" s="923" customFormat="1" ht="13.8">
      <c r="T119" s="1074"/>
      <c r="U119" s="1075"/>
      <c r="V119" s="1076"/>
    </row>
    <row r="120" spans="20:22" s="923" customFormat="1" ht="13.8">
      <c r="T120" s="1074"/>
      <c r="U120" s="1075"/>
      <c r="V120" s="1076"/>
    </row>
    <row r="121" spans="20:22" s="923" customFormat="1" ht="13.8">
      <c r="T121" s="1074"/>
      <c r="U121" s="1075"/>
      <c r="V121" s="1076"/>
    </row>
    <row r="122" spans="20:22" s="923" customFormat="1" ht="13.8">
      <c r="T122" s="1074"/>
      <c r="U122" s="1075"/>
      <c r="V122" s="1076"/>
    </row>
    <row r="123" spans="20:22" s="923" customFormat="1" ht="13.8">
      <c r="T123" s="1074"/>
      <c r="U123" s="1075"/>
      <c r="V123" s="1076"/>
    </row>
    <row r="124" spans="20:22" s="923" customFormat="1" ht="13.8">
      <c r="T124" s="1074"/>
      <c r="U124" s="1075"/>
      <c r="V124" s="1076"/>
    </row>
    <row r="125" spans="20:22" s="923" customFormat="1" ht="13.8">
      <c r="T125" s="1074"/>
      <c r="U125" s="1075"/>
      <c r="V125" s="1076"/>
    </row>
    <row r="126" spans="20:22" s="923" customFormat="1" ht="13.8">
      <c r="T126" s="1074"/>
      <c r="U126" s="1075"/>
      <c r="V126" s="1076"/>
    </row>
    <row r="127" spans="20:22" s="923" customFormat="1" ht="13.8">
      <c r="T127" s="1074"/>
      <c r="U127" s="1075"/>
      <c r="V127" s="1076"/>
    </row>
    <row r="128" spans="20:22" s="923" customFormat="1" ht="13.8">
      <c r="T128" s="1074"/>
      <c r="U128" s="1075"/>
      <c r="V128" s="1076"/>
    </row>
    <row r="129" spans="20:22" s="923" customFormat="1" ht="13.8">
      <c r="T129" s="1074"/>
      <c r="U129" s="1075"/>
      <c r="V129" s="1076"/>
    </row>
    <row r="130" spans="20:22" s="923" customFormat="1" ht="13.8">
      <c r="T130" s="1074"/>
      <c r="U130" s="1075"/>
      <c r="V130" s="1076"/>
    </row>
    <row r="131" spans="20:22" s="923" customFormat="1" ht="13.8">
      <c r="T131" s="1074"/>
      <c r="U131" s="1075"/>
      <c r="V131" s="1076"/>
    </row>
    <row r="132" spans="20:22" s="923" customFormat="1" ht="13.8">
      <c r="T132" s="1074"/>
      <c r="U132" s="1075"/>
      <c r="V132" s="1076"/>
    </row>
    <row r="133" spans="20:22" s="923" customFormat="1" ht="13.8">
      <c r="T133" s="1074"/>
      <c r="U133" s="1075"/>
      <c r="V133" s="1076"/>
    </row>
    <row r="134" spans="20:22" s="923" customFormat="1" ht="13.8">
      <c r="T134" s="1074"/>
      <c r="U134" s="1075"/>
      <c r="V134" s="1076"/>
    </row>
    <row r="135" spans="20:22" s="923" customFormat="1" ht="13.8">
      <c r="T135" s="1074"/>
      <c r="U135" s="1075"/>
      <c r="V135" s="1076"/>
    </row>
    <row r="136" spans="20:22" s="923" customFormat="1" ht="13.8">
      <c r="T136" s="1074"/>
      <c r="U136" s="1075"/>
      <c r="V136" s="1076"/>
    </row>
    <row r="137" spans="20:22" s="923" customFormat="1" ht="13.8">
      <c r="T137" s="1074"/>
      <c r="U137" s="1075"/>
      <c r="V137" s="1076"/>
    </row>
    <row r="138" spans="20:22" s="923" customFormat="1" ht="13.8">
      <c r="T138" s="1074"/>
      <c r="U138" s="1075"/>
      <c r="V138" s="1076"/>
    </row>
    <row r="139" spans="20:22" s="923" customFormat="1" ht="13.8">
      <c r="T139" s="1074"/>
      <c r="U139" s="1075"/>
      <c r="V139" s="1076"/>
    </row>
    <row r="140" spans="20:22" s="923" customFormat="1" ht="13.8">
      <c r="T140" s="1074"/>
      <c r="U140" s="1075"/>
      <c r="V140" s="1076"/>
    </row>
    <row r="141" spans="20:22" s="923" customFormat="1" ht="13.8">
      <c r="T141" s="1074"/>
      <c r="U141" s="1075"/>
      <c r="V141" s="1076"/>
    </row>
    <row r="142" spans="20:22" s="923" customFormat="1" ht="13.8">
      <c r="T142" s="1074"/>
      <c r="U142" s="1075"/>
      <c r="V142" s="1076"/>
    </row>
    <row r="143" spans="20:22" s="923" customFormat="1" ht="13.8">
      <c r="T143" s="1074"/>
      <c r="U143" s="1075"/>
      <c r="V143" s="1076"/>
    </row>
    <row r="144" spans="20:22" s="923" customFormat="1" ht="13.8">
      <c r="T144" s="1074"/>
      <c r="U144" s="1075"/>
      <c r="V144" s="1076"/>
    </row>
    <row r="145" spans="20:22" s="923" customFormat="1" ht="13.8">
      <c r="T145" s="1074"/>
      <c r="U145" s="1075"/>
      <c r="V145" s="1076"/>
    </row>
    <row r="146" spans="20:22" s="923" customFormat="1" ht="13.8">
      <c r="T146" s="1074"/>
      <c r="U146" s="1075"/>
      <c r="V146" s="1076"/>
    </row>
    <row r="147" spans="20:22" s="923" customFormat="1" ht="13.8">
      <c r="T147" s="1074"/>
      <c r="U147" s="1075"/>
      <c r="V147" s="1076"/>
    </row>
    <row r="148" spans="20:22" s="923" customFormat="1" ht="13.8">
      <c r="T148" s="1074"/>
      <c r="U148" s="1075"/>
      <c r="V148" s="1076"/>
    </row>
    <row r="149" spans="20:22" s="923" customFormat="1" ht="13.8">
      <c r="T149" s="1074"/>
      <c r="U149" s="1075"/>
      <c r="V149" s="1076"/>
    </row>
    <row r="150" spans="20:22" s="923" customFormat="1" ht="13.8">
      <c r="T150" s="1074"/>
      <c r="U150" s="1075"/>
      <c r="V150" s="1076"/>
    </row>
    <row r="151" spans="20:22" s="923" customFormat="1" ht="13.8">
      <c r="T151" s="1074"/>
      <c r="U151" s="1075"/>
      <c r="V151" s="1076"/>
    </row>
    <row r="152" spans="20:22" s="923" customFormat="1" ht="13.8">
      <c r="T152" s="1074"/>
      <c r="U152" s="1075"/>
      <c r="V152" s="1076"/>
    </row>
    <row r="153" spans="20:22" s="923" customFormat="1" ht="13.8">
      <c r="T153" s="1074"/>
      <c r="U153" s="1075"/>
      <c r="V153" s="1076"/>
    </row>
    <row r="154" spans="20:22" s="923" customFormat="1" ht="13.8">
      <c r="T154" s="1074"/>
      <c r="U154" s="1075"/>
      <c r="V154" s="1076"/>
    </row>
    <row r="155" spans="20:22" s="923" customFormat="1" ht="13.8">
      <c r="T155" s="1074"/>
      <c r="U155" s="1075"/>
      <c r="V155" s="1076"/>
    </row>
    <row r="156" spans="20:22" s="923" customFormat="1" ht="13.8">
      <c r="T156" s="1074"/>
      <c r="U156" s="1075"/>
      <c r="V156" s="1076"/>
    </row>
    <row r="157" spans="20:22" s="923" customFormat="1" ht="13.8">
      <c r="T157" s="1074"/>
      <c r="U157" s="1075"/>
      <c r="V157" s="1076"/>
    </row>
    <row r="158" spans="20:22" s="923" customFormat="1" ht="13.8">
      <c r="T158" s="1074"/>
      <c r="U158" s="1075"/>
      <c r="V158" s="1076"/>
    </row>
    <row r="159" spans="20:22" s="923" customFormat="1" ht="13.8">
      <c r="T159" s="1074"/>
      <c r="U159" s="1075"/>
      <c r="V159" s="1076"/>
    </row>
    <row r="160" spans="20:22" s="923" customFormat="1" ht="13.8">
      <c r="T160" s="1074"/>
      <c r="U160" s="1075"/>
      <c r="V160" s="1076"/>
    </row>
    <row r="161" spans="20:22" s="923" customFormat="1" ht="13.8">
      <c r="T161" s="1074"/>
      <c r="U161" s="1075"/>
      <c r="V161" s="1076"/>
    </row>
    <row r="162" spans="20:22" s="923" customFormat="1" ht="13.8">
      <c r="T162" s="1074"/>
      <c r="U162" s="1075"/>
      <c r="V162" s="1076"/>
    </row>
    <row r="163" spans="20:22" s="923" customFormat="1" ht="13.8">
      <c r="T163" s="1074"/>
      <c r="U163" s="1075"/>
      <c r="V163" s="1076"/>
    </row>
    <row r="164" spans="20:22" s="923" customFormat="1" ht="13.8">
      <c r="T164" s="1074"/>
      <c r="U164" s="1075"/>
      <c r="V164" s="1076"/>
    </row>
    <row r="165" spans="20:22" s="923" customFormat="1" ht="13.8">
      <c r="T165" s="1074"/>
      <c r="U165" s="1075"/>
      <c r="V165" s="1076"/>
    </row>
    <row r="166" spans="20:22" s="923" customFormat="1" ht="13.8">
      <c r="T166" s="1074"/>
      <c r="U166" s="1075"/>
      <c r="V166" s="1076"/>
    </row>
    <row r="167" spans="20:22" s="923" customFormat="1" ht="13.8">
      <c r="T167" s="1074"/>
      <c r="U167" s="1075"/>
      <c r="V167" s="1076"/>
    </row>
    <row r="168" spans="20:22" s="923" customFormat="1" ht="13.8">
      <c r="T168" s="1074"/>
      <c r="U168" s="1075"/>
      <c r="V168" s="1076"/>
    </row>
    <row r="169" spans="20:22" s="923" customFormat="1" ht="13.8">
      <c r="T169" s="1074"/>
      <c r="U169" s="1075"/>
      <c r="V169" s="1076"/>
    </row>
    <row r="170" spans="20:22" s="923" customFormat="1" ht="13.8">
      <c r="T170" s="1074"/>
      <c r="U170" s="1075"/>
      <c r="V170" s="1076"/>
    </row>
    <row r="171" spans="20:22" s="923" customFormat="1" ht="13.8">
      <c r="T171" s="1074"/>
      <c r="U171" s="1075"/>
      <c r="V171" s="1076"/>
    </row>
    <row r="172" spans="20:22" s="923" customFormat="1" ht="13.8">
      <c r="T172" s="1074"/>
      <c r="U172" s="1075"/>
      <c r="V172" s="1076"/>
    </row>
    <row r="173" spans="20:22" s="923" customFormat="1" ht="13.8">
      <c r="T173" s="1074"/>
      <c r="U173" s="1075"/>
      <c r="V173" s="1076"/>
    </row>
    <row r="174" spans="20:22" s="923" customFormat="1" ht="13.8">
      <c r="T174" s="1074"/>
      <c r="U174" s="1075"/>
      <c r="V174" s="1076"/>
    </row>
    <row r="175" spans="20:22" s="923" customFormat="1" ht="13.8">
      <c r="T175" s="1074"/>
      <c r="U175" s="1075"/>
      <c r="V175" s="1076"/>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7"/>
    <col min="3" max="3" width="10.54296875" style="1077" customWidth="1"/>
    <col min="4" max="4" width="11.81640625" style="1077" customWidth="1"/>
    <col min="5" max="6" width="17.1796875" style="1077" customWidth="1"/>
    <col min="7" max="7" width="17.1796875" style="1079" customWidth="1"/>
    <col min="8" max="8" width="17.1796875" style="1077" customWidth="1"/>
    <col min="9" max="9" width="11.90625" style="1077" customWidth="1"/>
    <col min="10" max="10" width="10.54296875" style="1079" customWidth="1"/>
    <col min="11" max="11" width="12.08984375" style="1077" bestFit="1" customWidth="1"/>
    <col min="12" max="12" width="15.90625" style="1077" customWidth="1"/>
    <col min="13" max="13" width="13.36328125" style="1077" customWidth="1"/>
    <col min="14" max="14" width="12.81640625" style="1077" bestFit="1" customWidth="1"/>
    <col min="15" max="15" width="10.54296875" style="1077" bestFit="1" customWidth="1"/>
    <col min="16" max="16" width="11" style="1077" customWidth="1"/>
    <col min="17" max="17" width="11.54296875" style="1077" customWidth="1"/>
    <col min="18" max="18" width="13.90625" style="1079" customWidth="1"/>
    <col min="19" max="19" width="14.6328125" style="1077" customWidth="1"/>
    <col min="20" max="20" width="18.90625" style="1080" customWidth="1"/>
    <col min="21" max="21" width="15.36328125" style="1077" customWidth="1"/>
    <col min="22" max="16384" width="8.90625" style="1077"/>
  </cols>
  <sheetData>
    <row r="4" spans="4:22" ht="13.8">
      <c r="D4" s="1844" t="s">
        <v>1724</v>
      </c>
      <c r="E4" s="1844"/>
      <c r="F4" s="1844"/>
      <c r="G4" s="1844"/>
      <c r="H4" s="1844"/>
      <c r="I4" s="1844"/>
      <c r="J4" s="1844"/>
      <c r="K4" s="1844"/>
      <c r="L4" s="1844"/>
      <c r="M4" s="1844"/>
      <c r="N4" s="1844"/>
      <c r="O4" s="1844"/>
      <c r="P4" s="1844"/>
      <c r="Q4" s="1844"/>
      <c r="R4" s="1844"/>
      <c r="S4" s="756"/>
      <c r="T4" s="1078"/>
      <c r="U4" s="755"/>
      <c r="V4" s="755"/>
    </row>
    <row r="5" spans="4:22" ht="13.8" thickBot="1"/>
    <row r="6" spans="4:22" ht="13.8" thickTop="1">
      <c r="D6" s="1033"/>
      <c r="E6" s="1082"/>
      <c r="F6" s="1082"/>
      <c r="G6" s="1083"/>
      <c r="H6" s="1082"/>
      <c r="I6" s="1082"/>
      <c r="J6" s="1084"/>
      <c r="K6" s="1085"/>
      <c r="L6" s="1086"/>
      <c r="M6" s="1081"/>
      <c r="N6" s="1082"/>
      <c r="O6" s="1085"/>
      <c r="P6" s="1086"/>
      <c r="Q6" s="1086"/>
      <c r="R6" s="1087"/>
    </row>
    <row r="7" spans="4:22" ht="14.4" thickBot="1">
      <c r="D7" s="1088"/>
      <c r="E7" s="1826"/>
      <c r="F7" s="1826"/>
      <c r="G7" s="1826"/>
      <c r="H7" s="1826"/>
      <c r="I7" s="1826"/>
      <c r="J7" s="1843"/>
      <c r="K7" s="1089" t="s">
        <v>1694</v>
      </c>
      <c r="L7" s="1089" t="s">
        <v>1169</v>
      </c>
      <c r="M7" s="1825" t="s">
        <v>1166</v>
      </c>
      <c r="N7" s="1826"/>
      <c r="O7" s="1843"/>
      <c r="P7" s="1045" t="s">
        <v>39</v>
      </c>
      <c r="Q7" s="1045" t="s">
        <v>31</v>
      </c>
      <c r="R7" s="1045" t="s">
        <v>37</v>
      </c>
    </row>
    <row r="8" spans="4:22" ht="15" thickTop="1" thickBot="1">
      <c r="D8" s="1090"/>
      <c r="E8" s="1041"/>
      <c r="F8" s="1041"/>
      <c r="G8" s="1092"/>
      <c r="H8" s="1041"/>
      <c r="I8" s="1041"/>
      <c r="J8" s="1093"/>
      <c r="K8" s="1048"/>
      <c r="L8" s="1042"/>
      <c r="M8" s="1044"/>
      <c r="N8" s="1041"/>
      <c r="O8" s="1052"/>
      <c r="P8" s="1045" t="s">
        <v>45</v>
      </c>
      <c r="Q8" s="1045" t="s">
        <v>1167</v>
      </c>
      <c r="R8" s="1045"/>
    </row>
    <row r="9" spans="4:22" ht="14.4" thickTop="1">
      <c r="D9" s="1094" t="s">
        <v>32</v>
      </c>
      <c r="E9" s="1042" t="s">
        <v>1007</v>
      </c>
      <c r="F9" s="1042" t="s">
        <v>1713</v>
      </c>
      <c r="G9" s="1045" t="s">
        <v>1714</v>
      </c>
      <c r="H9" s="1095" t="s">
        <v>1715</v>
      </c>
      <c r="I9" s="1042" t="s">
        <v>1716</v>
      </c>
      <c r="J9" s="1045" t="s">
        <v>37</v>
      </c>
      <c r="K9" s="1042"/>
      <c r="L9" s="1042"/>
      <c r="M9" s="1046" t="s">
        <v>1005</v>
      </c>
      <c r="N9" s="1046" t="s">
        <v>1699</v>
      </c>
      <c r="O9" s="1042" t="s">
        <v>1717</v>
      </c>
      <c r="P9" s="1045" t="s">
        <v>1008</v>
      </c>
      <c r="Q9" s="1042"/>
      <c r="R9" s="1045"/>
    </row>
    <row r="10" spans="4:22" ht="13.8">
      <c r="D10" s="1090"/>
      <c r="E10" s="1042"/>
      <c r="F10" s="1042"/>
      <c r="G10" s="1045" t="s">
        <v>1718</v>
      </c>
      <c r="H10" s="1042" t="s">
        <v>1706</v>
      </c>
      <c r="I10" s="1042"/>
      <c r="J10" s="1045"/>
      <c r="K10" s="1042"/>
      <c r="L10" s="1042"/>
      <c r="M10" s="1042"/>
      <c r="N10" s="1042" t="s">
        <v>1719</v>
      </c>
      <c r="O10" s="1042" t="s">
        <v>1719</v>
      </c>
      <c r="P10" s="1042"/>
      <c r="Q10" s="1042"/>
      <c r="R10" s="1045"/>
    </row>
    <row r="11" spans="4:22" ht="13.8">
      <c r="D11" s="1090"/>
      <c r="E11" s="1042"/>
      <c r="F11" s="1042"/>
      <c r="G11" s="1045"/>
      <c r="H11" s="1042"/>
      <c r="I11" s="1042"/>
      <c r="J11" s="1045"/>
      <c r="K11" s="1042"/>
      <c r="L11" s="1042"/>
      <c r="M11" s="1042"/>
      <c r="N11" s="1042"/>
      <c r="O11" s="1042"/>
      <c r="P11" s="1042"/>
      <c r="Q11" s="1042"/>
      <c r="R11" s="1045"/>
    </row>
    <row r="12" spans="4:22" ht="14.4" thickBot="1">
      <c r="D12" s="1090"/>
      <c r="E12" s="1051"/>
      <c r="F12" s="1051"/>
      <c r="G12" s="1097"/>
      <c r="H12" s="1051"/>
      <c r="I12" s="1051"/>
      <c r="J12" s="1097"/>
      <c r="K12" s="1051"/>
      <c r="L12" s="1051"/>
      <c r="M12" s="1051"/>
      <c r="N12" s="1051"/>
      <c r="O12" s="1051"/>
      <c r="P12" s="1051"/>
      <c r="Q12" s="1051"/>
      <c r="R12" s="1097"/>
    </row>
    <row r="13" spans="4:22" ht="14.4" thickTop="1">
      <c r="D13" s="1098"/>
      <c r="E13" s="1043"/>
      <c r="F13" s="1043"/>
      <c r="G13" s="1099"/>
      <c r="H13" s="1043"/>
      <c r="I13" s="1043"/>
      <c r="J13" s="1099"/>
      <c r="K13" s="1043"/>
      <c r="L13" s="1043"/>
      <c r="M13" s="1043"/>
      <c r="N13" s="1043"/>
      <c r="O13" s="1043"/>
      <c r="P13" s="1043"/>
      <c r="Q13" s="1043"/>
      <c r="R13" s="1099"/>
      <c r="T13" s="1100" t="s">
        <v>1720</v>
      </c>
    </row>
    <row r="14" spans="4:22" ht="13.8">
      <c r="D14" s="1101">
        <v>2015</v>
      </c>
      <c r="E14" s="1043"/>
      <c r="F14" s="1043"/>
      <c r="G14" s="1099"/>
      <c r="H14" s="1043"/>
      <c r="I14" s="1043"/>
      <c r="J14" s="1099"/>
      <c r="K14" s="1043"/>
      <c r="L14" s="1043"/>
      <c r="M14" s="1043"/>
      <c r="N14" s="1043"/>
      <c r="O14" s="1043"/>
      <c r="P14" s="1043"/>
      <c r="Q14" s="1043"/>
      <c r="R14" s="1043"/>
      <c r="T14" s="1102"/>
      <c r="U14" s="1103" t="e">
        <f>+T15/#REF!</f>
        <v>#REF!</v>
      </c>
    </row>
    <row r="15" spans="4:22" ht="13.8">
      <c r="D15" s="1116" t="s">
        <v>1170</v>
      </c>
      <c r="E15" s="1059" t="e">
        <f>#REF!+'Table 10 POSB Liabilities'!E15</f>
        <v>#REF!</v>
      </c>
      <c r="F15" s="1059" t="e">
        <f>#REF!+'Table 10 POSB Liabilities'!F15</f>
        <v>#REF!</v>
      </c>
      <c r="G15" s="1136" t="e">
        <f>SUM(E15:F15)</f>
        <v>#REF!</v>
      </c>
      <c r="H15" s="1061" t="e">
        <f>#REF!+'Table 10 POSB Liabilities'!H15</f>
        <v>#REF!</v>
      </c>
      <c r="I15" s="1059" t="e">
        <f>#REF!+'Table 10 POSB Liabilities'!I15</f>
        <v>#REF!</v>
      </c>
      <c r="J15" s="1061" t="e">
        <f>SUM(G15:I15)</f>
        <v>#REF!</v>
      </c>
      <c r="K15" s="1059" t="e">
        <f>+#REF!+'Table 10 POSB Liabilities'!K15</f>
        <v>#REF!</v>
      </c>
      <c r="L15" s="1059" t="e">
        <f>#REF!+'Table 10 POSB Liabilities'!L15</f>
        <v>#REF!</v>
      </c>
      <c r="M15" s="1059" t="e">
        <f>#REF!+'Table 10 POSB Liabilities'!M15</f>
        <v>#REF!</v>
      </c>
      <c r="N15" s="1059" t="e">
        <f>#REF!+'Table 10 POSB Liabilities'!N15</f>
        <v>#REF!</v>
      </c>
      <c r="O15" s="1059" t="e">
        <f>#REF!+'Table 10 POSB Liabilities'!O15</f>
        <v>#REF!</v>
      </c>
      <c r="P15" s="1059" t="e">
        <f>#REF!+'Table 10 POSB Liabilities'!P15</f>
        <v>#REF!</v>
      </c>
      <c r="Q15" s="1059" t="e">
        <f>#REF!+'Table 10 POSB Liabilities'!Q15</f>
        <v>#REF!</v>
      </c>
      <c r="R15" s="1106" t="e">
        <f>SUM(J15:Q15)</f>
        <v>#REF!</v>
      </c>
      <c r="T15" s="1107" t="e">
        <f>R15-'Table 10 POSB Liabilities'!R15-#REF!</f>
        <v>#REF!</v>
      </c>
    </row>
    <row r="16" spans="4:22" ht="13.8">
      <c r="D16" s="1116" t="s">
        <v>1172</v>
      </c>
      <c r="E16" s="1059" t="e">
        <f>#REF!+'Table 10 POSB Liabilities'!E16</f>
        <v>#REF!</v>
      </c>
      <c r="F16" s="1059" t="e">
        <f>#REF!+'Table 10 POSB Liabilities'!F16</f>
        <v>#REF!</v>
      </c>
      <c r="G16" s="1136" t="e">
        <f t="shared" ref="G16:G40" si="0">SUM(E16:F16)</f>
        <v>#REF!</v>
      </c>
      <c r="H16" s="1061" t="e">
        <f>#REF!+'Table 10 POSB Liabilities'!H16</f>
        <v>#REF!</v>
      </c>
      <c r="I16" s="1059" t="e">
        <f>#REF!+'Table 10 POSB Liabilities'!I16</f>
        <v>#REF!</v>
      </c>
      <c r="J16" s="1061" t="e">
        <f t="shared" ref="J16:J40" si="1">SUM(G16:I16)</f>
        <v>#REF!</v>
      </c>
      <c r="K16" s="1059" t="e">
        <f>+#REF!+'Table 10 POSB Liabilities'!K16</f>
        <v>#REF!</v>
      </c>
      <c r="L16" s="1059" t="e">
        <f>#REF!+'Table 10 POSB Liabilities'!L16</f>
        <v>#REF!</v>
      </c>
      <c r="M16" s="1059" t="e">
        <f>#REF!+'Table 10 POSB Liabilities'!M16</f>
        <v>#REF!</v>
      </c>
      <c r="N16" s="1059" t="e">
        <f>#REF!+'Table 10 POSB Liabilities'!N16</f>
        <v>#REF!</v>
      </c>
      <c r="O16" s="1059" t="e">
        <f>#REF!+'Table 10 POSB Liabilities'!O16</f>
        <v>#REF!</v>
      </c>
      <c r="P16" s="1059" t="e">
        <f>#REF!+'Table 10 POSB Liabilities'!P16</f>
        <v>#REF!</v>
      </c>
      <c r="Q16" s="1059" t="e">
        <f>#REF!+'Table 10 POSB Liabilities'!Q16</f>
        <v>#REF!</v>
      </c>
      <c r="R16" s="1106" t="e">
        <f t="shared" ref="R16:R40" si="2">SUM(J16:Q16)</f>
        <v>#REF!</v>
      </c>
      <c r="T16" s="1107" t="e">
        <f>R16-'Table 10 POSB Liabilities'!R16-#REF!</f>
        <v>#REF!</v>
      </c>
    </row>
    <row r="17" spans="4:20" ht="13.8">
      <c r="D17" s="1116" t="s">
        <v>1173</v>
      </c>
      <c r="E17" s="1059" t="e">
        <f>#REF!+'Table 10 POSB Liabilities'!E17</f>
        <v>#REF!</v>
      </c>
      <c r="F17" s="1059" t="e">
        <f>#REF!+'Table 10 POSB Liabilities'!F17</f>
        <v>#REF!</v>
      </c>
      <c r="G17" s="1136" t="e">
        <f t="shared" si="0"/>
        <v>#REF!</v>
      </c>
      <c r="H17" s="1061" t="e">
        <f>#REF!+'Table 10 POSB Liabilities'!H17</f>
        <v>#REF!</v>
      </c>
      <c r="I17" s="1059" t="e">
        <f>#REF!+'Table 10 POSB Liabilities'!I17</f>
        <v>#REF!</v>
      </c>
      <c r="J17" s="1061" t="e">
        <f t="shared" si="1"/>
        <v>#REF!</v>
      </c>
      <c r="K17" s="1059" t="e">
        <f>+#REF!+'Table 10 POSB Liabilities'!K17</f>
        <v>#REF!</v>
      </c>
      <c r="L17" s="1059" t="e">
        <f>#REF!+'Table 10 POSB Liabilities'!L17</f>
        <v>#REF!</v>
      </c>
      <c r="M17" s="1059" t="e">
        <f>#REF!+'Table 10 POSB Liabilities'!M17</f>
        <v>#REF!</v>
      </c>
      <c r="N17" s="1059" t="e">
        <f>#REF!+'Table 10 POSB Liabilities'!N17</f>
        <v>#REF!</v>
      </c>
      <c r="O17" s="1059" t="e">
        <f>#REF!+'Table 10 POSB Liabilities'!O17</f>
        <v>#REF!</v>
      </c>
      <c r="P17" s="1059" t="e">
        <f>#REF!+'Table 10 POSB Liabilities'!P17</f>
        <v>#REF!</v>
      </c>
      <c r="Q17" s="1059" t="e">
        <f>#REF!+'Table 10 POSB Liabilities'!Q17</f>
        <v>#REF!</v>
      </c>
      <c r="R17" s="1106" t="e">
        <f t="shared" si="2"/>
        <v>#REF!</v>
      </c>
      <c r="T17" s="1107" t="e">
        <f>R17-'Table 10 POSB Liabilities'!R17-#REF!</f>
        <v>#REF!</v>
      </c>
    </row>
    <row r="18" spans="4:20" ht="13.8">
      <c r="D18" s="1116" t="s">
        <v>1174</v>
      </c>
      <c r="E18" s="1059" t="e">
        <f>#REF!+'Table 10 POSB Liabilities'!E18</f>
        <v>#REF!</v>
      </c>
      <c r="F18" s="1059" t="e">
        <f>#REF!+'Table 10 POSB Liabilities'!F18</f>
        <v>#REF!</v>
      </c>
      <c r="G18" s="1136" t="e">
        <f t="shared" si="0"/>
        <v>#REF!</v>
      </c>
      <c r="H18" s="1061" t="e">
        <f>#REF!+'Table 10 POSB Liabilities'!H18</f>
        <v>#REF!</v>
      </c>
      <c r="I18" s="1059" t="e">
        <f>#REF!+'Table 10 POSB Liabilities'!I18</f>
        <v>#REF!</v>
      </c>
      <c r="J18" s="1061" t="e">
        <f t="shared" si="1"/>
        <v>#REF!</v>
      </c>
      <c r="K18" s="1059" t="e">
        <f>+#REF!+'Table 10 POSB Liabilities'!K18</f>
        <v>#REF!</v>
      </c>
      <c r="L18" s="1059" t="e">
        <f>#REF!+'Table 10 POSB Liabilities'!L18</f>
        <v>#REF!</v>
      </c>
      <c r="M18" s="1059" t="e">
        <f>#REF!+'Table 10 POSB Liabilities'!M18</f>
        <v>#REF!</v>
      </c>
      <c r="N18" s="1059" t="e">
        <f>#REF!+'Table 10 POSB Liabilities'!N18</f>
        <v>#REF!</v>
      </c>
      <c r="O18" s="1059" t="e">
        <f>#REF!+'Table 10 POSB Liabilities'!O18</f>
        <v>#REF!</v>
      </c>
      <c r="P18" s="1059" t="e">
        <f>#REF!+'Table 10 POSB Liabilities'!P18</f>
        <v>#REF!</v>
      </c>
      <c r="Q18" s="1059" t="e">
        <f>#REF!+'Table 10 POSB Liabilities'!Q18</f>
        <v>#REF!</v>
      </c>
      <c r="R18" s="1106" t="e">
        <f t="shared" si="2"/>
        <v>#REF!</v>
      </c>
      <c r="T18" s="1107" t="e">
        <f>R18-'Table 10 POSB Liabilities'!R18-#REF!</f>
        <v>#REF!</v>
      </c>
    </row>
    <row r="19" spans="4:20" ht="13.8">
      <c r="D19" s="1116" t="s">
        <v>1165</v>
      </c>
      <c r="E19" s="1059" t="e">
        <f>#REF!+'Table 10 POSB Liabilities'!E19</f>
        <v>#REF!</v>
      </c>
      <c r="F19" s="1059" t="e">
        <f>#REF!+'Table 10 POSB Liabilities'!F19</f>
        <v>#REF!</v>
      </c>
      <c r="G19" s="1136" t="e">
        <f t="shared" si="0"/>
        <v>#REF!</v>
      </c>
      <c r="H19" s="1061" t="e">
        <f>#REF!+'Table 10 POSB Liabilities'!H19</f>
        <v>#REF!</v>
      </c>
      <c r="I19" s="1059" t="e">
        <f>#REF!+'Table 10 POSB Liabilities'!I19</f>
        <v>#REF!</v>
      </c>
      <c r="J19" s="1061" t="e">
        <f t="shared" si="1"/>
        <v>#REF!</v>
      </c>
      <c r="K19" s="1059" t="e">
        <f>+#REF!+'Table 10 POSB Liabilities'!K19</f>
        <v>#REF!</v>
      </c>
      <c r="L19" s="1059" t="e">
        <f>#REF!+'Table 10 POSB Liabilities'!L19</f>
        <v>#REF!</v>
      </c>
      <c r="M19" s="1059" t="e">
        <f>#REF!+'Table 10 POSB Liabilities'!M19</f>
        <v>#REF!</v>
      </c>
      <c r="N19" s="1059" t="e">
        <f>#REF!+'Table 10 POSB Liabilities'!N19</f>
        <v>#REF!</v>
      </c>
      <c r="O19" s="1059" t="e">
        <f>#REF!+'Table 10 POSB Liabilities'!O19</f>
        <v>#REF!</v>
      </c>
      <c r="P19" s="1059" t="e">
        <f>#REF!+'Table 10 POSB Liabilities'!P19</f>
        <v>#REF!</v>
      </c>
      <c r="Q19" s="1059" t="e">
        <f>#REF!+'Table 10 POSB Liabilities'!Q19</f>
        <v>#REF!</v>
      </c>
      <c r="R19" s="1106" t="e">
        <f t="shared" si="2"/>
        <v>#REF!</v>
      </c>
      <c r="T19" s="1107" t="e">
        <f>R19-'Table 10 POSB Liabilities'!R19-#REF!</f>
        <v>#REF!</v>
      </c>
    </row>
    <row r="20" spans="4:20" ht="13.8">
      <c r="D20" s="1116" t="s">
        <v>1175</v>
      </c>
      <c r="E20" s="1059" t="e">
        <f>#REF!+'Table 10 POSB Liabilities'!E20</f>
        <v>#REF!</v>
      </c>
      <c r="F20" s="1059" t="e">
        <f>#REF!+'Table 10 POSB Liabilities'!F20</f>
        <v>#REF!</v>
      </c>
      <c r="G20" s="1136" t="e">
        <f t="shared" si="0"/>
        <v>#REF!</v>
      </c>
      <c r="H20" s="1061" t="e">
        <f>#REF!+'Table 10 POSB Liabilities'!H20</f>
        <v>#REF!</v>
      </c>
      <c r="I20" s="1059" t="e">
        <f>#REF!+'Table 10 POSB Liabilities'!I20</f>
        <v>#REF!</v>
      </c>
      <c r="J20" s="1061" t="e">
        <f t="shared" si="1"/>
        <v>#REF!</v>
      </c>
      <c r="K20" s="1059" t="e">
        <f>+#REF!+'Table 10 POSB Liabilities'!K20</f>
        <v>#REF!</v>
      </c>
      <c r="L20" s="1059" t="e">
        <f>#REF!+'Table 10 POSB Liabilities'!L20</f>
        <v>#REF!</v>
      </c>
      <c r="M20" s="1059" t="e">
        <f>#REF!+'Table 10 POSB Liabilities'!M20</f>
        <v>#REF!</v>
      </c>
      <c r="N20" s="1059" t="e">
        <f>#REF!+'Table 10 POSB Liabilities'!N20</f>
        <v>#REF!</v>
      </c>
      <c r="O20" s="1059" t="e">
        <f>#REF!+'Table 10 POSB Liabilities'!O20</f>
        <v>#REF!</v>
      </c>
      <c r="P20" s="1059" t="e">
        <f>#REF!+'Table 10 POSB Liabilities'!P20</f>
        <v>#REF!</v>
      </c>
      <c r="Q20" s="1059" t="e">
        <f>#REF!+'Table 10 POSB Liabilities'!Q20</f>
        <v>#REF!</v>
      </c>
      <c r="R20" s="1106" t="e">
        <f t="shared" si="2"/>
        <v>#REF!</v>
      </c>
      <c r="T20" s="1107" t="e">
        <f>R20-'Table 10 POSB Liabilities'!R20-#REF!</f>
        <v>#REF!</v>
      </c>
    </row>
    <row r="21" spans="4:20" ht="13.8">
      <c r="D21" s="1116" t="s">
        <v>1176</v>
      </c>
      <c r="E21" s="1059" t="e">
        <f>#REF!+'Table 10 POSB Liabilities'!E21</f>
        <v>#REF!</v>
      </c>
      <c r="F21" s="1059" t="e">
        <f>#REF!+'Table 10 POSB Liabilities'!F21</f>
        <v>#REF!</v>
      </c>
      <c r="G21" s="1136" t="e">
        <f t="shared" si="0"/>
        <v>#REF!</v>
      </c>
      <c r="H21" s="1061" t="e">
        <f>#REF!+'Table 10 POSB Liabilities'!H21</f>
        <v>#REF!</v>
      </c>
      <c r="I21" s="1059" t="e">
        <f>#REF!+'Table 10 POSB Liabilities'!I21</f>
        <v>#REF!</v>
      </c>
      <c r="J21" s="1061" t="e">
        <f t="shared" si="1"/>
        <v>#REF!</v>
      </c>
      <c r="K21" s="1059" t="e">
        <f>+#REF!+'Table 10 POSB Liabilities'!K21</f>
        <v>#REF!</v>
      </c>
      <c r="L21" s="1059" t="e">
        <f>#REF!+'Table 10 POSB Liabilities'!L21</f>
        <v>#REF!</v>
      </c>
      <c r="M21" s="1059" t="e">
        <f>#REF!+'Table 10 POSB Liabilities'!M21</f>
        <v>#REF!</v>
      </c>
      <c r="N21" s="1059" t="e">
        <f>#REF!+'Table 10 POSB Liabilities'!N21</f>
        <v>#REF!</v>
      </c>
      <c r="O21" s="1059" t="e">
        <f>#REF!+'Table 10 POSB Liabilities'!O21</f>
        <v>#REF!</v>
      </c>
      <c r="P21" s="1059" t="e">
        <f>#REF!+'Table 10 POSB Liabilities'!P21</f>
        <v>#REF!</v>
      </c>
      <c r="Q21" s="1059" t="e">
        <f>#REF!+'Table 10 POSB Liabilities'!Q21</f>
        <v>#REF!</v>
      </c>
      <c r="R21" s="1106" t="e">
        <f t="shared" si="2"/>
        <v>#REF!</v>
      </c>
      <c r="T21" s="1107" t="e">
        <f>R21-'Table 10 POSB Liabilities'!R21-#REF!</f>
        <v>#REF!</v>
      </c>
    </row>
    <row r="22" spans="4:20" ht="13.8">
      <c r="D22" s="1116" t="s">
        <v>1177</v>
      </c>
      <c r="E22" s="1059" t="e">
        <f>#REF!+'Table 10 POSB Liabilities'!E22</f>
        <v>#REF!</v>
      </c>
      <c r="F22" s="1059" t="e">
        <f>#REF!+'Table 10 POSB Liabilities'!F22</f>
        <v>#REF!</v>
      </c>
      <c r="G22" s="1136" t="e">
        <f t="shared" si="0"/>
        <v>#REF!</v>
      </c>
      <c r="H22" s="1061" t="e">
        <f>#REF!+'Table 10 POSB Liabilities'!H22</f>
        <v>#REF!</v>
      </c>
      <c r="I22" s="1059" t="e">
        <f>#REF!+'Table 10 POSB Liabilities'!I22</f>
        <v>#REF!</v>
      </c>
      <c r="J22" s="1061" t="e">
        <f t="shared" si="1"/>
        <v>#REF!</v>
      </c>
      <c r="K22" s="1059" t="e">
        <f>+#REF!+'Table 10 POSB Liabilities'!K22</f>
        <v>#REF!</v>
      </c>
      <c r="L22" s="1059" t="e">
        <f>#REF!+'Table 10 POSB Liabilities'!L22</f>
        <v>#REF!</v>
      </c>
      <c r="M22" s="1059" t="e">
        <f>#REF!+'Table 10 POSB Liabilities'!M22</f>
        <v>#REF!</v>
      </c>
      <c r="N22" s="1059" t="e">
        <f>#REF!+'Table 10 POSB Liabilities'!N22</f>
        <v>#REF!</v>
      </c>
      <c r="O22" s="1059" t="e">
        <f>#REF!+'Table 10 POSB Liabilities'!O22</f>
        <v>#REF!</v>
      </c>
      <c r="P22" s="1059" t="e">
        <f>#REF!+'Table 10 POSB Liabilities'!P22</f>
        <v>#REF!</v>
      </c>
      <c r="Q22" s="1059" t="e">
        <f>#REF!+'Table 10 POSB Liabilities'!Q22</f>
        <v>#REF!</v>
      </c>
      <c r="R22" s="1106" t="e">
        <f t="shared" si="2"/>
        <v>#REF!</v>
      </c>
      <c r="T22" s="1107" t="e">
        <f>R22-'Table 10 POSB Liabilities'!R22-#REF!</f>
        <v>#REF!</v>
      </c>
    </row>
    <row r="23" spans="4:20" ht="13.8">
      <c r="D23" s="1116" t="s">
        <v>1178</v>
      </c>
      <c r="E23" s="1059" t="e">
        <f>#REF!+'Table 10 POSB Liabilities'!E23</f>
        <v>#REF!</v>
      </c>
      <c r="F23" s="1059" t="e">
        <f>#REF!+'Table 10 POSB Liabilities'!F23</f>
        <v>#REF!</v>
      </c>
      <c r="G23" s="1136" t="e">
        <f t="shared" si="0"/>
        <v>#REF!</v>
      </c>
      <c r="H23" s="1061" t="e">
        <f>#REF!+'Table 10 POSB Liabilities'!H23</f>
        <v>#REF!</v>
      </c>
      <c r="I23" s="1059" t="e">
        <f>#REF!+'Table 10 POSB Liabilities'!I23</f>
        <v>#REF!</v>
      </c>
      <c r="J23" s="1061" t="e">
        <f t="shared" si="1"/>
        <v>#REF!</v>
      </c>
      <c r="K23" s="1059" t="e">
        <f>+#REF!+'Table 10 POSB Liabilities'!K23</f>
        <v>#REF!</v>
      </c>
      <c r="L23" s="1059" t="e">
        <f>#REF!+'Table 10 POSB Liabilities'!L23</f>
        <v>#REF!</v>
      </c>
      <c r="M23" s="1059" t="e">
        <f>#REF!+'Table 10 POSB Liabilities'!M23</f>
        <v>#REF!</v>
      </c>
      <c r="N23" s="1059" t="e">
        <f>#REF!+'Table 10 POSB Liabilities'!N23</f>
        <v>#REF!</v>
      </c>
      <c r="O23" s="1059" t="e">
        <f>#REF!+'Table 10 POSB Liabilities'!O23</f>
        <v>#REF!</v>
      </c>
      <c r="P23" s="1059" t="e">
        <f>#REF!+'Table 10 POSB Liabilities'!P23</f>
        <v>#REF!</v>
      </c>
      <c r="Q23" s="1059" t="e">
        <f>#REF!+'Table 10 POSB Liabilities'!Q23</f>
        <v>#REF!</v>
      </c>
      <c r="R23" s="1106" t="e">
        <f t="shared" si="2"/>
        <v>#REF!</v>
      </c>
      <c r="T23" s="1107" t="e">
        <f>R23-'Table 10 POSB Liabilities'!R23-#REF!</f>
        <v>#REF!</v>
      </c>
    </row>
    <row r="24" spans="4:20" ht="13.8">
      <c r="D24" s="1116" t="s">
        <v>1179</v>
      </c>
      <c r="E24" s="1059" t="e">
        <f>#REF!+'Table 10 POSB Liabilities'!E24</f>
        <v>#REF!</v>
      </c>
      <c r="F24" s="1059" t="e">
        <f>#REF!+'Table 10 POSB Liabilities'!F24</f>
        <v>#REF!</v>
      </c>
      <c r="G24" s="1136" t="e">
        <f t="shared" si="0"/>
        <v>#REF!</v>
      </c>
      <c r="H24" s="1061" t="e">
        <f>#REF!+'Table 10 POSB Liabilities'!H24</f>
        <v>#REF!</v>
      </c>
      <c r="I24" s="1059" t="e">
        <f>#REF!+'Table 10 POSB Liabilities'!I24</f>
        <v>#REF!</v>
      </c>
      <c r="J24" s="1061" t="e">
        <f t="shared" si="1"/>
        <v>#REF!</v>
      </c>
      <c r="K24" s="1059" t="e">
        <f>+#REF!+'Table 10 POSB Liabilities'!K24</f>
        <v>#REF!</v>
      </c>
      <c r="L24" s="1059" t="e">
        <f>#REF!+'Table 10 POSB Liabilities'!L24</f>
        <v>#REF!</v>
      </c>
      <c r="M24" s="1059" t="e">
        <f>#REF!+'Table 10 POSB Liabilities'!M24</f>
        <v>#REF!</v>
      </c>
      <c r="N24" s="1059" t="e">
        <f>#REF!+'Table 10 POSB Liabilities'!N24</f>
        <v>#REF!</v>
      </c>
      <c r="O24" s="1059" t="e">
        <f>#REF!+'Table 10 POSB Liabilities'!O24</f>
        <v>#REF!</v>
      </c>
      <c r="P24" s="1059" t="e">
        <f>#REF!+'Table 10 POSB Liabilities'!P24</f>
        <v>#REF!</v>
      </c>
      <c r="Q24" s="1059" t="e">
        <f>#REF!+'Table 10 POSB Liabilities'!Q24</f>
        <v>#REF!</v>
      </c>
      <c r="R24" s="1106" t="e">
        <f t="shared" si="2"/>
        <v>#REF!</v>
      </c>
      <c r="T24" s="1107" t="e">
        <f>R24-'Table 10 POSB Liabilities'!R24-#REF!</f>
        <v>#REF!</v>
      </c>
    </row>
    <row r="25" spans="4:20" ht="13.8">
      <c r="D25" s="1116" t="s">
        <v>1180</v>
      </c>
      <c r="E25" s="1059" t="e">
        <f>#REF!+'Table 10 POSB Liabilities'!E25</f>
        <v>#REF!</v>
      </c>
      <c r="F25" s="1059" t="e">
        <f>#REF!+'Table 10 POSB Liabilities'!F25</f>
        <v>#REF!</v>
      </c>
      <c r="G25" s="1136" t="e">
        <f t="shared" si="0"/>
        <v>#REF!</v>
      </c>
      <c r="H25" s="1061" t="e">
        <f>#REF!+'Table 10 POSB Liabilities'!H25</f>
        <v>#REF!</v>
      </c>
      <c r="I25" s="1059" t="e">
        <f>#REF!+'Table 10 POSB Liabilities'!I25</f>
        <v>#REF!</v>
      </c>
      <c r="J25" s="1061" t="e">
        <f t="shared" si="1"/>
        <v>#REF!</v>
      </c>
      <c r="K25" s="1059" t="e">
        <f>+#REF!+'Table 10 POSB Liabilities'!K25</f>
        <v>#REF!</v>
      </c>
      <c r="L25" s="1059" t="e">
        <f>#REF!+'Table 10 POSB Liabilities'!L25</f>
        <v>#REF!</v>
      </c>
      <c r="M25" s="1059" t="e">
        <f>#REF!+'Table 10 POSB Liabilities'!M25</f>
        <v>#REF!</v>
      </c>
      <c r="N25" s="1059" t="e">
        <f>#REF!+'Table 10 POSB Liabilities'!N25</f>
        <v>#REF!</v>
      </c>
      <c r="O25" s="1059" t="e">
        <f>#REF!+'Table 10 POSB Liabilities'!O25</f>
        <v>#REF!</v>
      </c>
      <c r="P25" s="1059" t="e">
        <f>#REF!+'Table 10 POSB Liabilities'!P25</f>
        <v>#REF!</v>
      </c>
      <c r="Q25" s="1059" t="e">
        <f>#REF!+'Table 10 POSB Liabilities'!Q25</f>
        <v>#REF!</v>
      </c>
      <c r="R25" s="1106" t="e">
        <f t="shared" si="2"/>
        <v>#REF!</v>
      </c>
      <c r="T25" s="1107" t="e">
        <f>R25-'Table 10 POSB Liabilities'!R25-#REF!</f>
        <v>#REF!</v>
      </c>
    </row>
    <row r="26" spans="4:20" ht="13.8">
      <c r="D26" s="1116" t="s">
        <v>1181</v>
      </c>
      <c r="E26" s="1059" t="e">
        <f>#REF!+'Table 10 POSB Liabilities'!E26</f>
        <v>#REF!</v>
      </c>
      <c r="F26" s="1059" t="e">
        <f>#REF!+'Table 10 POSB Liabilities'!F26</f>
        <v>#REF!</v>
      </c>
      <c r="G26" s="1136" t="e">
        <f t="shared" si="0"/>
        <v>#REF!</v>
      </c>
      <c r="H26" s="1061" t="e">
        <f>#REF!+'Table 10 POSB Liabilities'!H26</f>
        <v>#REF!</v>
      </c>
      <c r="I26" s="1059" t="e">
        <f>#REF!+'Table 10 POSB Liabilities'!I26</f>
        <v>#REF!</v>
      </c>
      <c r="J26" s="1061" t="e">
        <f t="shared" si="1"/>
        <v>#REF!</v>
      </c>
      <c r="K26" s="1059" t="e">
        <f>+#REF!+'Table 10 POSB Liabilities'!K26</f>
        <v>#REF!</v>
      </c>
      <c r="L26" s="1059" t="e">
        <f>#REF!+'Table 10 POSB Liabilities'!L26</f>
        <v>#REF!</v>
      </c>
      <c r="M26" s="1059" t="e">
        <f>#REF!+'Table 10 POSB Liabilities'!M26</f>
        <v>#REF!</v>
      </c>
      <c r="N26" s="1059" t="e">
        <f>#REF!+'Table 10 POSB Liabilities'!N26</f>
        <v>#REF!</v>
      </c>
      <c r="O26" s="1059" t="e">
        <f>#REF!+'Table 10 POSB Liabilities'!O26</f>
        <v>#REF!</v>
      </c>
      <c r="P26" s="1059" t="e">
        <f>#REF!+'Table 10 POSB Liabilities'!P26</f>
        <v>#REF!</v>
      </c>
      <c r="Q26" s="1059" t="e">
        <f>#REF!+'Table 10 POSB Liabilities'!Q26</f>
        <v>#REF!</v>
      </c>
      <c r="R26" s="1106" t="e">
        <f t="shared" si="2"/>
        <v>#REF!</v>
      </c>
      <c r="T26" s="1107" t="e">
        <f>R26-'Table 10 POSB Liabilities'!R26-#REF!</f>
        <v>#REF!</v>
      </c>
    </row>
    <row r="27" spans="4:20" ht="13.8">
      <c r="D27" s="1116"/>
      <c r="E27" s="1059"/>
      <c r="F27" s="1059"/>
      <c r="G27" s="1136"/>
      <c r="H27" s="1061"/>
      <c r="I27" s="1059"/>
      <c r="J27" s="1061"/>
      <c r="K27" s="1059"/>
      <c r="L27" s="1059"/>
      <c r="M27" s="1059"/>
      <c r="N27" s="1059"/>
      <c r="O27" s="1059"/>
      <c r="P27" s="1059"/>
      <c r="Q27" s="1059"/>
      <c r="R27" s="1106"/>
      <c r="T27" s="1107"/>
    </row>
    <row r="28" spans="4:20" ht="13.8">
      <c r="D28" s="1101">
        <v>2016</v>
      </c>
      <c r="E28" s="1059"/>
      <c r="F28" s="1059"/>
      <c r="G28" s="1136"/>
      <c r="H28" s="1061"/>
      <c r="I28" s="1059"/>
      <c r="J28" s="1061"/>
      <c r="K28" s="1059"/>
      <c r="L28" s="1059"/>
      <c r="M28" s="1059"/>
      <c r="N28" s="1059"/>
      <c r="O28" s="1059"/>
      <c r="P28" s="1059"/>
      <c r="Q28" s="1059"/>
      <c r="R28" s="1106"/>
      <c r="T28" s="1107"/>
    </row>
    <row r="29" spans="4:20" ht="13.8">
      <c r="D29" s="1116" t="s">
        <v>1170</v>
      </c>
      <c r="E29" s="1059" t="e">
        <f>#REF!+'Table 10 POSB Liabilities'!E29</f>
        <v>#REF!</v>
      </c>
      <c r="F29" s="1059" t="e">
        <f>#REF!+'Table 10 POSB Liabilities'!F29</f>
        <v>#REF!</v>
      </c>
      <c r="G29" s="1136" t="e">
        <f t="shared" si="0"/>
        <v>#REF!</v>
      </c>
      <c r="H29" s="1061" t="e">
        <f>#REF!+'Table 10 POSB Liabilities'!H29</f>
        <v>#REF!</v>
      </c>
      <c r="I29" s="1059" t="e">
        <f>#REF!+'Table 10 POSB Liabilities'!I29</f>
        <v>#REF!</v>
      </c>
      <c r="J29" s="1061" t="e">
        <f t="shared" si="1"/>
        <v>#REF!</v>
      </c>
      <c r="K29" s="1059" t="e">
        <f>+#REF!+'Table 10 POSB Liabilities'!K29</f>
        <v>#REF!</v>
      </c>
      <c r="L29" s="1059" t="e">
        <f>#REF!+'Table 10 POSB Liabilities'!L29</f>
        <v>#REF!</v>
      </c>
      <c r="M29" s="1059" t="e">
        <f>#REF!+'Table 10 POSB Liabilities'!M29</f>
        <v>#REF!</v>
      </c>
      <c r="N29" s="1059" t="e">
        <f>#REF!+'Table 10 POSB Liabilities'!N29</f>
        <v>#REF!</v>
      </c>
      <c r="O29" s="1059" t="e">
        <f>#REF!+'Table 10 POSB Liabilities'!O29</f>
        <v>#REF!</v>
      </c>
      <c r="P29" s="1059" t="e">
        <f>#REF!+'Table 10 POSB Liabilities'!P29</f>
        <v>#REF!</v>
      </c>
      <c r="Q29" s="1059" t="e">
        <f>#REF!+'Table 10 POSB Liabilities'!Q29</f>
        <v>#REF!</v>
      </c>
      <c r="R29" s="1106" t="e">
        <f t="shared" si="2"/>
        <v>#REF!</v>
      </c>
      <c r="T29" s="1107" t="e">
        <f>R29-'Table 10 POSB Liabilities'!R29-#REF!</f>
        <v>#REF!</v>
      </c>
    </row>
    <row r="30" spans="4:20" ht="13.8">
      <c r="D30" s="1116" t="s">
        <v>1172</v>
      </c>
      <c r="E30" s="1059" t="e">
        <f>#REF!+'Table 10 POSB Liabilities'!E30</f>
        <v>#REF!</v>
      </c>
      <c r="F30" s="1059" t="e">
        <f>#REF!+'Table 10 POSB Liabilities'!F30</f>
        <v>#REF!</v>
      </c>
      <c r="G30" s="1136" t="e">
        <f t="shared" si="0"/>
        <v>#REF!</v>
      </c>
      <c r="H30" s="1061" t="e">
        <f>#REF!+'Table 10 POSB Liabilities'!H30</f>
        <v>#REF!</v>
      </c>
      <c r="I30" s="1059" t="e">
        <f>#REF!+'Table 10 POSB Liabilities'!I30</f>
        <v>#REF!</v>
      </c>
      <c r="J30" s="1061" t="e">
        <f t="shared" si="1"/>
        <v>#REF!</v>
      </c>
      <c r="K30" s="1059" t="e">
        <f>+#REF!+'Table 10 POSB Liabilities'!K30</f>
        <v>#REF!</v>
      </c>
      <c r="L30" s="1059" t="e">
        <f>#REF!+'Table 10 POSB Liabilities'!L30</f>
        <v>#REF!</v>
      </c>
      <c r="M30" s="1059" t="e">
        <f>#REF!+'Table 10 POSB Liabilities'!M30</f>
        <v>#REF!</v>
      </c>
      <c r="N30" s="1059" t="e">
        <f>#REF!+'Table 10 POSB Liabilities'!N30</f>
        <v>#REF!</v>
      </c>
      <c r="O30" s="1059" t="e">
        <f>#REF!+'Table 10 POSB Liabilities'!O30</f>
        <v>#REF!</v>
      </c>
      <c r="P30" s="1059" t="e">
        <f>#REF!+'Table 10 POSB Liabilities'!P30</f>
        <v>#REF!</v>
      </c>
      <c r="Q30" s="1059" t="e">
        <f>#REF!+'Table 10 POSB Liabilities'!Q30</f>
        <v>#REF!</v>
      </c>
      <c r="R30" s="1106" t="e">
        <f t="shared" si="2"/>
        <v>#REF!</v>
      </c>
      <c r="T30" s="1107" t="e">
        <f>R30-'Table 10 POSB Liabilities'!R30-#REF!</f>
        <v>#REF!</v>
      </c>
    </row>
    <row r="31" spans="4:20" ht="13.8">
      <c r="D31" s="1116" t="s">
        <v>1173</v>
      </c>
      <c r="E31" s="1059" t="e">
        <f>#REF!+'Table 10 POSB Liabilities'!E31</f>
        <v>#REF!</v>
      </c>
      <c r="F31" s="1059" t="e">
        <f>#REF!+'Table 10 POSB Liabilities'!F31</f>
        <v>#REF!</v>
      </c>
      <c r="G31" s="1136" t="e">
        <f t="shared" si="0"/>
        <v>#REF!</v>
      </c>
      <c r="H31" s="1061" t="e">
        <f>#REF!+'Table 10 POSB Liabilities'!H31</f>
        <v>#REF!</v>
      </c>
      <c r="I31" s="1059" t="e">
        <f>#REF!+'Table 10 POSB Liabilities'!I31</f>
        <v>#REF!</v>
      </c>
      <c r="J31" s="1061" t="e">
        <f t="shared" si="1"/>
        <v>#REF!</v>
      </c>
      <c r="K31" s="1059" t="e">
        <f>+#REF!+'Table 10 POSB Liabilities'!K31</f>
        <v>#REF!</v>
      </c>
      <c r="L31" s="1059" t="e">
        <f>#REF!+'Table 10 POSB Liabilities'!L31</f>
        <v>#REF!</v>
      </c>
      <c r="M31" s="1059" t="e">
        <f>#REF!+'Table 10 POSB Liabilities'!M31</f>
        <v>#REF!</v>
      </c>
      <c r="N31" s="1059" t="e">
        <f>#REF!+'Table 10 POSB Liabilities'!N31</f>
        <v>#REF!</v>
      </c>
      <c r="O31" s="1059" t="e">
        <f>#REF!+'Table 10 POSB Liabilities'!O31</f>
        <v>#REF!</v>
      </c>
      <c r="P31" s="1059" t="e">
        <f>#REF!+'Table 10 POSB Liabilities'!P31</f>
        <v>#REF!</v>
      </c>
      <c r="Q31" s="1059" t="e">
        <f>#REF!+'Table 10 POSB Liabilities'!Q31</f>
        <v>#REF!</v>
      </c>
      <c r="R31" s="1106" t="e">
        <f t="shared" si="2"/>
        <v>#REF!</v>
      </c>
      <c r="T31" s="1107" t="e">
        <f>R31-'Table 10 POSB Liabilities'!R31-#REF!</f>
        <v>#REF!</v>
      </c>
    </row>
    <row r="32" spans="4:20" ht="13.8">
      <c r="D32" s="1116" t="s">
        <v>1174</v>
      </c>
      <c r="E32" s="1059" t="e">
        <f>#REF!+'Table 10 POSB Liabilities'!E32</f>
        <v>#REF!</v>
      </c>
      <c r="F32" s="1059" t="e">
        <f>#REF!+'Table 10 POSB Liabilities'!F32</f>
        <v>#REF!</v>
      </c>
      <c r="G32" s="1136" t="e">
        <f t="shared" si="0"/>
        <v>#REF!</v>
      </c>
      <c r="H32" s="1061" t="e">
        <f>#REF!+'Table 10 POSB Liabilities'!H32</f>
        <v>#REF!</v>
      </c>
      <c r="I32" s="1059" t="e">
        <f>#REF!+'Table 10 POSB Liabilities'!I32</f>
        <v>#REF!</v>
      </c>
      <c r="J32" s="1061" t="e">
        <f t="shared" si="1"/>
        <v>#REF!</v>
      </c>
      <c r="K32" s="1059" t="e">
        <f>+#REF!+'Table 10 POSB Liabilities'!K32</f>
        <v>#REF!</v>
      </c>
      <c r="L32" s="1059" t="e">
        <f>#REF!+'Table 10 POSB Liabilities'!L32</f>
        <v>#REF!</v>
      </c>
      <c r="M32" s="1059" t="e">
        <f>#REF!+'Table 10 POSB Liabilities'!M32</f>
        <v>#REF!</v>
      </c>
      <c r="N32" s="1059" t="e">
        <f>#REF!+'Table 10 POSB Liabilities'!N32</f>
        <v>#REF!</v>
      </c>
      <c r="O32" s="1059" t="e">
        <f>#REF!+'Table 10 POSB Liabilities'!O32</f>
        <v>#REF!</v>
      </c>
      <c r="P32" s="1059" t="e">
        <f>#REF!+'Table 10 POSB Liabilities'!P32</f>
        <v>#REF!</v>
      </c>
      <c r="Q32" s="1059" t="e">
        <f>#REF!+'Table 10 POSB Liabilities'!Q32</f>
        <v>#REF!</v>
      </c>
      <c r="R32" s="1106" t="e">
        <f t="shared" si="2"/>
        <v>#REF!</v>
      </c>
      <c r="T32" s="1107" t="e">
        <f>R32-'Table 10 POSB Liabilities'!R32-#REF!</f>
        <v>#REF!</v>
      </c>
    </row>
    <row r="33" spans="2:21" ht="13.8">
      <c r="D33" s="1116" t="s">
        <v>1165</v>
      </c>
      <c r="E33" s="1059" t="e">
        <f>#REF!+'Table 10 POSB Liabilities'!E33</f>
        <v>#REF!</v>
      </c>
      <c r="F33" s="1059" t="e">
        <f>#REF!+'Table 10 POSB Liabilities'!F33</f>
        <v>#REF!</v>
      </c>
      <c r="G33" s="1136" t="e">
        <f t="shared" si="0"/>
        <v>#REF!</v>
      </c>
      <c r="H33" s="1061" t="e">
        <f>#REF!+'Table 10 POSB Liabilities'!H33</f>
        <v>#REF!</v>
      </c>
      <c r="I33" s="1059" t="e">
        <f>#REF!+'Table 10 POSB Liabilities'!I33</f>
        <v>#REF!</v>
      </c>
      <c r="J33" s="1061" t="e">
        <f t="shared" si="1"/>
        <v>#REF!</v>
      </c>
      <c r="K33" s="1059" t="e">
        <f>+#REF!+'Table 10 POSB Liabilities'!K33</f>
        <v>#REF!</v>
      </c>
      <c r="L33" s="1059" t="e">
        <f>#REF!+'Table 10 POSB Liabilities'!L33</f>
        <v>#REF!</v>
      </c>
      <c r="M33" s="1059" t="e">
        <f>#REF!+'Table 10 POSB Liabilities'!M33</f>
        <v>#REF!</v>
      </c>
      <c r="N33" s="1059" t="e">
        <f>#REF!+'Table 10 POSB Liabilities'!N33</f>
        <v>#REF!</v>
      </c>
      <c r="O33" s="1059" t="e">
        <f>#REF!+'Table 10 POSB Liabilities'!O33</f>
        <v>#REF!</v>
      </c>
      <c r="P33" s="1059" t="e">
        <f>#REF!+'Table 10 POSB Liabilities'!P33</f>
        <v>#REF!</v>
      </c>
      <c r="Q33" s="1059" t="e">
        <f>#REF!+'Table 10 POSB Liabilities'!Q33</f>
        <v>#REF!</v>
      </c>
      <c r="R33" s="1106" t="e">
        <f t="shared" si="2"/>
        <v>#REF!</v>
      </c>
      <c r="T33" s="1107" t="e">
        <f>R33-'Table 10 POSB Liabilities'!R33-#REF!</f>
        <v>#REF!</v>
      </c>
    </row>
    <row r="34" spans="2:21" ht="13.8">
      <c r="D34" s="1116" t="s">
        <v>1203</v>
      </c>
      <c r="E34" s="1059" t="e">
        <f>#REF!+'Table 10 POSB Liabilities'!E34</f>
        <v>#REF!</v>
      </c>
      <c r="F34" s="1059" t="e">
        <f>#REF!+'Table 10 POSB Liabilities'!F34</f>
        <v>#REF!</v>
      </c>
      <c r="G34" s="1136" t="e">
        <f t="shared" si="0"/>
        <v>#REF!</v>
      </c>
      <c r="H34" s="1061" t="e">
        <f>#REF!+'Table 10 POSB Liabilities'!H34</f>
        <v>#REF!</v>
      </c>
      <c r="I34" s="1059" t="e">
        <f>#REF!+'Table 10 POSB Liabilities'!I34</f>
        <v>#REF!</v>
      </c>
      <c r="J34" s="1061" t="e">
        <f t="shared" si="1"/>
        <v>#REF!</v>
      </c>
      <c r="K34" s="1059" t="e">
        <f>+#REF!+'Table 10 POSB Liabilities'!K34</f>
        <v>#REF!</v>
      </c>
      <c r="L34" s="1059" t="e">
        <f>#REF!+'Table 10 POSB Liabilities'!L34</f>
        <v>#REF!</v>
      </c>
      <c r="M34" s="1059" t="e">
        <f>#REF!+'Table 10 POSB Liabilities'!M34</f>
        <v>#REF!</v>
      </c>
      <c r="N34" s="1059" t="e">
        <f>#REF!+'Table 10 POSB Liabilities'!N34</f>
        <v>#REF!</v>
      </c>
      <c r="O34" s="1059" t="e">
        <f>#REF!+'Table 10 POSB Liabilities'!O34</f>
        <v>#REF!</v>
      </c>
      <c r="P34" s="1059" t="e">
        <f>#REF!+'Table 10 POSB Liabilities'!P34</f>
        <v>#REF!</v>
      </c>
      <c r="Q34" s="1059" t="e">
        <f>#REF!+'Table 10 POSB Liabilities'!Q34</f>
        <v>#REF!</v>
      </c>
      <c r="R34" s="1106" t="e">
        <f t="shared" si="2"/>
        <v>#REF!</v>
      </c>
      <c r="T34" s="1107" t="e">
        <f>R34-'Table 10 POSB Liabilities'!R34-#REF!</f>
        <v>#REF!</v>
      </c>
    </row>
    <row r="35" spans="2:21" ht="13.8">
      <c r="D35" s="1116" t="s">
        <v>1205</v>
      </c>
      <c r="E35" s="1059" t="e">
        <f>#REF!+'Table 10 POSB Liabilities'!E35</f>
        <v>#REF!</v>
      </c>
      <c r="F35" s="1059" t="e">
        <f>#REF!+'Table 10 POSB Liabilities'!F35</f>
        <v>#REF!</v>
      </c>
      <c r="G35" s="1136" t="e">
        <f t="shared" si="0"/>
        <v>#REF!</v>
      </c>
      <c r="H35" s="1061" t="e">
        <f>#REF!+'Table 10 POSB Liabilities'!H35</f>
        <v>#REF!</v>
      </c>
      <c r="I35" s="1059" t="e">
        <f>#REF!+'Table 10 POSB Liabilities'!I35</f>
        <v>#REF!</v>
      </c>
      <c r="J35" s="1061" t="e">
        <f t="shared" si="1"/>
        <v>#REF!</v>
      </c>
      <c r="K35" s="1059" t="e">
        <f>+#REF!+'Table 10 POSB Liabilities'!K35</f>
        <v>#REF!</v>
      </c>
      <c r="L35" s="1059" t="e">
        <f>#REF!+'Table 10 POSB Liabilities'!L35</f>
        <v>#REF!</v>
      </c>
      <c r="M35" s="1059" t="e">
        <f>#REF!+'Table 10 POSB Liabilities'!M35</f>
        <v>#REF!</v>
      </c>
      <c r="N35" s="1059" t="e">
        <f>#REF!+'Table 10 POSB Liabilities'!N35</f>
        <v>#REF!</v>
      </c>
      <c r="O35" s="1059" t="e">
        <f>#REF!+'Table 10 POSB Liabilities'!O35</f>
        <v>#REF!</v>
      </c>
      <c r="P35" s="1059" t="e">
        <f>#REF!+'Table 10 POSB Liabilities'!P35</f>
        <v>#REF!</v>
      </c>
      <c r="Q35" s="1059" t="e">
        <f>#REF!+'Table 10 POSB Liabilities'!Q35</f>
        <v>#REF!</v>
      </c>
      <c r="R35" s="1106" t="e">
        <f t="shared" si="2"/>
        <v>#REF!</v>
      </c>
      <c r="T35" s="1107" t="e">
        <f>R35-'Table 10 POSB Liabilities'!R35-#REF!</f>
        <v>#REF!</v>
      </c>
    </row>
    <row r="36" spans="2:21" ht="13.8">
      <c r="D36" s="1116" t="s">
        <v>1177</v>
      </c>
      <c r="E36" s="1059" t="e">
        <f>#REF!+'Table 10 POSB Liabilities'!E36</f>
        <v>#REF!</v>
      </c>
      <c r="F36" s="1059" t="e">
        <f>#REF!+'Table 10 POSB Liabilities'!F36</f>
        <v>#REF!</v>
      </c>
      <c r="G36" s="1136" t="e">
        <f t="shared" si="0"/>
        <v>#REF!</v>
      </c>
      <c r="H36" s="1061" t="e">
        <f>#REF!+'Table 10 POSB Liabilities'!H36</f>
        <v>#REF!</v>
      </c>
      <c r="I36" s="1059" t="e">
        <f>#REF!+'Table 10 POSB Liabilities'!I36</f>
        <v>#REF!</v>
      </c>
      <c r="J36" s="1061" t="e">
        <f t="shared" si="1"/>
        <v>#REF!</v>
      </c>
      <c r="K36" s="1059" t="e">
        <f>+#REF!+'Table 10 POSB Liabilities'!K36</f>
        <v>#REF!</v>
      </c>
      <c r="L36" s="1059" t="e">
        <f>#REF!+'Table 10 POSB Liabilities'!L36</f>
        <v>#REF!</v>
      </c>
      <c r="M36" s="1059" t="e">
        <f>#REF!+'Table 10 POSB Liabilities'!M36</f>
        <v>#REF!</v>
      </c>
      <c r="N36" s="1059" t="e">
        <f>#REF!+'Table 10 POSB Liabilities'!N36</f>
        <v>#REF!</v>
      </c>
      <c r="O36" s="1059" t="e">
        <f>#REF!+'Table 10 POSB Liabilities'!O36</f>
        <v>#REF!</v>
      </c>
      <c r="P36" s="1059" t="e">
        <f>#REF!+'Table 10 POSB Liabilities'!P36</f>
        <v>#REF!</v>
      </c>
      <c r="Q36" s="1059" t="e">
        <f>#REF!+'Table 10 POSB Liabilities'!Q36</f>
        <v>#REF!</v>
      </c>
      <c r="R36" s="1106" t="e">
        <f t="shared" si="2"/>
        <v>#REF!</v>
      </c>
      <c r="T36" s="1107" t="e">
        <f>R36-'Table 10 POSB Liabilities'!R36-#REF!</f>
        <v>#REF!</v>
      </c>
    </row>
    <row r="37" spans="2:21" ht="13.8">
      <c r="D37" s="1116" t="s">
        <v>1178</v>
      </c>
      <c r="E37" s="1059" t="e">
        <f>#REF!+'Table 10 POSB Liabilities'!E37</f>
        <v>#REF!</v>
      </c>
      <c r="F37" s="1059" t="e">
        <f>#REF!+'Table 10 POSB Liabilities'!F37</f>
        <v>#REF!</v>
      </c>
      <c r="G37" s="1136" t="e">
        <f t="shared" si="0"/>
        <v>#REF!</v>
      </c>
      <c r="H37" s="1061" t="e">
        <f>#REF!+'Table 10 POSB Liabilities'!H37</f>
        <v>#REF!</v>
      </c>
      <c r="I37" s="1059" t="e">
        <f>#REF!+'Table 10 POSB Liabilities'!I37</f>
        <v>#REF!</v>
      </c>
      <c r="J37" s="1061" t="e">
        <f t="shared" si="1"/>
        <v>#REF!</v>
      </c>
      <c r="K37" s="1059" t="e">
        <f>+#REF!+'Table 10 POSB Liabilities'!K37</f>
        <v>#REF!</v>
      </c>
      <c r="L37" s="1059" t="e">
        <f>#REF!+'Table 10 POSB Liabilities'!L37</f>
        <v>#REF!</v>
      </c>
      <c r="M37" s="1059" t="e">
        <f>#REF!+'Table 10 POSB Liabilities'!M37</f>
        <v>#REF!</v>
      </c>
      <c r="N37" s="1059" t="e">
        <f>#REF!+'Table 10 POSB Liabilities'!N37</f>
        <v>#REF!</v>
      </c>
      <c r="O37" s="1059" t="e">
        <f>#REF!+'Table 10 POSB Liabilities'!O37</f>
        <v>#REF!</v>
      </c>
      <c r="P37" s="1059" t="e">
        <f>#REF!+'Table 10 POSB Liabilities'!P37</f>
        <v>#REF!</v>
      </c>
      <c r="Q37" s="1059" t="e">
        <f>#REF!+'Table 10 POSB Liabilities'!Q37</f>
        <v>#REF!</v>
      </c>
      <c r="R37" s="1106" t="e">
        <f t="shared" si="2"/>
        <v>#REF!</v>
      </c>
      <c r="T37" s="1107" t="e">
        <f>R37-'Table 10 POSB Liabilities'!R37-#REF!</f>
        <v>#REF!</v>
      </c>
    </row>
    <row r="38" spans="2:21" ht="13.8">
      <c r="D38" s="1116" t="s">
        <v>1179</v>
      </c>
      <c r="E38" s="1059" t="e">
        <f>#REF!+'Table 10 POSB Liabilities'!E38</f>
        <v>#REF!</v>
      </c>
      <c r="F38" s="1059" t="e">
        <f>#REF!+'Table 10 POSB Liabilities'!F38</f>
        <v>#REF!</v>
      </c>
      <c r="G38" s="1136" t="e">
        <f t="shared" si="0"/>
        <v>#REF!</v>
      </c>
      <c r="H38" s="1061" t="e">
        <f>#REF!+'Table 10 POSB Liabilities'!H38</f>
        <v>#REF!</v>
      </c>
      <c r="I38" s="1059" t="e">
        <f>#REF!+'Table 10 POSB Liabilities'!I38</f>
        <v>#REF!</v>
      </c>
      <c r="J38" s="1061" t="e">
        <f t="shared" si="1"/>
        <v>#REF!</v>
      </c>
      <c r="K38" s="1059" t="e">
        <f>+#REF!+'Table 10 POSB Liabilities'!K38</f>
        <v>#REF!</v>
      </c>
      <c r="L38" s="1059" t="e">
        <f>#REF!+'Table 10 POSB Liabilities'!L38</f>
        <v>#REF!</v>
      </c>
      <c r="M38" s="1059" t="e">
        <f>#REF!+'Table 10 POSB Liabilities'!M38</f>
        <v>#REF!</v>
      </c>
      <c r="N38" s="1059" t="e">
        <f>#REF!+'Table 10 POSB Liabilities'!N38</f>
        <v>#REF!</v>
      </c>
      <c r="O38" s="1059" t="e">
        <f>#REF!+'Table 10 POSB Liabilities'!O38</f>
        <v>#REF!</v>
      </c>
      <c r="P38" s="1059" t="e">
        <f>#REF!+'Table 10 POSB Liabilities'!P38</f>
        <v>#REF!</v>
      </c>
      <c r="Q38" s="1059" t="e">
        <f>#REF!+'Table 10 POSB Liabilities'!Q38</f>
        <v>#REF!</v>
      </c>
      <c r="R38" s="1106" t="e">
        <f t="shared" si="2"/>
        <v>#REF!</v>
      </c>
      <c r="T38" s="1107" t="e">
        <f>R38-'Table 10 POSB Liabilities'!R38-#REF!</f>
        <v>#REF!</v>
      </c>
    </row>
    <row r="39" spans="2:21" ht="13.8">
      <c r="D39" s="1116" t="s">
        <v>1180</v>
      </c>
      <c r="E39" s="1059" t="e">
        <f>#REF!+'Table 10 POSB Liabilities'!E39</f>
        <v>#REF!</v>
      </c>
      <c r="F39" s="1059" t="e">
        <f>#REF!+'Table 10 POSB Liabilities'!F39</f>
        <v>#REF!</v>
      </c>
      <c r="G39" s="1136" t="e">
        <f t="shared" si="0"/>
        <v>#REF!</v>
      </c>
      <c r="H39" s="1061" t="e">
        <f>#REF!+'Table 10 POSB Liabilities'!H39</f>
        <v>#REF!</v>
      </c>
      <c r="I39" s="1059" t="e">
        <f>#REF!+'Table 10 POSB Liabilities'!I39</f>
        <v>#REF!</v>
      </c>
      <c r="J39" s="1061" t="e">
        <f t="shared" si="1"/>
        <v>#REF!</v>
      </c>
      <c r="K39" s="1059" t="e">
        <f>+#REF!+'Table 10 POSB Liabilities'!K39</f>
        <v>#REF!</v>
      </c>
      <c r="L39" s="1059" t="e">
        <f>#REF!+'Table 10 POSB Liabilities'!L39</f>
        <v>#REF!</v>
      </c>
      <c r="M39" s="1059" t="e">
        <f>#REF!+'Table 10 POSB Liabilities'!M39</f>
        <v>#REF!</v>
      </c>
      <c r="N39" s="1059" t="e">
        <f>#REF!+'Table 10 POSB Liabilities'!N39</f>
        <v>#REF!</v>
      </c>
      <c r="O39" s="1059" t="e">
        <f>#REF!+'Table 10 POSB Liabilities'!O39</f>
        <v>#REF!</v>
      </c>
      <c r="P39" s="1059" t="e">
        <f>#REF!+'Table 10 POSB Liabilities'!P39</f>
        <v>#REF!</v>
      </c>
      <c r="Q39" s="1059" t="e">
        <f>#REF!+'Table 10 POSB Liabilities'!Q39</f>
        <v>#REF!</v>
      </c>
      <c r="R39" s="1106" t="e">
        <f t="shared" si="2"/>
        <v>#REF!</v>
      </c>
      <c r="T39" s="1107" t="e">
        <f>R39-'Table 10 POSB Liabilities'!R39-#REF!</f>
        <v>#REF!</v>
      </c>
    </row>
    <row r="40" spans="2:21" ht="13.8">
      <c r="D40" s="1116" t="s">
        <v>1181</v>
      </c>
      <c r="E40" s="1059" t="e">
        <f>#REF!+'Table 10 POSB Liabilities'!E40</f>
        <v>#REF!</v>
      </c>
      <c r="F40" s="1059" t="e">
        <f>#REF!+'Table 10 POSB Liabilities'!F40</f>
        <v>#REF!</v>
      </c>
      <c r="G40" s="1136" t="e">
        <f t="shared" si="0"/>
        <v>#REF!</v>
      </c>
      <c r="H40" s="1061" t="e">
        <f>#REF!+'Table 10 POSB Liabilities'!H40</f>
        <v>#REF!</v>
      </c>
      <c r="I40" s="1059" t="e">
        <f>#REF!+'Table 10 POSB Liabilities'!I40</f>
        <v>#REF!</v>
      </c>
      <c r="J40" s="1061" t="e">
        <f t="shared" si="1"/>
        <v>#REF!</v>
      </c>
      <c r="K40" s="1059" t="e">
        <f>+#REF!+'Table 10 POSB Liabilities'!K40</f>
        <v>#REF!</v>
      </c>
      <c r="L40" s="1059" t="e">
        <f>#REF!+'Table 10 POSB Liabilities'!L40</f>
        <v>#REF!</v>
      </c>
      <c r="M40" s="1059" t="e">
        <f>#REF!+'Table 10 POSB Liabilities'!M40</f>
        <v>#REF!</v>
      </c>
      <c r="N40" s="1059" t="e">
        <f>#REF!+'Table 10 POSB Liabilities'!N40</f>
        <v>#REF!</v>
      </c>
      <c r="O40" s="1059" t="e">
        <f>#REF!+'Table 10 POSB Liabilities'!O40</f>
        <v>#REF!</v>
      </c>
      <c r="P40" s="1059" t="e">
        <f>#REF!+'Table 10 POSB Liabilities'!P40</f>
        <v>#REF!</v>
      </c>
      <c r="Q40" s="1059" t="e">
        <f>#REF!+'Table 10 POSB Liabilities'!Q40</f>
        <v>#REF!</v>
      </c>
      <c r="R40" s="1106" t="e">
        <f t="shared" si="2"/>
        <v>#REF!</v>
      </c>
      <c r="T40" s="1107" t="e">
        <f>R40-'Table 10 POSB Liabilities'!R40-#REF!</f>
        <v>#REF!</v>
      </c>
    </row>
    <row r="41" spans="2:21" ht="13.8">
      <c r="D41" s="1116"/>
      <c r="E41" s="1059"/>
      <c r="F41" s="1059"/>
      <c r="G41" s="1061"/>
      <c r="H41" s="1059"/>
      <c r="I41" s="1059"/>
      <c r="J41" s="1061"/>
      <c r="K41" s="1059"/>
      <c r="L41" s="1059"/>
      <c r="M41" s="1059"/>
      <c r="N41" s="1059"/>
      <c r="O41" s="1059"/>
      <c r="P41" s="1059"/>
      <c r="Q41" s="1059"/>
      <c r="R41" s="1106"/>
      <c r="U41" s="1108"/>
    </row>
    <row r="42" spans="2:21" ht="13.8">
      <c r="D42" s="1101">
        <v>2017</v>
      </c>
      <c r="E42" s="1059"/>
      <c r="F42" s="1059"/>
      <c r="G42" s="1061"/>
      <c r="H42" s="1059"/>
      <c r="I42" s="1059"/>
      <c r="J42" s="1061"/>
      <c r="K42" s="1059"/>
      <c r="L42" s="1059"/>
      <c r="M42" s="1059"/>
      <c r="N42" s="1059"/>
      <c r="O42" s="1059"/>
      <c r="P42" s="1059"/>
      <c r="Q42" s="1059"/>
      <c r="R42" s="1061"/>
      <c r="S42" s="1109"/>
      <c r="T42" s="1111"/>
      <c r="U42" s="1108"/>
    </row>
    <row r="43" spans="2:21" ht="13.8">
      <c r="D43" s="1116" t="s">
        <v>1170</v>
      </c>
      <c r="E43" s="1059" t="e">
        <f>#REF!+'Table 10 POSB Liabilities'!E43</f>
        <v>#REF!</v>
      </c>
      <c r="F43" s="1059" t="e">
        <f>#REF!+'Table 10 POSB Liabilities'!F43</f>
        <v>#REF!</v>
      </c>
      <c r="G43" s="1136" t="e">
        <f>SUM(E43:F43)</f>
        <v>#REF!</v>
      </c>
      <c r="H43" s="1061" t="e">
        <f>#REF!+'Table 10 POSB Liabilities'!H43</f>
        <v>#REF!</v>
      </c>
      <c r="I43" s="1059" t="e">
        <f>#REF!+'Table 10 POSB Liabilities'!I43</f>
        <v>#REF!</v>
      </c>
      <c r="J43" s="1061" t="e">
        <f>SUM(G43:I43)</f>
        <v>#REF!</v>
      </c>
      <c r="K43" s="1059" t="e">
        <f>+#REF!+'Table 10 POSB Liabilities'!K43</f>
        <v>#REF!</v>
      </c>
      <c r="L43" s="1059" t="e">
        <f>#REF!+'Table 10 POSB Liabilities'!L43</f>
        <v>#REF!</v>
      </c>
      <c r="M43" s="1059" t="e">
        <f>#REF!+'Table 10 POSB Liabilities'!M43</f>
        <v>#REF!</v>
      </c>
      <c r="N43" s="1059" t="e">
        <f>#REF!+'Table 10 POSB Liabilities'!N43</f>
        <v>#REF!</v>
      </c>
      <c r="O43" s="1059" t="e">
        <f>#REF!+'Table 10 POSB Liabilities'!O43</f>
        <v>#REF!</v>
      </c>
      <c r="P43" s="1059" t="e">
        <f>#REF!+'Table 10 POSB Liabilities'!P43</f>
        <v>#REF!</v>
      </c>
      <c r="Q43" s="1059" t="e">
        <f>#REF!+'Table 10 POSB Liabilities'!Q43</f>
        <v>#REF!</v>
      </c>
      <c r="R43" s="1106" t="e">
        <f>SUM(J43:Q43)</f>
        <v>#REF!</v>
      </c>
      <c r="T43" s="1107" t="e">
        <f>R43-'Table 10 POSB Liabilities'!R43-#REF!</f>
        <v>#REF!</v>
      </c>
    </row>
    <row r="44" spans="2:21" ht="13.8">
      <c r="D44" s="1116" t="s">
        <v>1172</v>
      </c>
      <c r="E44" s="1059" t="e">
        <f>#REF!+'Table 10 POSB Liabilities'!E44</f>
        <v>#REF!</v>
      </c>
      <c r="F44" s="1059" t="e">
        <f>#REF!+'Table 10 POSB Liabilities'!F44</f>
        <v>#REF!</v>
      </c>
      <c r="G44" s="1136" t="e">
        <f>SUM(E44:F44)</f>
        <v>#REF!</v>
      </c>
      <c r="H44" s="1061" t="e">
        <f>#REF!+'Table 10 POSB Liabilities'!H44</f>
        <v>#REF!</v>
      </c>
      <c r="I44" s="1059" t="e">
        <f>#REF!+'Table 10 POSB Liabilities'!I44</f>
        <v>#REF!</v>
      </c>
      <c r="J44" s="1061" t="e">
        <f>SUM(G44:I44)</f>
        <v>#REF!</v>
      </c>
      <c r="K44" s="1059" t="e">
        <f>+#REF!+'Table 10 POSB Liabilities'!K44</f>
        <v>#REF!</v>
      </c>
      <c r="L44" s="1059" t="e">
        <f>#REF!+'Table 10 POSB Liabilities'!L44</f>
        <v>#REF!</v>
      </c>
      <c r="M44" s="1059" t="e">
        <f>#REF!+'Table 10 POSB Liabilities'!M44</f>
        <v>#REF!</v>
      </c>
      <c r="N44" s="1059" t="e">
        <f>#REF!+'Table 10 POSB Liabilities'!N44</f>
        <v>#REF!</v>
      </c>
      <c r="O44" s="1059" t="e">
        <f>#REF!+'Table 10 POSB Liabilities'!O44</f>
        <v>#REF!</v>
      </c>
      <c r="P44" s="1059" t="e">
        <f>#REF!+'Table 10 POSB Liabilities'!P44</f>
        <v>#REF!</v>
      </c>
      <c r="Q44" s="1059" t="e">
        <f>#REF!+'Table 10 POSB Liabilities'!Q44</f>
        <v>#REF!</v>
      </c>
      <c r="R44" s="1106" t="e">
        <f>SUM(J44:Q44)</f>
        <v>#REF!</v>
      </c>
      <c r="T44" s="1107" t="e">
        <f>R44-'Table 10 POSB Liabilities'!R44-#REF!</f>
        <v>#REF!</v>
      </c>
    </row>
    <row r="45" spans="2:21" ht="14.4" thickBot="1">
      <c r="D45" s="1116"/>
      <c r="E45" s="1129"/>
      <c r="F45" s="1129"/>
      <c r="G45" s="1130"/>
      <c r="H45" s="1129"/>
      <c r="I45" s="1129"/>
      <c r="J45" s="1130"/>
      <c r="K45" s="1129"/>
      <c r="L45" s="1129"/>
      <c r="M45" s="1129"/>
      <c r="N45" s="1129"/>
      <c r="O45" s="1129"/>
      <c r="P45" s="1129"/>
      <c r="Q45" s="1129"/>
      <c r="R45" s="1130"/>
      <c r="S45" s="1102"/>
    </row>
    <row r="46" spans="2:21" ht="13.8" thickTop="1">
      <c r="D46" s="1131"/>
      <c r="E46" s="1132"/>
      <c r="F46" s="1132"/>
      <c r="G46" s="1133"/>
      <c r="H46" s="1132"/>
      <c r="I46" s="1132"/>
      <c r="J46" s="1134"/>
      <c r="K46" s="1135"/>
      <c r="L46" s="1135"/>
      <c r="M46" s="1135"/>
      <c r="N46" s="1135"/>
      <c r="O46" s="1135"/>
      <c r="P46" s="1135"/>
      <c r="Q46" s="1135"/>
      <c r="R46" s="1134"/>
      <c r="S46" s="1102"/>
    </row>
    <row r="47" spans="2:21" s="532" customFormat="1" ht="18" customHeight="1">
      <c r="B47" s="965"/>
      <c r="C47" s="928"/>
      <c r="D47" s="965" t="s">
        <v>1360</v>
      </c>
      <c r="E47" s="928"/>
      <c r="F47" s="928"/>
      <c r="G47" s="926"/>
      <c r="H47" s="926"/>
      <c r="I47" s="926"/>
      <c r="J47" s="926"/>
      <c r="K47" s="926"/>
      <c r="L47" s="926"/>
      <c r="M47" s="926"/>
      <c r="N47" s="926"/>
      <c r="O47" s="926"/>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2" customWidth="1"/>
    <col min="2" max="2" width="11.54296875" style="532" bestFit="1" customWidth="1"/>
    <col min="3" max="3" width="13.81640625" style="532" customWidth="1"/>
    <col min="4" max="4" width="11.08984375" style="532" bestFit="1" customWidth="1"/>
    <col min="5" max="5" width="12.6328125" style="532" customWidth="1"/>
    <col min="6" max="6" width="11.08984375" style="532" customWidth="1"/>
    <col min="7" max="7" width="10.90625" style="532" customWidth="1"/>
    <col min="8" max="8" width="13.453125" style="532" customWidth="1"/>
    <col min="9" max="9" width="11.90625" style="532" bestFit="1" customWidth="1"/>
    <col min="10" max="10" width="12.1796875" style="532" customWidth="1"/>
    <col min="11" max="11" width="11.36328125" style="532" customWidth="1"/>
    <col min="12" max="12" width="9.54296875" style="532" customWidth="1"/>
    <col min="13" max="13" width="11.54296875" style="532" customWidth="1"/>
    <col min="14" max="14" width="12.08984375" style="532" customWidth="1"/>
    <col min="15" max="15" width="12.81640625" style="532" customWidth="1"/>
    <col min="16" max="16" width="11.54296875" style="532" customWidth="1"/>
    <col min="17" max="17" width="15.6328125" style="532" customWidth="1"/>
    <col min="18" max="16384" width="15.6328125" style="532"/>
  </cols>
  <sheetData>
    <row r="1" spans="1:59" ht="15.9" customHeight="1"/>
    <row r="2" spans="1:59" ht="20.25" customHeight="1">
      <c r="A2" s="533"/>
      <c r="B2" s="1845" t="s">
        <v>1733</v>
      </c>
      <c r="C2" s="1845"/>
      <c r="D2" s="1845"/>
      <c r="E2" s="1845"/>
      <c r="F2" s="1845"/>
      <c r="G2" s="1845"/>
      <c r="H2" s="1845"/>
      <c r="I2" s="1845"/>
      <c r="J2" s="1845"/>
      <c r="K2" s="1845"/>
      <c r="L2" s="1845"/>
      <c r="M2" s="1845"/>
      <c r="N2" s="1845"/>
      <c r="O2" s="1845"/>
      <c r="P2" s="534"/>
      <c r="Q2" s="533"/>
    </row>
    <row r="3" spans="1:59" ht="6.75" customHeight="1">
      <c r="A3" s="533"/>
      <c r="B3" s="938"/>
      <c r="C3" s="938"/>
      <c r="D3" s="245"/>
      <c r="E3" s="245"/>
      <c r="F3" s="245"/>
      <c r="G3" s="245"/>
      <c r="H3" s="245"/>
      <c r="I3" s="245"/>
      <c r="J3" s="245"/>
      <c r="K3" s="245"/>
      <c r="L3" s="245"/>
      <c r="M3" s="245"/>
      <c r="N3" s="245"/>
      <c r="O3" s="245"/>
      <c r="P3" s="534"/>
      <c r="Q3" s="533"/>
    </row>
    <row r="4" spans="1:59" ht="13.95" customHeight="1">
      <c r="A4" s="533"/>
      <c r="B4" s="1845" t="s">
        <v>1784</v>
      </c>
      <c r="C4" s="1845"/>
      <c r="D4" s="1845"/>
      <c r="E4" s="1845"/>
      <c r="F4" s="1845"/>
      <c r="G4" s="1845"/>
      <c r="H4" s="1845"/>
      <c r="I4" s="1845"/>
      <c r="J4" s="1845"/>
      <c r="K4" s="1845"/>
      <c r="L4" s="1845"/>
      <c r="M4" s="1845"/>
      <c r="N4" s="1845"/>
      <c r="O4" s="1845"/>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c r="AT4" s="731"/>
      <c r="AU4" s="731"/>
      <c r="AV4" s="731"/>
      <c r="AW4" s="731"/>
      <c r="AX4" s="731"/>
      <c r="AY4" s="731"/>
      <c r="AZ4" s="731"/>
      <c r="BA4" s="731"/>
      <c r="BB4" s="731"/>
      <c r="BC4" s="731"/>
      <c r="BD4" s="731"/>
      <c r="BE4" s="731"/>
      <c r="BF4" s="731"/>
      <c r="BG4" s="731"/>
    </row>
    <row r="5" spans="1:59" ht="19.95" customHeight="1" thickBot="1">
      <c r="A5" s="533"/>
      <c r="B5" s="927"/>
      <c r="C5" s="927"/>
      <c r="D5" s="927"/>
      <c r="E5" s="927"/>
      <c r="F5" s="927"/>
      <c r="G5" s="927"/>
      <c r="H5" s="927"/>
      <c r="I5" s="927"/>
      <c r="J5" s="927"/>
      <c r="K5" s="927"/>
      <c r="L5" s="927"/>
      <c r="M5" s="927"/>
      <c r="N5" s="927"/>
      <c r="O5" s="927"/>
      <c r="P5" s="534"/>
      <c r="Q5" s="533"/>
    </row>
    <row r="6" spans="1:59" ht="22.95" customHeight="1" thickTop="1">
      <c r="A6" s="533"/>
      <c r="B6" s="894"/>
      <c r="C6" s="894"/>
      <c r="D6" s="894"/>
      <c r="E6" s="894" t="s">
        <v>296</v>
      </c>
      <c r="F6" s="1760"/>
      <c r="G6" s="1770"/>
      <c r="H6" s="1761"/>
      <c r="I6" s="1770"/>
      <c r="J6" s="1778"/>
      <c r="K6" s="1770"/>
      <c r="L6" s="1770"/>
      <c r="M6" s="1779"/>
      <c r="N6" s="894"/>
      <c r="O6" s="894"/>
      <c r="P6" s="535"/>
      <c r="Q6" s="1356">
        <v>1000</v>
      </c>
      <c r="R6" s="536"/>
      <c r="S6" s="536"/>
      <c r="T6" s="536"/>
      <c r="U6" s="536"/>
    </row>
    <row r="7" spans="1:59" ht="19.95" customHeight="1">
      <c r="A7" s="533"/>
      <c r="B7" s="1483"/>
      <c r="C7" s="857" t="s">
        <v>392</v>
      </c>
      <c r="D7" s="858" t="s">
        <v>393</v>
      </c>
      <c r="E7" s="858" t="s">
        <v>395</v>
      </c>
      <c r="F7" s="858" t="s">
        <v>396</v>
      </c>
      <c r="G7" s="1750" t="s">
        <v>401</v>
      </c>
      <c r="H7" s="1739" t="s">
        <v>402</v>
      </c>
      <c r="I7" s="1750" t="s">
        <v>403</v>
      </c>
      <c r="J7" s="1750" t="s">
        <v>404</v>
      </c>
      <c r="K7" s="1750" t="s">
        <v>405</v>
      </c>
      <c r="L7" s="1750" t="s">
        <v>406</v>
      </c>
      <c r="M7" s="1739" t="s">
        <v>407</v>
      </c>
      <c r="N7" s="858" t="s">
        <v>1313</v>
      </c>
      <c r="O7" s="858" t="s">
        <v>287</v>
      </c>
      <c r="P7" s="535"/>
      <c r="Q7" s="536"/>
      <c r="R7" s="536"/>
      <c r="S7" s="536"/>
      <c r="T7" s="536"/>
      <c r="U7" s="536"/>
    </row>
    <row r="8" spans="1:59" ht="19.95" customHeight="1">
      <c r="A8" s="533"/>
      <c r="B8" s="858" t="s">
        <v>263</v>
      </c>
      <c r="C8" s="858" t="s">
        <v>296</v>
      </c>
      <c r="D8" s="858" t="s">
        <v>296</v>
      </c>
      <c r="E8" s="857"/>
      <c r="F8" s="858" t="s">
        <v>296</v>
      </c>
      <c r="G8" s="1750" t="s">
        <v>408</v>
      </c>
      <c r="H8" s="1739" t="s">
        <v>409</v>
      </c>
      <c r="I8" s="1750" t="s">
        <v>296</v>
      </c>
      <c r="J8" s="1750" t="s">
        <v>296</v>
      </c>
      <c r="K8" s="1750" t="s">
        <v>296</v>
      </c>
      <c r="L8" s="1750" t="s">
        <v>296</v>
      </c>
      <c r="M8" s="1740"/>
      <c r="N8" s="857"/>
      <c r="O8" s="857"/>
      <c r="P8" s="535"/>
      <c r="Q8" s="536"/>
      <c r="R8" s="536"/>
      <c r="S8" s="536"/>
      <c r="T8" s="536"/>
      <c r="U8" s="536"/>
    </row>
    <row r="9" spans="1:59" ht="19.95" customHeight="1" thickBot="1">
      <c r="A9" s="533"/>
      <c r="B9" s="859"/>
      <c r="C9" s="859"/>
      <c r="D9" s="859"/>
      <c r="E9" s="859"/>
      <c r="F9" s="1731"/>
      <c r="G9" s="1751"/>
      <c r="H9" s="1741"/>
      <c r="I9" s="1751"/>
      <c r="J9" s="1751"/>
      <c r="K9" s="1780"/>
      <c r="L9" s="1780"/>
      <c r="M9" s="1741"/>
      <c r="N9" s="859"/>
      <c r="O9" s="860"/>
      <c r="P9" s="535"/>
      <c r="Q9" s="536"/>
      <c r="R9" s="536"/>
      <c r="S9" s="536"/>
      <c r="T9" s="536"/>
      <c r="U9" s="536"/>
    </row>
    <row r="10" spans="1:59" ht="19.5" hidden="1" customHeight="1" thickTop="1">
      <c r="A10" s="533"/>
      <c r="B10" s="861">
        <v>2009</v>
      </c>
      <c r="C10" s="862"/>
      <c r="D10" s="862"/>
      <c r="E10" s="862"/>
      <c r="F10" s="862"/>
      <c r="G10" s="1752"/>
      <c r="H10" s="1742"/>
      <c r="I10" s="1752"/>
      <c r="J10" s="1752"/>
      <c r="K10" s="1752"/>
      <c r="L10" s="1762"/>
      <c r="M10" s="1742"/>
      <c r="N10" s="862"/>
      <c r="O10" s="863"/>
      <c r="P10" s="535"/>
      <c r="Q10" s="536"/>
      <c r="R10" s="536"/>
      <c r="S10" s="536"/>
      <c r="T10" s="536"/>
      <c r="U10" s="536"/>
    </row>
    <row r="11" spans="1:59" ht="10.8" hidden="1" thickTop="1">
      <c r="B11" s="864"/>
      <c r="C11" s="862"/>
      <c r="D11" s="862"/>
      <c r="E11" s="862"/>
      <c r="F11" s="862"/>
      <c r="G11" s="1752"/>
      <c r="H11" s="1742"/>
      <c r="I11" s="1752"/>
      <c r="J11" s="1752"/>
      <c r="K11" s="1752"/>
      <c r="L11" s="1762"/>
      <c r="M11" s="1742"/>
      <c r="N11" s="862"/>
      <c r="O11" s="863"/>
    </row>
    <row r="12" spans="1:59" ht="10.8" hidden="1" thickTop="1">
      <c r="B12" s="615" t="s">
        <v>299</v>
      </c>
      <c r="C12" s="619">
        <v>26021242</v>
      </c>
      <c r="D12" s="619">
        <v>3439039</v>
      </c>
      <c r="E12" s="619">
        <v>0</v>
      </c>
      <c r="F12" s="1732">
        <v>8471455</v>
      </c>
      <c r="G12" s="1753">
        <v>85425.8</v>
      </c>
      <c r="H12" s="1771">
        <v>19611109</v>
      </c>
      <c r="I12" s="1753">
        <v>10868597</v>
      </c>
      <c r="J12" s="1753">
        <v>12918429</v>
      </c>
      <c r="K12" s="1753">
        <v>14807252</v>
      </c>
      <c r="L12" s="1763">
        <v>634503</v>
      </c>
      <c r="M12" s="1743">
        <v>18960000</v>
      </c>
      <c r="N12" s="619">
        <v>2219578</v>
      </c>
      <c r="O12" s="619">
        <f>SUM(C12:N12)</f>
        <v>118036629.8</v>
      </c>
    </row>
    <row r="13" spans="1:59" ht="10.8" hidden="1" thickTop="1">
      <c r="B13" s="615"/>
      <c r="C13" s="619"/>
      <c r="D13" s="619"/>
      <c r="E13" s="619"/>
      <c r="F13" s="1732"/>
      <c r="G13" s="1753"/>
      <c r="H13" s="1771"/>
      <c r="I13" s="1753"/>
      <c r="J13" s="1753"/>
      <c r="K13" s="1753"/>
      <c r="L13" s="1763"/>
      <c r="M13" s="1743"/>
      <c r="N13" s="619"/>
      <c r="O13" s="619"/>
    </row>
    <row r="14" spans="1:59" ht="10.8" hidden="1" thickTop="1">
      <c r="B14" s="615" t="s">
        <v>300</v>
      </c>
      <c r="C14" s="619">
        <v>25217746</v>
      </c>
      <c r="D14" s="619">
        <v>2170514</v>
      </c>
      <c r="E14" s="619">
        <v>148254</v>
      </c>
      <c r="F14" s="1732">
        <v>10974370</v>
      </c>
      <c r="G14" s="1753">
        <v>260101.7</v>
      </c>
      <c r="H14" s="1771">
        <v>17851016</v>
      </c>
      <c r="I14" s="1753">
        <v>11412152</v>
      </c>
      <c r="J14" s="1753">
        <v>12533450</v>
      </c>
      <c r="K14" s="1753">
        <v>12784468</v>
      </c>
      <c r="L14" s="1763">
        <v>728611</v>
      </c>
      <c r="M14" s="1743">
        <v>1323943</v>
      </c>
      <c r="N14" s="619">
        <v>1879589</v>
      </c>
      <c r="O14" s="619">
        <f>SUM(C14:N14)</f>
        <v>97284214.700000003</v>
      </c>
    </row>
    <row r="15" spans="1:59" ht="10.8" hidden="1" thickTop="1">
      <c r="B15" s="615"/>
      <c r="C15" s="619"/>
      <c r="D15" s="619"/>
      <c r="E15" s="619"/>
      <c r="F15" s="1732"/>
      <c r="G15" s="1753"/>
      <c r="H15" s="1771"/>
      <c r="I15" s="1753"/>
      <c r="J15" s="1753"/>
      <c r="K15" s="1753"/>
      <c r="L15" s="1763"/>
      <c r="M15" s="1743"/>
      <c r="N15" s="619"/>
      <c r="O15" s="619"/>
    </row>
    <row r="16" spans="1:59" ht="10.8" hidden="1" thickTop="1">
      <c r="B16" s="615" t="s">
        <v>301</v>
      </c>
      <c r="C16" s="619">
        <v>31977627</v>
      </c>
      <c r="D16" s="619">
        <v>2762518</v>
      </c>
      <c r="E16" s="619">
        <v>285506</v>
      </c>
      <c r="F16" s="1732">
        <v>20930038</v>
      </c>
      <c r="G16" s="1753">
        <v>1208205.7</v>
      </c>
      <c r="H16" s="1771">
        <v>15821698</v>
      </c>
      <c r="I16" s="1753">
        <v>12326901</v>
      </c>
      <c r="J16" s="1753">
        <v>18154502</v>
      </c>
      <c r="K16" s="1753">
        <v>19499463</v>
      </c>
      <c r="L16" s="1763">
        <v>3893283</v>
      </c>
      <c r="M16" s="1743">
        <v>5776306</v>
      </c>
      <c r="N16" s="619">
        <v>1872163</v>
      </c>
      <c r="O16" s="619">
        <f>SUM(C16:N16)</f>
        <v>134508210.69999999</v>
      </c>
    </row>
    <row r="17" spans="2:15" ht="10.8" hidden="1" thickTop="1">
      <c r="B17" s="615"/>
      <c r="C17" s="619"/>
      <c r="D17" s="619"/>
      <c r="E17" s="619"/>
      <c r="F17" s="1732"/>
      <c r="G17" s="1753"/>
      <c r="H17" s="1771"/>
      <c r="I17" s="1753"/>
      <c r="J17" s="1753"/>
      <c r="K17" s="1753"/>
      <c r="L17" s="1763"/>
      <c r="M17" s="1743"/>
      <c r="N17" s="619"/>
      <c r="O17" s="619"/>
    </row>
    <row r="18" spans="2:15" ht="10.8" hidden="1" thickTop="1">
      <c r="B18" s="615" t="s">
        <v>302</v>
      </c>
      <c r="C18" s="619">
        <v>37158997</v>
      </c>
      <c r="D18" s="619">
        <v>717613</v>
      </c>
      <c r="E18" s="619">
        <v>869291</v>
      </c>
      <c r="F18" s="1732">
        <v>37525610</v>
      </c>
      <c r="G18" s="1753">
        <v>81094</v>
      </c>
      <c r="H18" s="1771">
        <v>49684820</v>
      </c>
      <c r="I18" s="1753">
        <v>18622305</v>
      </c>
      <c r="J18" s="1753">
        <v>16767522</v>
      </c>
      <c r="K18" s="1753">
        <v>12510478</v>
      </c>
      <c r="L18" s="1763">
        <v>6736073</v>
      </c>
      <c r="M18" s="1743">
        <v>3532434</v>
      </c>
      <c r="N18" s="619">
        <v>1873408</v>
      </c>
      <c r="O18" s="619">
        <f>SUM(C18:N18)</f>
        <v>186079645</v>
      </c>
    </row>
    <row r="19" spans="2:15" ht="10.8" hidden="1" thickTop="1">
      <c r="B19" s="615"/>
      <c r="C19" s="619"/>
      <c r="D19" s="619"/>
      <c r="E19" s="619"/>
      <c r="F19" s="1732"/>
      <c r="G19" s="1753"/>
      <c r="H19" s="1771"/>
      <c r="I19" s="1753"/>
      <c r="J19" s="1753"/>
      <c r="K19" s="1753"/>
      <c r="L19" s="1763"/>
      <c r="M19" s="1743"/>
      <c r="N19" s="619"/>
      <c r="O19" s="619"/>
    </row>
    <row r="20" spans="2:15" ht="10.8" hidden="1" thickTop="1">
      <c r="B20" s="615" t="s">
        <v>303</v>
      </c>
      <c r="C20" s="619">
        <v>60649728</v>
      </c>
      <c r="D20" s="619">
        <v>2717375</v>
      </c>
      <c r="E20" s="619">
        <v>114977</v>
      </c>
      <c r="F20" s="1732">
        <v>63147870</v>
      </c>
      <c r="G20" s="1753">
        <v>6437</v>
      </c>
      <c r="H20" s="1771">
        <v>18918170</v>
      </c>
      <c r="I20" s="1753">
        <v>21023280</v>
      </c>
      <c r="J20" s="1753">
        <v>32087232</v>
      </c>
      <c r="K20" s="1753">
        <v>14378180</v>
      </c>
      <c r="L20" s="1763">
        <v>5238914</v>
      </c>
      <c r="M20" s="1743">
        <v>4618150</v>
      </c>
      <c r="N20" s="619">
        <v>3027982</v>
      </c>
      <c r="O20" s="619">
        <f>SUM(C20:N20)</f>
        <v>225928295</v>
      </c>
    </row>
    <row r="21" spans="2:15" ht="10.8" hidden="1" thickTop="1">
      <c r="B21" s="615"/>
      <c r="C21" s="619"/>
      <c r="D21" s="619"/>
      <c r="E21" s="619"/>
      <c r="F21" s="1732"/>
      <c r="G21" s="1753"/>
      <c r="H21" s="1771"/>
      <c r="I21" s="1753"/>
      <c r="J21" s="1753"/>
      <c r="K21" s="1753"/>
      <c r="L21" s="1763"/>
      <c r="M21" s="1743"/>
      <c r="N21" s="619"/>
      <c r="O21" s="619"/>
    </row>
    <row r="22" spans="2:15" ht="10.8" hidden="1" thickTop="1">
      <c r="B22" s="615" t="s">
        <v>304</v>
      </c>
      <c r="C22" s="619">
        <v>71959378</v>
      </c>
      <c r="D22" s="619">
        <v>1612127</v>
      </c>
      <c r="E22" s="619">
        <v>494612</v>
      </c>
      <c r="F22" s="1732">
        <v>88289148</v>
      </c>
      <c r="G22" s="1753">
        <v>2058131</v>
      </c>
      <c r="H22" s="1771">
        <v>15896680</v>
      </c>
      <c r="I22" s="1753">
        <v>45291709</v>
      </c>
      <c r="J22" s="1753">
        <v>13421853</v>
      </c>
      <c r="K22" s="1753">
        <v>17329820</v>
      </c>
      <c r="L22" s="1763">
        <v>5804314</v>
      </c>
      <c r="M22" s="1743">
        <v>7581296</v>
      </c>
      <c r="N22" s="619">
        <v>3965040</v>
      </c>
      <c r="O22" s="619">
        <f>SUM(C22:N22)</f>
        <v>273704108</v>
      </c>
    </row>
    <row r="23" spans="2:15" ht="10.8" hidden="1" thickTop="1">
      <c r="B23" s="634"/>
      <c r="C23" s="619"/>
      <c r="D23" s="619"/>
      <c r="E23" s="619"/>
      <c r="F23" s="1732"/>
      <c r="G23" s="1753"/>
      <c r="H23" s="1771"/>
      <c r="I23" s="1753"/>
      <c r="J23" s="1753"/>
      <c r="K23" s="1753"/>
      <c r="L23" s="1763"/>
      <c r="M23" s="1743"/>
      <c r="N23" s="619"/>
      <c r="O23" s="619"/>
    </row>
    <row r="24" spans="2:15" ht="10.8" hidden="1" thickTop="1">
      <c r="B24" s="615" t="s">
        <v>305</v>
      </c>
      <c r="C24" s="619">
        <v>75293750</v>
      </c>
      <c r="D24" s="619">
        <v>4042618</v>
      </c>
      <c r="E24" s="619">
        <v>2776378</v>
      </c>
      <c r="F24" s="1732">
        <v>110366777</v>
      </c>
      <c r="G24" s="1753">
        <v>2328797</v>
      </c>
      <c r="H24" s="1771">
        <v>19028432</v>
      </c>
      <c r="I24" s="1753">
        <v>58827545</v>
      </c>
      <c r="J24" s="1753">
        <v>24737863</v>
      </c>
      <c r="K24" s="1753">
        <v>24412367</v>
      </c>
      <c r="L24" s="1763">
        <v>7411649</v>
      </c>
      <c r="M24" s="1743">
        <v>10683052</v>
      </c>
      <c r="N24" s="619">
        <v>1131294</v>
      </c>
      <c r="O24" s="619">
        <f>SUM(C24:N24)</f>
        <v>341040522</v>
      </c>
    </row>
    <row r="25" spans="2:15" ht="10.8" hidden="1" thickTop="1">
      <c r="B25" s="615"/>
      <c r="C25" s="619"/>
      <c r="D25" s="619"/>
      <c r="E25" s="619"/>
      <c r="F25" s="1732"/>
      <c r="G25" s="1755"/>
      <c r="H25" s="1771"/>
      <c r="I25" s="1753"/>
      <c r="J25" s="1753"/>
      <c r="K25" s="1753"/>
      <c r="L25" s="1763"/>
      <c r="M25" s="1743"/>
      <c r="N25" s="619"/>
      <c r="O25" s="619"/>
    </row>
    <row r="26" spans="2:15" ht="10.8" hidden="1" thickTop="1">
      <c r="B26" s="615" t="s">
        <v>306</v>
      </c>
      <c r="C26" s="619">
        <v>89385054</v>
      </c>
      <c r="D26" s="619">
        <v>7001930</v>
      </c>
      <c r="E26" s="619">
        <v>365490</v>
      </c>
      <c r="F26" s="1732">
        <v>119125294</v>
      </c>
      <c r="G26" s="1753">
        <v>125534</v>
      </c>
      <c r="H26" s="1771">
        <v>23640794</v>
      </c>
      <c r="I26" s="1753">
        <v>74835010</v>
      </c>
      <c r="J26" s="1753">
        <v>17470843</v>
      </c>
      <c r="K26" s="1753">
        <v>28860694</v>
      </c>
      <c r="L26" s="1763">
        <v>8579169</v>
      </c>
      <c r="M26" s="1743">
        <v>12870973</v>
      </c>
      <c r="N26" s="619">
        <v>448477</v>
      </c>
      <c r="O26" s="619">
        <f>SUM(C26:N26)</f>
        <v>382709262</v>
      </c>
    </row>
    <row r="27" spans="2:15" ht="10.8" hidden="1" thickTop="1">
      <c r="B27" s="615"/>
      <c r="C27" s="619"/>
      <c r="D27" s="619"/>
      <c r="E27" s="619"/>
      <c r="F27" s="1732"/>
      <c r="G27" s="1753"/>
      <c r="H27" s="1771"/>
      <c r="I27" s="1753"/>
      <c r="J27" s="1753"/>
      <c r="K27" s="1753"/>
      <c r="L27" s="1763"/>
      <c r="M27" s="1743"/>
      <c r="N27" s="619"/>
      <c r="O27" s="619"/>
    </row>
    <row r="28" spans="2:15" ht="10.8" hidden="1" thickTop="1">
      <c r="B28" s="615" t="s">
        <v>307</v>
      </c>
      <c r="C28" s="619">
        <v>110009533</v>
      </c>
      <c r="D28" s="619">
        <v>7763050</v>
      </c>
      <c r="E28" s="619">
        <v>1616957</v>
      </c>
      <c r="F28" s="1732">
        <v>117495193</v>
      </c>
      <c r="G28" s="1753">
        <v>446967</v>
      </c>
      <c r="H28" s="1771">
        <v>23557936</v>
      </c>
      <c r="I28" s="1753">
        <v>85825069</v>
      </c>
      <c r="J28" s="1753">
        <v>23784207</v>
      </c>
      <c r="K28" s="1753">
        <v>31810583</v>
      </c>
      <c r="L28" s="1763">
        <v>8871096</v>
      </c>
      <c r="M28" s="1743">
        <v>14460771</v>
      </c>
      <c r="N28" s="619">
        <v>1132022</v>
      </c>
      <c r="O28" s="619">
        <f>SUM(C28:N28)</f>
        <v>426773384</v>
      </c>
    </row>
    <row r="29" spans="2:15" ht="10.8" hidden="1" thickTop="1">
      <c r="B29" s="615"/>
      <c r="C29" s="619"/>
      <c r="D29" s="619"/>
      <c r="E29" s="619"/>
      <c r="F29" s="1732"/>
      <c r="G29" s="1755"/>
      <c r="H29" s="1771"/>
      <c r="I29" s="1753"/>
      <c r="J29" s="1753"/>
      <c r="K29" s="1753"/>
      <c r="L29" s="1763"/>
      <c r="M29" s="1743"/>
      <c r="N29" s="619"/>
      <c r="O29" s="619"/>
    </row>
    <row r="30" spans="2:15" ht="10.8" hidden="1" thickTop="1">
      <c r="B30" s="615" t="s">
        <v>308</v>
      </c>
      <c r="C30" s="619">
        <v>110086065</v>
      </c>
      <c r="D30" s="619">
        <v>7760431</v>
      </c>
      <c r="E30" s="619">
        <v>1679889</v>
      </c>
      <c r="F30" s="1732">
        <v>117127947</v>
      </c>
      <c r="G30" s="1753">
        <v>446982</v>
      </c>
      <c r="H30" s="1771">
        <v>23557957</v>
      </c>
      <c r="I30" s="1753">
        <v>85852322</v>
      </c>
      <c r="J30" s="1753">
        <v>23790672</v>
      </c>
      <c r="K30" s="1753">
        <v>31910583</v>
      </c>
      <c r="L30" s="1763">
        <v>8870820</v>
      </c>
      <c r="M30" s="1743">
        <v>14108182</v>
      </c>
      <c r="N30" s="619">
        <v>1632569</v>
      </c>
      <c r="O30" s="619">
        <f>SUM(C30:N30)</f>
        <v>426824419</v>
      </c>
    </row>
    <row r="31" spans="2:15" ht="10.8" hidden="1" thickTop="1">
      <c r="B31" s="615"/>
      <c r="C31" s="619"/>
      <c r="D31" s="619"/>
      <c r="E31" s="619"/>
      <c r="F31" s="1732"/>
      <c r="G31" s="1753"/>
      <c r="H31" s="1771"/>
      <c r="I31" s="1753"/>
      <c r="J31" s="1753"/>
      <c r="K31" s="1753"/>
      <c r="L31" s="1763"/>
      <c r="M31" s="1743"/>
      <c r="N31" s="619"/>
      <c r="O31" s="619"/>
    </row>
    <row r="32" spans="2:15" ht="10.8" hidden="1" thickTop="1">
      <c r="B32" s="615" t="s">
        <v>311</v>
      </c>
      <c r="C32" s="619">
        <v>110230371</v>
      </c>
      <c r="D32" s="619">
        <v>12406596</v>
      </c>
      <c r="E32" s="619">
        <v>10948327</v>
      </c>
      <c r="F32" s="1732">
        <v>151169935</v>
      </c>
      <c r="G32" s="1753">
        <v>345035</v>
      </c>
      <c r="H32" s="1771">
        <v>32093204</v>
      </c>
      <c r="I32" s="1753">
        <v>116375509</v>
      </c>
      <c r="J32" s="1753">
        <v>36259743</v>
      </c>
      <c r="K32" s="1753">
        <v>35593340</v>
      </c>
      <c r="L32" s="1763">
        <v>12726097</v>
      </c>
      <c r="M32" s="1743">
        <v>23212507</v>
      </c>
      <c r="N32" s="619">
        <v>1016065</v>
      </c>
      <c r="O32" s="619">
        <f>SUM(C32:N32)</f>
        <v>542376729</v>
      </c>
    </row>
    <row r="33" spans="2:15" ht="10.8" hidden="1" thickTop="1">
      <c r="B33" s="615"/>
      <c r="C33" s="619"/>
      <c r="D33" s="619"/>
      <c r="E33" s="619"/>
      <c r="F33" s="1732"/>
      <c r="G33" s="1753"/>
      <c r="H33" s="1771"/>
      <c r="I33" s="1753"/>
      <c r="J33" s="1753"/>
      <c r="K33" s="1753"/>
      <c r="L33" s="1763"/>
      <c r="M33" s="1743"/>
      <c r="N33" s="619"/>
      <c r="O33" s="619"/>
    </row>
    <row r="34" spans="2:15" ht="11.4" hidden="1" thickTop="1" thickBot="1">
      <c r="B34" s="865"/>
      <c r="C34" s="867"/>
      <c r="D34" s="866"/>
      <c r="E34" s="866"/>
      <c r="F34" s="1777"/>
      <c r="G34" s="1754"/>
      <c r="H34" s="1772"/>
      <c r="I34" s="1754"/>
      <c r="J34" s="1754"/>
      <c r="K34" s="1754"/>
      <c r="L34" s="1764"/>
      <c r="M34" s="1744"/>
      <c r="N34" s="866"/>
      <c r="O34" s="620"/>
    </row>
    <row r="35" spans="2:15" ht="10.8" hidden="1" thickTop="1">
      <c r="B35" s="615"/>
      <c r="C35" s="619"/>
      <c r="D35" s="619"/>
      <c r="E35" s="619"/>
      <c r="F35" s="1732"/>
      <c r="G35" s="1753"/>
      <c r="H35" s="1771"/>
      <c r="I35" s="1753"/>
      <c r="J35" s="1753"/>
      <c r="K35" s="1753"/>
      <c r="L35" s="1763"/>
      <c r="M35" s="1743"/>
      <c r="N35" s="619"/>
      <c r="O35" s="619"/>
    </row>
    <row r="36" spans="2:15" ht="10.8" hidden="1" thickTop="1">
      <c r="B36" s="615" t="s">
        <v>298</v>
      </c>
      <c r="C36" s="619">
        <v>126806641</v>
      </c>
      <c r="D36" s="619">
        <v>13557619</v>
      </c>
      <c r="E36" s="619">
        <v>10452523</v>
      </c>
      <c r="F36" s="1732">
        <v>166638417</v>
      </c>
      <c r="G36" s="1755">
        <v>324394</v>
      </c>
      <c r="H36" s="1771">
        <v>31606952</v>
      </c>
      <c r="I36" s="1753">
        <v>124451366</v>
      </c>
      <c r="J36" s="1753">
        <v>34187664</v>
      </c>
      <c r="K36" s="1753">
        <v>44462348</v>
      </c>
      <c r="L36" s="1763">
        <v>8589982</v>
      </c>
      <c r="M36" s="1743">
        <v>29965936</v>
      </c>
      <c r="N36" s="619">
        <v>1050475</v>
      </c>
      <c r="O36" s="619">
        <f>SUM(C36:N36)</f>
        <v>592094317</v>
      </c>
    </row>
    <row r="37" spans="2:15" ht="10.8" hidden="1" thickTop="1">
      <c r="B37" s="615"/>
      <c r="C37" s="619"/>
      <c r="D37" s="619"/>
      <c r="E37" s="619"/>
      <c r="F37" s="1732"/>
      <c r="G37" s="1753"/>
      <c r="H37" s="1771"/>
      <c r="I37" s="1753"/>
      <c r="J37" s="1753"/>
      <c r="K37" s="1753"/>
      <c r="L37" s="1763"/>
      <c r="M37" s="1743"/>
      <c r="N37" s="619"/>
      <c r="O37" s="619"/>
    </row>
    <row r="38" spans="2:15" ht="10.8" hidden="1" thickTop="1">
      <c r="B38" s="615" t="s">
        <v>299</v>
      </c>
      <c r="C38" s="619">
        <v>134257590</v>
      </c>
      <c r="D38" s="619">
        <v>13751428</v>
      </c>
      <c r="E38" s="619">
        <v>4589266</v>
      </c>
      <c r="F38" s="1732">
        <v>168902531</v>
      </c>
      <c r="G38" s="1753">
        <v>636124</v>
      </c>
      <c r="H38" s="1771">
        <v>34954809</v>
      </c>
      <c r="I38" s="1753">
        <v>132703218</v>
      </c>
      <c r="J38" s="1753">
        <v>40798291</v>
      </c>
      <c r="K38" s="1753">
        <v>54744240</v>
      </c>
      <c r="L38" s="1763">
        <v>13683640</v>
      </c>
      <c r="M38" s="1743">
        <v>24011967</v>
      </c>
      <c r="N38" s="619">
        <v>1048086</v>
      </c>
      <c r="O38" s="619">
        <f>SUM(C38:N38)</f>
        <v>624081190</v>
      </c>
    </row>
    <row r="39" spans="2:15" ht="10.8" hidden="1" thickTop="1">
      <c r="B39" s="615"/>
      <c r="C39" s="619"/>
      <c r="D39" s="619"/>
      <c r="E39" s="619"/>
      <c r="F39" s="1732"/>
      <c r="G39" s="1753"/>
      <c r="H39" s="1771"/>
      <c r="I39" s="1753"/>
      <c r="J39" s="1753"/>
      <c r="K39" s="1753"/>
      <c r="L39" s="1763"/>
      <c r="M39" s="1743"/>
      <c r="N39" s="619"/>
      <c r="O39" s="619"/>
    </row>
    <row r="40" spans="2:15" ht="10.8" hidden="1" thickTop="1">
      <c r="B40" s="615" t="s">
        <v>300</v>
      </c>
      <c r="C40" s="619">
        <v>113573036</v>
      </c>
      <c r="D40" s="619">
        <v>15437672</v>
      </c>
      <c r="E40" s="619">
        <v>14235853</v>
      </c>
      <c r="F40" s="1732">
        <v>248576130</v>
      </c>
      <c r="G40" s="1755">
        <v>698257</v>
      </c>
      <c r="H40" s="1771">
        <v>44086427</v>
      </c>
      <c r="I40" s="1753">
        <v>150409728</v>
      </c>
      <c r="J40" s="1753">
        <v>43043770</v>
      </c>
      <c r="K40" s="1753">
        <v>54527803</v>
      </c>
      <c r="L40" s="1763">
        <v>18847812</v>
      </c>
      <c r="M40" s="1743">
        <v>27490973</v>
      </c>
      <c r="N40" s="619">
        <v>1146358</v>
      </c>
      <c r="O40" s="619">
        <f>SUM(C40:N40)</f>
        <v>732073819</v>
      </c>
    </row>
    <row r="41" spans="2:15" ht="10.8" hidden="1" thickTop="1">
      <c r="B41" s="615"/>
      <c r="C41" s="619"/>
      <c r="D41" s="619"/>
      <c r="E41" s="619"/>
      <c r="F41" s="1732"/>
      <c r="G41" s="1753"/>
      <c r="H41" s="1773"/>
      <c r="I41" s="1753"/>
      <c r="J41" s="1755"/>
      <c r="K41" s="1753"/>
      <c r="L41" s="1763"/>
      <c r="M41" s="1743"/>
      <c r="N41" s="619"/>
      <c r="O41" s="619"/>
    </row>
    <row r="42" spans="2:15" ht="10.8" hidden="1" thickTop="1">
      <c r="B42" s="615" t="s">
        <v>301</v>
      </c>
      <c r="C42" s="619">
        <v>169847116</v>
      </c>
      <c r="D42" s="619">
        <v>13763848</v>
      </c>
      <c r="E42" s="619">
        <v>8857550</v>
      </c>
      <c r="F42" s="1732">
        <v>177958572</v>
      </c>
      <c r="G42" s="1753">
        <v>615967</v>
      </c>
      <c r="H42" s="1771">
        <v>47074396</v>
      </c>
      <c r="I42" s="1753">
        <v>136299370</v>
      </c>
      <c r="J42" s="1753">
        <v>52387305</v>
      </c>
      <c r="K42" s="1753">
        <v>72529468</v>
      </c>
      <c r="L42" s="1763">
        <v>15494579</v>
      </c>
      <c r="M42" s="1743">
        <v>42421832</v>
      </c>
      <c r="N42" s="619">
        <v>1142329</v>
      </c>
      <c r="O42" s="619">
        <f>SUM(C42:N42)</f>
        <v>738392332</v>
      </c>
    </row>
    <row r="43" spans="2:15" ht="10.8" hidden="1" thickTop="1">
      <c r="B43" s="615"/>
      <c r="C43" s="619"/>
      <c r="D43" s="619"/>
      <c r="E43" s="619"/>
      <c r="F43" s="1732"/>
      <c r="G43" s="1753"/>
      <c r="H43" s="1771"/>
      <c r="I43" s="1753"/>
      <c r="J43" s="1753"/>
      <c r="K43" s="1753"/>
      <c r="L43" s="1763"/>
      <c r="M43" s="1743"/>
      <c r="N43" s="619"/>
      <c r="O43" s="619"/>
    </row>
    <row r="44" spans="2:15" ht="10.8" hidden="1" thickTop="1">
      <c r="B44" s="615" t="s">
        <v>302</v>
      </c>
      <c r="C44" s="619">
        <v>158118930</v>
      </c>
      <c r="D44" s="619">
        <v>13674590</v>
      </c>
      <c r="E44" s="619">
        <v>10286935</v>
      </c>
      <c r="F44" s="1732">
        <v>202105314</v>
      </c>
      <c r="G44" s="1753">
        <v>3348985</v>
      </c>
      <c r="H44" s="1771">
        <v>40814283</v>
      </c>
      <c r="I44" s="1753">
        <v>151302531</v>
      </c>
      <c r="J44" s="1753">
        <v>60951695</v>
      </c>
      <c r="K44" s="1753">
        <v>74946718</v>
      </c>
      <c r="L44" s="1763">
        <v>19682044</v>
      </c>
      <c r="M44" s="1743">
        <v>54314902</v>
      </c>
      <c r="N44" s="619">
        <v>954937</v>
      </c>
      <c r="O44" s="619">
        <f>SUM(C44:N44)</f>
        <v>790501864</v>
      </c>
    </row>
    <row r="45" spans="2:15" ht="10.8" hidden="1" thickTop="1">
      <c r="B45" s="615"/>
      <c r="C45" s="619"/>
      <c r="D45" s="619"/>
      <c r="E45" s="619"/>
      <c r="F45" s="1732"/>
      <c r="G45" s="1753"/>
      <c r="H45" s="1771"/>
      <c r="I45" s="1753"/>
      <c r="J45" s="1753"/>
      <c r="K45" s="1753"/>
      <c r="L45" s="1763"/>
      <c r="M45" s="1743"/>
      <c r="N45" s="619"/>
      <c r="O45" s="619"/>
    </row>
    <row r="46" spans="2:15" ht="10.8" hidden="1" thickTop="1">
      <c r="B46" s="615" t="s">
        <v>303</v>
      </c>
      <c r="C46" s="619">
        <v>206231613</v>
      </c>
      <c r="D46" s="619">
        <v>1324092</v>
      </c>
      <c r="E46" s="619">
        <v>11212304</v>
      </c>
      <c r="F46" s="1732">
        <v>173269267</v>
      </c>
      <c r="G46" s="1753">
        <v>3298193</v>
      </c>
      <c r="H46" s="1771">
        <v>27666281</v>
      </c>
      <c r="I46" s="1753">
        <v>142099512</v>
      </c>
      <c r="J46" s="1753">
        <v>55611315</v>
      </c>
      <c r="K46" s="1753">
        <v>95509373</v>
      </c>
      <c r="L46" s="1763">
        <v>17105143</v>
      </c>
      <c r="M46" s="1743">
        <v>49979972</v>
      </c>
      <c r="N46" s="619">
        <v>15742204</v>
      </c>
      <c r="O46" s="619">
        <f>SUM(C46:N46)</f>
        <v>799049269</v>
      </c>
    </row>
    <row r="47" spans="2:15" ht="10.8" hidden="1" thickTop="1">
      <c r="B47" s="615"/>
      <c r="C47" s="619"/>
      <c r="D47" s="619"/>
      <c r="E47" s="619"/>
      <c r="F47" s="1732"/>
      <c r="G47" s="1753"/>
      <c r="H47" s="1771"/>
      <c r="I47" s="1753"/>
      <c r="J47" s="1753"/>
      <c r="K47" s="1753"/>
      <c r="L47" s="1763"/>
      <c r="M47" s="1743"/>
      <c r="N47" s="619"/>
      <c r="O47" s="619"/>
    </row>
    <row r="48" spans="2:15" ht="10.8" hidden="1" thickTop="1">
      <c r="B48" s="615" t="s">
        <v>304</v>
      </c>
      <c r="C48" s="619">
        <v>193573089</v>
      </c>
      <c r="D48" s="619">
        <v>15645372</v>
      </c>
      <c r="E48" s="619">
        <v>6933538</v>
      </c>
      <c r="F48" s="1732">
        <v>188003475</v>
      </c>
      <c r="G48" s="1753">
        <v>4981402</v>
      </c>
      <c r="H48" s="1771">
        <v>53420360</v>
      </c>
      <c r="I48" s="1753">
        <v>162534588</v>
      </c>
      <c r="J48" s="1753">
        <v>65789251</v>
      </c>
      <c r="K48" s="1753">
        <v>96519288</v>
      </c>
      <c r="L48" s="1763">
        <v>16652154</v>
      </c>
      <c r="M48" s="1743">
        <v>71341798</v>
      </c>
      <c r="N48" s="619">
        <v>816295</v>
      </c>
      <c r="O48" s="619">
        <f>SUM(C48:N48)</f>
        <v>876210610</v>
      </c>
    </row>
    <row r="49" spans="2:15" ht="10.8" hidden="1" thickTop="1">
      <c r="B49" s="615"/>
      <c r="C49" s="619"/>
      <c r="D49" s="619"/>
      <c r="E49" s="619"/>
      <c r="F49" s="1732"/>
      <c r="G49" s="1753"/>
      <c r="H49" s="1771"/>
      <c r="I49" s="1753"/>
      <c r="J49" s="1753"/>
      <c r="K49" s="1753"/>
      <c r="L49" s="1763"/>
      <c r="M49" s="1743"/>
      <c r="N49" s="619"/>
      <c r="O49" s="619"/>
    </row>
    <row r="50" spans="2:15" ht="10.8" hidden="1" thickTop="1">
      <c r="B50" s="615" t="s">
        <v>305</v>
      </c>
      <c r="C50" s="619">
        <v>201135528</v>
      </c>
      <c r="D50" s="619">
        <v>16718000</v>
      </c>
      <c r="E50" s="619">
        <v>16542469</v>
      </c>
      <c r="F50" s="1732">
        <v>207903061</v>
      </c>
      <c r="G50" s="1755">
        <v>798737</v>
      </c>
      <c r="H50" s="1771">
        <v>57230308</v>
      </c>
      <c r="I50" s="1753">
        <v>183180663</v>
      </c>
      <c r="J50" s="1753">
        <v>65285564</v>
      </c>
      <c r="K50" s="1753">
        <v>93229562</v>
      </c>
      <c r="L50" s="1763">
        <v>18680786</v>
      </c>
      <c r="M50" s="1743">
        <v>76944931</v>
      </c>
      <c r="N50" s="619">
        <v>879101</v>
      </c>
      <c r="O50" s="619">
        <f>SUM(C50:N50)</f>
        <v>938528710</v>
      </c>
    </row>
    <row r="51" spans="2:15" ht="10.8" hidden="1" thickTop="1">
      <c r="B51" s="615"/>
      <c r="C51" s="619"/>
      <c r="D51" s="619"/>
      <c r="E51" s="619"/>
      <c r="F51" s="1732"/>
      <c r="G51" s="1753"/>
      <c r="H51" s="1773"/>
      <c r="I51" s="1753"/>
      <c r="J51" s="1755"/>
      <c r="K51" s="1753"/>
      <c r="L51" s="1763"/>
      <c r="M51" s="1743"/>
      <c r="N51" s="619"/>
      <c r="O51" s="619"/>
    </row>
    <row r="52" spans="2:15" ht="10.8" hidden="1" thickTop="1">
      <c r="B52" s="615" t="s">
        <v>306</v>
      </c>
      <c r="C52" s="619">
        <v>213277856</v>
      </c>
      <c r="D52" s="619">
        <v>17004135</v>
      </c>
      <c r="E52" s="619">
        <v>14513760</v>
      </c>
      <c r="F52" s="1732">
        <v>217275138</v>
      </c>
      <c r="G52" s="1753">
        <v>1802040</v>
      </c>
      <c r="H52" s="1771">
        <v>70523343</v>
      </c>
      <c r="I52" s="1753">
        <v>204046735</v>
      </c>
      <c r="J52" s="1753">
        <v>67892379</v>
      </c>
      <c r="K52" s="1753">
        <v>102020636</v>
      </c>
      <c r="L52" s="1763">
        <v>19623689</v>
      </c>
      <c r="M52" s="1743">
        <v>75364041</v>
      </c>
      <c r="N52" s="619">
        <v>1014993</v>
      </c>
      <c r="O52" s="619">
        <f>SUM(C52:N52)</f>
        <v>1004358745</v>
      </c>
    </row>
    <row r="53" spans="2:15" ht="10.8" hidden="1" thickTop="1">
      <c r="B53" s="615"/>
      <c r="C53" s="619"/>
      <c r="D53" s="619"/>
      <c r="E53" s="619"/>
      <c r="F53" s="1732"/>
      <c r="G53" s="1753"/>
      <c r="H53" s="1771"/>
      <c r="I53" s="1753"/>
      <c r="J53" s="1753"/>
      <c r="K53" s="1753"/>
      <c r="L53" s="1763"/>
      <c r="M53" s="1743"/>
      <c r="N53" s="619"/>
      <c r="O53" s="619"/>
    </row>
    <row r="54" spans="2:15" ht="10.8" hidden="1" thickTop="1">
      <c r="B54" s="615" t="s">
        <v>307</v>
      </c>
      <c r="C54" s="619">
        <v>228476002</v>
      </c>
      <c r="D54" s="619">
        <v>17846996</v>
      </c>
      <c r="E54" s="619">
        <v>15447909</v>
      </c>
      <c r="F54" s="1732">
        <v>223141265</v>
      </c>
      <c r="G54" s="1753">
        <v>3087436</v>
      </c>
      <c r="H54" s="1771">
        <v>72709632</v>
      </c>
      <c r="I54" s="1753">
        <v>208774541</v>
      </c>
      <c r="J54" s="1753">
        <v>68465125</v>
      </c>
      <c r="K54" s="1753">
        <v>107447537</v>
      </c>
      <c r="L54" s="1763">
        <v>23324173</v>
      </c>
      <c r="M54" s="1743">
        <v>80073123</v>
      </c>
      <c r="N54" s="619">
        <v>787355</v>
      </c>
      <c r="O54" s="619">
        <f>SUM(C54:N54)</f>
        <v>1049581094</v>
      </c>
    </row>
    <row r="55" spans="2:15" ht="10.8" hidden="1" thickTop="1">
      <c r="B55" s="615"/>
      <c r="C55" s="583"/>
      <c r="D55" s="619"/>
      <c r="E55" s="619"/>
      <c r="F55" s="1734"/>
      <c r="G55" s="1753"/>
      <c r="H55" s="1771"/>
      <c r="I55" s="1753"/>
      <c r="J55" s="1753"/>
      <c r="K55" s="1753"/>
      <c r="L55" s="1763"/>
      <c r="M55" s="1743"/>
      <c r="N55" s="619"/>
      <c r="O55" s="619"/>
    </row>
    <row r="56" spans="2:15" ht="10.8" hidden="1" thickTop="1">
      <c r="B56" s="615" t="s">
        <v>308</v>
      </c>
      <c r="C56" s="619">
        <v>236381431</v>
      </c>
      <c r="D56" s="619">
        <v>22499176</v>
      </c>
      <c r="E56" s="619">
        <v>16024146</v>
      </c>
      <c r="F56" s="1732">
        <v>211197900</v>
      </c>
      <c r="G56" s="1753">
        <v>413703</v>
      </c>
      <c r="H56" s="1771">
        <v>72693042</v>
      </c>
      <c r="I56" s="1753">
        <v>215367746</v>
      </c>
      <c r="J56" s="1753">
        <v>75412024</v>
      </c>
      <c r="K56" s="1753">
        <v>117037786</v>
      </c>
      <c r="L56" s="1763">
        <v>22315554</v>
      </c>
      <c r="M56" s="1743">
        <v>87760623</v>
      </c>
      <c r="N56" s="619">
        <v>1122125</v>
      </c>
      <c r="O56" s="619">
        <f>SUM(C56:N56)</f>
        <v>1078225256</v>
      </c>
    </row>
    <row r="57" spans="2:15" ht="10.8" hidden="1" thickTop="1">
      <c r="B57" s="615"/>
      <c r="C57" s="619"/>
      <c r="D57" s="619"/>
      <c r="E57" s="619"/>
      <c r="F57" s="1732"/>
      <c r="G57" s="1755"/>
      <c r="H57" s="1771"/>
      <c r="I57" s="1753"/>
      <c r="J57" s="1753"/>
      <c r="K57" s="1753"/>
      <c r="L57" s="1763"/>
      <c r="M57" s="1743"/>
      <c r="N57" s="619"/>
      <c r="O57" s="619"/>
    </row>
    <row r="58" spans="2:15" ht="10.8" hidden="1" thickTop="1">
      <c r="B58" s="615" t="s">
        <v>311</v>
      </c>
      <c r="C58" s="619">
        <v>238969772</v>
      </c>
      <c r="D58" s="619">
        <v>24075466</v>
      </c>
      <c r="E58" s="619">
        <v>15855738</v>
      </c>
      <c r="F58" s="1732">
        <v>225277028</v>
      </c>
      <c r="G58" s="1753">
        <v>384554</v>
      </c>
      <c r="H58" s="1771">
        <v>72693089</v>
      </c>
      <c r="I58" s="1753">
        <v>218621381</v>
      </c>
      <c r="J58" s="1753">
        <v>71729905</v>
      </c>
      <c r="K58" s="1753">
        <v>112325194</v>
      </c>
      <c r="L58" s="1763">
        <v>22015593</v>
      </c>
      <c r="M58" s="1743">
        <v>86980598</v>
      </c>
      <c r="N58" s="619">
        <v>1122125</v>
      </c>
      <c r="O58" s="619">
        <f>SUM(C58:N58)</f>
        <v>1090050443</v>
      </c>
    </row>
    <row r="59" spans="2:15" ht="10.8" hidden="1" thickTop="1">
      <c r="B59" s="861">
        <v>2011</v>
      </c>
      <c r="C59" s="619"/>
      <c r="D59" s="619"/>
      <c r="E59" s="619"/>
      <c r="F59" s="1732"/>
      <c r="G59" s="1753"/>
      <c r="H59" s="1771"/>
      <c r="I59" s="1753"/>
      <c r="J59" s="1753"/>
      <c r="K59" s="1753"/>
      <c r="L59" s="1763"/>
      <c r="M59" s="1743"/>
      <c r="N59" s="619"/>
      <c r="O59" s="619"/>
    </row>
    <row r="60" spans="2:15" ht="10.8" hidden="1" thickTop="1">
      <c r="B60" s="615"/>
      <c r="C60" s="619"/>
      <c r="D60" s="619"/>
      <c r="E60" s="619"/>
      <c r="F60" s="1732"/>
      <c r="G60" s="1753"/>
      <c r="H60" s="1771"/>
      <c r="I60" s="1753"/>
      <c r="J60" s="1753"/>
      <c r="K60" s="1753"/>
      <c r="L60" s="1763"/>
      <c r="M60" s="1743"/>
      <c r="N60" s="619"/>
      <c r="O60" s="619"/>
    </row>
    <row r="61" spans="2:15" ht="10.8" hidden="1" thickTop="1">
      <c r="B61" s="615" t="s">
        <v>298</v>
      </c>
      <c r="C61" s="619">
        <v>248101</v>
      </c>
      <c r="D61" s="619">
        <v>24196.400000000001</v>
      </c>
      <c r="E61" s="619">
        <v>25232.799999999999</v>
      </c>
      <c r="F61" s="1732">
        <v>214184</v>
      </c>
      <c r="G61" s="1776">
        <v>1379.6</v>
      </c>
      <c r="H61" s="1771">
        <v>70319.3</v>
      </c>
      <c r="I61" s="1753">
        <v>231581</v>
      </c>
      <c r="J61" s="1753">
        <v>79356.2</v>
      </c>
      <c r="K61" s="1753">
        <v>140098.6</v>
      </c>
      <c r="L61" s="1763">
        <v>31181.8</v>
      </c>
      <c r="M61" s="1743">
        <v>100618.4</v>
      </c>
      <c r="N61" s="619">
        <v>1190.0999999999999</v>
      </c>
      <c r="O61" s="619">
        <v>1167439.3</v>
      </c>
    </row>
    <row r="62" spans="2:15" ht="10.8" hidden="1" thickTop="1">
      <c r="B62" s="615" t="s">
        <v>299</v>
      </c>
      <c r="C62" s="619">
        <v>246306.9</v>
      </c>
      <c r="D62" s="619">
        <v>26640.400000000001</v>
      </c>
      <c r="E62" s="619">
        <v>18348.599999999999</v>
      </c>
      <c r="F62" s="1732">
        <v>251404</v>
      </c>
      <c r="G62" s="1753">
        <v>952.5</v>
      </c>
      <c r="H62" s="1774">
        <v>71844.2</v>
      </c>
      <c r="I62" s="1753">
        <v>249530.6</v>
      </c>
      <c r="J62" s="1776">
        <v>72882.100000000006</v>
      </c>
      <c r="K62" s="1753">
        <v>128101.1</v>
      </c>
      <c r="L62" s="1763">
        <v>33021.699999999997</v>
      </c>
      <c r="M62" s="1743">
        <v>105899</v>
      </c>
      <c r="N62" s="619">
        <v>1278.5999999999999</v>
      </c>
      <c r="O62" s="619">
        <v>1206209.7</v>
      </c>
    </row>
    <row r="63" spans="2:15" ht="10.8" hidden="1" thickTop="1">
      <c r="B63" s="615" t="s">
        <v>301</v>
      </c>
      <c r="C63" s="619">
        <v>257571.4</v>
      </c>
      <c r="D63" s="619">
        <v>31141.3</v>
      </c>
      <c r="E63" s="619">
        <v>26562.400000000001</v>
      </c>
      <c r="F63" s="1732">
        <v>275966.8</v>
      </c>
      <c r="G63" s="1753">
        <v>1583.2</v>
      </c>
      <c r="H63" s="1771">
        <v>64759.1</v>
      </c>
      <c r="I63" s="1753">
        <v>269699.40000000002</v>
      </c>
      <c r="J63" s="1753">
        <v>74819.600000000006</v>
      </c>
      <c r="K63" s="1753">
        <v>130687.1</v>
      </c>
      <c r="L63" s="1763">
        <v>37645.4</v>
      </c>
      <c r="M63" s="1743">
        <v>129424.1</v>
      </c>
      <c r="N63" s="619">
        <v>1179.9000000000001</v>
      </c>
      <c r="O63" s="619">
        <v>1301039.8</v>
      </c>
    </row>
    <row r="64" spans="2:15" ht="10.8" hidden="1" thickTop="1">
      <c r="B64" s="615" t="s">
        <v>300</v>
      </c>
      <c r="C64" s="619">
        <v>257571.416</v>
      </c>
      <c r="D64" s="619">
        <v>31141.31</v>
      </c>
      <c r="E64" s="619">
        <v>26562.395</v>
      </c>
      <c r="F64" s="1732">
        <v>275966.76</v>
      </c>
      <c r="G64" s="1753">
        <v>1583.24</v>
      </c>
      <c r="H64" s="1771">
        <v>64759.084999999999</v>
      </c>
      <c r="I64" s="1753">
        <v>269699.44900000002</v>
      </c>
      <c r="J64" s="1753">
        <v>74819.562000000005</v>
      </c>
      <c r="K64" s="1753">
        <v>131698.117</v>
      </c>
      <c r="L64" s="1763">
        <v>37645.430999999997</v>
      </c>
      <c r="M64" s="1743">
        <v>129424.121</v>
      </c>
      <c r="N64" s="619">
        <v>1179.9110000000001</v>
      </c>
      <c r="O64" s="619">
        <f>+SUM(C64:N64)</f>
        <v>1302050.7970000003</v>
      </c>
    </row>
    <row r="65" spans="2:15" ht="10.8" hidden="1" thickTop="1">
      <c r="B65" s="615" t="s">
        <v>302</v>
      </c>
      <c r="C65" s="619">
        <v>319706.09999999998</v>
      </c>
      <c r="D65" s="619">
        <v>31801.1</v>
      </c>
      <c r="E65" s="619">
        <v>21097.4</v>
      </c>
      <c r="F65" s="1732">
        <v>293801.90000000002</v>
      </c>
      <c r="G65" s="1753">
        <v>19061.7</v>
      </c>
      <c r="H65" s="1771">
        <v>92452.2</v>
      </c>
      <c r="I65" s="1753">
        <v>277047.8</v>
      </c>
      <c r="J65" s="1753">
        <v>74438.899999999994</v>
      </c>
      <c r="K65" s="1753">
        <v>111134.2</v>
      </c>
      <c r="L65" s="1763">
        <v>41107.300000000003</v>
      </c>
      <c r="M65" s="1743">
        <v>135736.70000000001</v>
      </c>
      <c r="N65" s="619">
        <v>1344.8</v>
      </c>
      <c r="O65" s="619">
        <v>1418730.1</v>
      </c>
    </row>
    <row r="66" spans="2:15" ht="10.8" hidden="1" thickTop="1">
      <c r="B66" s="615" t="s">
        <v>303</v>
      </c>
      <c r="C66" s="619">
        <v>316350.09999999998</v>
      </c>
      <c r="D66" s="619">
        <v>31832</v>
      </c>
      <c r="E66" s="619">
        <v>26185.8</v>
      </c>
      <c r="F66" s="1732">
        <v>283750.3</v>
      </c>
      <c r="G66" s="1753">
        <v>1805.6</v>
      </c>
      <c r="H66" s="1771">
        <v>129730.9</v>
      </c>
      <c r="I66" s="1753">
        <v>268223.8</v>
      </c>
      <c r="J66" s="1753">
        <v>76460.5</v>
      </c>
      <c r="K66" s="1753">
        <v>109775.8</v>
      </c>
      <c r="L66" s="1763">
        <v>36538.9</v>
      </c>
      <c r="M66" s="1743">
        <v>151781.1</v>
      </c>
      <c r="N66" s="619">
        <v>1555</v>
      </c>
      <c r="O66" s="619">
        <v>1433989.9</v>
      </c>
    </row>
    <row r="67" spans="2:15" ht="10.8" hidden="1" thickTop="1">
      <c r="B67" s="615" t="s">
        <v>304</v>
      </c>
      <c r="C67" s="619">
        <v>333578.7</v>
      </c>
      <c r="D67" s="619">
        <v>26846</v>
      </c>
      <c r="E67" s="619">
        <v>25889.3</v>
      </c>
      <c r="F67" s="1732">
        <v>308559.5</v>
      </c>
      <c r="G67" s="1753">
        <v>966.1</v>
      </c>
      <c r="H67" s="1771">
        <v>140823.4</v>
      </c>
      <c r="I67" s="1753">
        <v>283992.90000000002</v>
      </c>
      <c r="J67" s="1753">
        <v>72152.800000000003</v>
      </c>
      <c r="K67" s="1753">
        <v>113101.5</v>
      </c>
      <c r="L67" s="1763">
        <v>41983</v>
      </c>
      <c r="M67" s="1743">
        <v>161051.29999999999</v>
      </c>
      <c r="N67" s="619">
        <v>1668.4</v>
      </c>
      <c r="O67" s="619">
        <v>1510612.9</v>
      </c>
    </row>
    <row r="68" spans="2:15" ht="10.8" hidden="1" thickTop="1">
      <c r="B68" s="615" t="s">
        <v>305</v>
      </c>
      <c r="C68" s="619">
        <v>332796.09999999998</v>
      </c>
      <c r="D68" s="619">
        <v>44134.7</v>
      </c>
      <c r="E68" s="619">
        <v>24796.9</v>
      </c>
      <c r="F68" s="1732">
        <v>315240.5</v>
      </c>
      <c r="G68" s="1753">
        <v>96774.1</v>
      </c>
      <c r="H68" s="1773">
        <v>447.7</v>
      </c>
      <c r="I68" s="1753">
        <v>306216</v>
      </c>
      <c r="J68" s="1753">
        <v>77595.899999999994</v>
      </c>
      <c r="K68" s="1753">
        <v>129450.6</v>
      </c>
      <c r="L68" s="1763">
        <v>27445.1</v>
      </c>
      <c r="M68" s="1743">
        <v>173033.1</v>
      </c>
      <c r="N68" s="619">
        <v>1691.1</v>
      </c>
      <c r="O68" s="619">
        <v>1529799.8</v>
      </c>
    </row>
    <row r="69" spans="2:15" ht="10.8" hidden="1" thickTop="1">
      <c r="B69" s="615" t="s">
        <v>306</v>
      </c>
      <c r="C69" s="619">
        <v>329948.79999999999</v>
      </c>
      <c r="D69" s="619">
        <v>28973.8</v>
      </c>
      <c r="E69" s="619">
        <v>25205.5</v>
      </c>
      <c r="F69" s="1732">
        <v>343973.3</v>
      </c>
      <c r="G69" s="1753">
        <v>1106.3</v>
      </c>
      <c r="H69" s="1771">
        <v>95277.9</v>
      </c>
      <c r="I69" s="1753">
        <v>319798.5</v>
      </c>
      <c r="J69" s="1753">
        <v>79764.399999999994</v>
      </c>
      <c r="K69" s="1753">
        <v>123027.1</v>
      </c>
      <c r="L69" s="1763">
        <v>45935.1</v>
      </c>
      <c r="M69" s="1743">
        <v>195852.2</v>
      </c>
      <c r="N69" s="619">
        <v>1597.8</v>
      </c>
      <c r="O69" s="619">
        <v>1590460.9</v>
      </c>
    </row>
    <row r="70" spans="2:15" ht="10.8" hidden="1" thickTop="1">
      <c r="B70" s="615" t="s">
        <v>307</v>
      </c>
      <c r="C70" s="619">
        <v>338584.5</v>
      </c>
      <c r="D70" s="619">
        <v>31789.8</v>
      </c>
      <c r="E70" s="619">
        <v>31700</v>
      </c>
      <c r="F70" s="1732">
        <v>367819.7</v>
      </c>
      <c r="G70" s="1753">
        <v>88231</v>
      </c>
      <c r="H70" s="1771">
        <v>3022.7</v>
      </c>
      <c r="I70" s="1753">
        <v>295604.5</v>
      </c>
      <c r="J70" s="1753">
        <v>88673.3</v>
      </c>
      <c r="K70" s="1753">
        <v>136534.5</v>
      </c>
      <c r="L70" s="1763">
        <v>44887</v>
      </c>
      <c r="M70" s="1743">
        <v>215665.9</v>
      </c>
      <c r="N70" s="619">
        <v>1592.5</v>
      </c>
      <c r="O70" s="619">
        <v>1644846.2</v>
      </c>
    </row>
    <row r="71" spans="2:15" ht="10.8" hidden="1" thickTop="1">
      <c r="B71" s="615" t="s">
        <v>308</v>
      </c>
      <c r="C71" s="619">
        <v>340028</v>
      </c>
      <c r="D71" s="619">
        <v>33626</v>
      </c>
      <c r="E71" s="619">
        <v>27319.9</v>
      </c>
      <c r="F71" s="1732">
        <v>361122.8</v>
      </c>
      <c r="G71" s="1753">
        <v>89338.4</v>
      </c>
      <c r="H71" s="1771">
        <v>2950.9</v>
      </c>
      <c r="I71" s="1753">
        <v>293019.3</v>
      </c>
      <c r="J71" s="1753">
        <v>92514.5</v>
      </c>
      <c r="K71" s="1753">
        <v>147837.29999999999</v>
      </c>
      <c r="L71" s="1763">
        <v>52656.7</v>
      </c>
      <c r="M71" s="1743">
        <v>204873.8</v>
      </c>
      <c r="N71" s="619">
        <v>5371.9</v>
      </c>
      <c r="O71" s="619">
        <v>1650659.5</v>
      </c>
    </row>
    <row r="72" spans="2:15" ht="10.8" hidden="1" thickTop="1">
      <c r="B72" s="615" t="s">
        <v>311</v>
      </c>
      <c r="C72" s="619">
        <v>366827.1</v>
      </c>
      <c r="D72" s="619">
        <v>36043.9</v>
      </c>
      <c r="E72" s="619">
        <v>24836.9</v>
      </c>
      <c r="F72" s="1732" t="s">
        <v>1209</v>
      </c>
      <c r="G72" s="1753">
        <v>3720.8</v>
      </c>
      <c r="H72" s="1771">
        <v>87963.3</v>
      </c>
      <c r="I72" s="1753">
        <v>310488.5</v>
      </c>
      <c r="J72" s="1753">
        <v>75310.399999999994</v>
      </c>
      <c r="K72" s="1753">
        <v>191534.5</v>
      </c>
      <c r="L72" s="1763">
        <v>55295.7</v>
      </c>
      <c r="M72" s="1743">
        <v>180205</v>
      </c>
      <c r="N72" s="619">
        <v>4726.2</v>
      </c>
      <c r="O72" s="895">
        <v>1660274.6</v>
      </c>
    </row>
    <row r="73" spans="2:15" ht="10.8" hidden="1" thickTop="1">
      <c r="B73" s="615"/>
      <c r="C73" s="619"/>
      <c r="D73" s="619"/>
      <c r="E73" s="619"/>
      <c r="F73" s="1732"/>
      <c r="G73" s="1753"/>
      <c r="H73" s="1771"/>
      <c r="I73" s="1753"/>
      <c r="J73" s="1753"/>
      <c r="K73" s="1753"/>
      <c r="L73" s="1763"/>
      <c r="M73" s="1743"/>
      <c r="N73" s="619"/>
      <c r="O73" s="619"/>
    </row>
    <row r="74" spans="2:15" ht="10.8" hidden="1" thickTop="1">
      <c r="B74" s="861">
        <v>2012</v>
      </c>
      <c r="C74" s="583"/>
      <c r="D74" s="583"/>
      <c r="E74" s="583"/>
      <c r="F74" s="1734"/>
      <c r="G74" s="1755"/>
      <c r="H74" s="1773"/>
      <c r="I74" s="1755"/>
      <c r="J74" s="1755"/>
      <c r="K74" s="1755"/>
      <c r="L74" s="1765"/>
      <c r="M74" s="1745"/>
      <c r="N74" s="583"/>
      <c r="O74" s="583"/>
    </row>
    <row r="75" spans="2:15" ht="10.8" hidden="1" thickTop="1">
      <c r="B75" s="615"/>
      <c r="C75" s="583"/>
      <c r="D75" s="583"/>
      <c r="E75" s="583"/>
      <c r="F75" s="1734"/>
      <c r="G75" s="1755"/>
      <c r="H75" s="1773"/>
      <c r="I75" s="1755"/>
      <c r="J75" s="1755"/>
      <c r="K75" s="1755"/>
      <c r="L75" s="1765"/>
      <c r="M75" s="1745"/>
      <c r="N75" s="583"/>
      <c r="O75" s="583"/>
    </row>
    <row r="76" spans="2:15" ht="10.8" hidden="1" thickTop="1">
      <c r="B76" s="615" t="s">
        <v>298</v>
      </c>
      <c r="C76" s="619">
        <v>363990.9</v>
      </c>
      <c r="D76" s="619">
        <v>39589.599999999999</v>
      </c>
      <c r="E76" s="619">
        <v>27332.799999999999</v>
      </c>
      <c r="F76" s="1732">
        <v>322510.09999999998</v>
      </c>
      <c r="G76" s="1753">
        <v>8749.9</v>
      </c>
      <c r="H76" s="1771">
        <v>74636.2</v>
      </c>
      <c r="I76" s="1753">
        <v>336196.7</v>
      </c>
      <c r="J76" s="1753">
        <v>77655.7</v>
      </c>
      <c r="K76" s="1753">
        <v>198437.3</v>
      </c>
      <c r="L76" s="1763">
        <v>52515.7</v>
      </c>
      <c r="M76" s="1743">
        <v>171956.3</v>
      </c>
      <c r="N76" s="619">
        <v>1013.2</v>
      </c>
      <c r="O76" s="895">
        <v>1674584.5</v>
      </c>
    </row>
    <row r="77" spans="2:15" ht="10.8" hidden="1" thickTop="1">
      <c r="B77" s="615" t="s">
        <v>299</v>
      </c>
      <c r="C77" s="619">
        <v>352190.2</v>
      </c>
      <c r="D77" s="619">
        <v>36718.69</v>
      </c>
      <c r="E77" s="619">
        <v>26551.03</v>
      </c>
      <c r="F77" s="1732">
        <v>284567.87</v>
      </c>
      <c r="G77" s="1753">
        <v>9291.08</v>
      </c>
      <c r="H77" s="1771">
        <v>85886.99</v>
      </c>
      <c r="I77" s="1753">
        <v>336261.49</v>
      </c>
      <c r="J77" s="1753">
        <v>88738.25</v>
      </c>
      <c r="K77" s="1753">
        <v>202845.2</v>
      </c>
      <c r="L77" s="1763">
        <v>53191.93</v>
      </c>
      <c r="M77" s="1743">
        <v>172424.01</v>
      </c>
      <c r="N77" s="619">
        <v>1567.65</v>
      </c>
      <c r="O77" s="895">
        <v>1650234.17</v>
      </c>
    </row>
    <row r="78" spans="2:15" ht="10.8" hidden="1" thickTop="1">
      <c r="B78" s="615" t="s">
        <v>300</v>
      </c>
      <c r="C78" s="619">
        <v>354440.8</v>
      </c>
      <c r="D78" s="619">
        <v>37811</v>
      </c>
      <c r="E78" s="619">
        <v>31484.9</v>
      </c>
      <c r="F78" s="1732">
        <v>328381.09999999998</v>
      </c>
      <c r="G78" s="1753">
        <v>8193.5</v>
      </c>
      <c r="H78" s="1771">
        <v>92178.6</v>
      </c>
      <c r="I78" s="1753">
        <v>324375.5</v>
      </c>
      <c r="J78" s="1753">
        <v>108000.1</v>
      </c>
      <c r="K78" s="1753">
        <v>205453.7</v>
      </c>
      <c r="L78" s="1763">
        <v>32088.9</v>
      </c>
      <c r="M78" s="1743">
        <v>174479.6</v>
      </c>
      <c r="N78" s="619">
        <v>1583.8</v>
      </c>
      <c r="O78" s="895">
        <v>1698471.4</v>
      </c>
    </row>
    <row r="79" spans="2:15" ht="10.8" hidden="1" thickTop="1">
      <c r="B79" s="615" t="s">
        <v>301</v>
      </c>
      <c r="C79" s="619">
        <v>341893.5</v>
      </c>
      <c r="D79" s="619">
        <v>30462</v>
      </c>
      <c r="E79" s="619">
        <v>33633.800000000003</v>
      </c>
      <c r="F79" s="1732">
        <v>358038</v>
      </c>
      <c r="G79" s="1753">
        <v>5558.5</v>
      </c>
      <c r="H79" s="1771">
        <v>78498.399999999994</v>
      </c>
      <c r="I79" s="1753">
        <v>334699.5</v>
      </c>
      <c r="J79" s="1753">
        <v>110765.7</v>
      </c>
      <c r="K79" s="1753">
        <v>220956.5</v>
      </c>
      <c r="L79" s="1763">
        <v>26181.8</v>
      </c>
      <c r="M79" s="1743">
        <v>179845.8</v>
      </c>
      <c r="N79" s="619">
        <v>1355.3</v>
      </c>
      <c r="O79" s="895">
        <v>1721888.8</v>
      </c>
    </row>
    <row r="80" spans="2:15" ht="10.8" hidden="1" thickTop="1">
      <c r="B80" s="615" t="s">
        <v>302</v>
      </c>
      <c r="C80" s="619">
        <v>375541</v>
      </c>
      <c r="D80" s="619">
        <v>30286.7</v>
      </c>
      <c r="E80" s="619">
        <v>31158.400000000001</v>
      </c>
      <c r="F80" s="1732">
        <v>350097.9</v>
      </c>
      <c r="G80" s="1753">
        <v>7623.4</v>
      </c>
      <c r="H80" s="1771">
        <v>97695.7</v>
      </c>
      <c r="I80" s="1753">
        <v>327187.7</v>
      </c>
      <c r="J80" s="1753">
        <v>113796.7</v>
      </c>
      <c r="K80" s="1753">
        <v>207041.1</v>
      </c>
      <c r="L80" s="1763">
        <v>28432.9</v>
      </c>
      <c r="M80" s="1743">
        <v>202146.6</v>
      </c>
      <c r="N80" s="619">
        <v>1738.3</v>
      </c>
      <c r="O80" s="895">
        <v>1772746.5</v>
      </c>
    </row>
    <row r="81" spans="2:15" ht="10.8" hidden="1" thickTop="1">
      <c r="B81" s="615" t="s">
        <v>303</v>
      </c>
      <c r="C81" s="619">
        <v>402314.1</v>
      </c>
      <c r="D81" s="619">
        <v>30399.7</v>
      </c>
      <c r="E81" s="619">
        <v>37466.6</v>
      </c>
      <c r="F81" s="1732">
        <v>356842.2</v>
      </c>
      <c r="G81" s="1753">
        <v>7580.8</v>
      </c>
      <c r="H81" s="1771">
        <v>28025.9</v>
      </c>
      <c r="I81" s="1753">
        <v>337059.2</v>
      </c>
      <c r="J81" s="1753">
        <v>130973.8</v>
      </c>
      <c r="K81" s="1753">
        <v>201898</v>
      </c>
      <c r="L81" s="1763">
        <v>40295.4</v>
      </c>
      <c r="M81" s="1743">
        <v>219606.7</v>
      </c>
      <c r="N81" s="619">
        <v>1649.8</v>
      </c>
      <c r="O81" s="895">
        <v>1794112.2</v>
      </c>
    </row>
    <row r="82" spans="2:15" ht="10.8" hidden="1" thickTop="1">
      <c r="B82" s="615" t="s">
        <v>304</v>
      </c>
      <c r="C82" s="619">
        <v>416536.2</v>
      </c>
      <c r="D82" s="619">
        <v>26795.9</v>
      </c>
      <c r="E82" s="619">
        <v>36424.199999999997</v>
      </c>
      <c r="F82" s="1732">
        <v>369410.8</v>
      </c>
      <c r="G82" s="1753">
        <v>8174</v>
      </c>
      <c r="H82" s="1771">
        <v>26119.1</v>
      </c>
      <c r="I82" s="1753">
        <v>348484.2</v>
      </c>
      <c r="J82" s="1753">
        <v>136934.20000000001</v>
      </c>
      <c r="K82" s="1753">
        <v>203314.6</v>
      </c>
      <c r="L82" s="1763">
        <v>36869.5</v>
      </c>
      <c r="M82" s="1743">
        <v>249542.8</v>
      </c>
      <c r="N82" s="619">
        <v>3382.6</v>
      </c>
      <c r="O82" s="895">
        <v>1861988</v>
      </c>
    </row>
    <row r="83" spans="2:15" ht="10.8" hidden="1" thickTop="1">
      <c r="B83" s="615" t="s">
        <v>305</v>
      </c>
      <c r="C83" s="619">
        <v>422545.8</v>
      </c>
      <c r="D83" s="619">
        <v>30950.3</v>
      </c>
      <c r="E83" s="619">
        <v>43395.1</v>
      </c>
      <c r="F83" s="1732">
        <v>390558.4</v>
      </c>
      <c r="G83" s="1753">
        <v>8333</v>
      </c>
      <c r="H83" s="1771">
        <v>29323.9</v>
      </c>
      <c r="I83" s="1753">
        <v>348252</v>
      </c>
      <c r="J83" s="1753">
        <v>146338.5</v>
      </c>
      <c r="K83" s="1753">
        <v>173945.4</v>
      </c>
      <c r="L83" s="1763">
        <v>55950.3</v>
      </c>
      <c r="M83" s="1743">
        <v>254919.8</v>
      </c>
      <c r="N83" s="619">
        <v>3523.5</v>
      </c>
      <c r="O83" s="895">
        <v>1907991.4</v>
      </c>
    </row>
    <row r="84" spans="2:15" ht="10.8" hidden="1" thickTop="1">
      <c r="B84" s="615" t="s">
        <v>306</v>
      </c>
      <c r="C84" s="619">
        <v>431501.7</v>
      </c>
      <c r="D84" s="619">
        <v>36637.9</v>
      </c>
      <c r="E84" s="619">
        <v>38487.800000000003</v>
      </c>
      <c r="F84" s="1732">
        <v>384840.8</v>
      </c>
      <c r="G84" s="1753">
        <v>6828.2</v>
      </c>
      <c r="H84" s="1771">
        <v>37420.1</v>
      </c>
      <c r="I84" s="1753">
        <v>396813.5</v>
      </c>
      <c r="J84" s="1753">
        <v>145657.9</v>
      </c>
      <c r="K84" s="1753">
        <v>219452.1</v>
      </c>
      <c r="L84" s="1763">
        <v>29378.2</v>
      </c>
      <c r="M84" s="1743">
        <v>254248.3</v>
      </c>
      <c r="N84" s="619">
        <v>5036.1000000000004</v>
      </c>
      <c r="O84" s="895">
        <v>1986302.5</v>
      </c>
    </row>
    <row r="85" spans="2:15" ht="11.4" hidden="1" thickTop="1" thickBot="1">
      <c r="B85" s="615" t="s">
        <v>307</v>
      </c>
      <c r="C85" s="866">
        <v>444653.7</v>
      </c>
      <c r="D85" s="866">
        <v>33583.199999999997</v>
      </c>
      <c r="E85" s="866">
        <v>34764.400000000001</v>
      </c>
      <c r="F85" s="1733">
        <v>411489.2</v>
      </c>
      <c r="G85" s="1754">
        <v>9551.4</v>
      </c>
      <c r="H85" s="1772">
        <v>29439.4</v>
      </c>
      <c r="I85" s="1754">
        <v>401206.1</v>
      </c>
      <c r="J85" s="1754">
        <v>144223.4</v>
      </c>
      <c r="K85" s="1754">
        <v>230809.2</v>
      </c>
      <c r="L85" s="1764">
        <v>35103.599999999999</v>
      </c>
      <c r="M85" s="1744">
        <v>271795.8</v>
      </c>
      <c r="N85" s="866">
        <v>6715.9</v>
      </c>
      <c r="O85" s="895">
        <v>2053335.2</v>
      </c>
    </row>
    <row r="86" spans="2:15" ht="10.8" hidden="1" thickTop="1">
      <c r="B86" s="615" t="s">
        <v>308</v>
      </c>
      <c r="C86" s="619">
        <v>444527.3</v>
      </c>
      <c r="D86" s="619">
        <v>33548</v>
      </c>
      <c r="E86" s="619">
        <v>37207.300000000003</v>
      </c>
      <c r="F86" s="1732">
        <v>428008.3</v>
      </c>
      <c r="G86" s="1753">
        <v>10704.6</v>
      </c>
      <c r="H86" s="1771">
        <v>32236.2</v>
      </c>
      <c r="I86" s="1753">
        <v>417838.2</v>
      </c>
      <c r="J86" s="1753">
        <v>142715</v>
      </c>
      <c r="K86" s="1753">
        <v>228088.4</v>
      </c>
      <c r="L86" s="1763">
        <v>36568</v>
      </c>
      <c r="M86" s="1743">
        <v>267282</v>
      </c>
      <c r="N86" s="619">
        <v>8055.2</v>
      </c>
      <c r="O86" s="895">
        <v>2087778.7</v>
      </c>
    </row>
    <row r="87" spans="2:15" ht="10.8" hidden="1" thickTop="1">
      <c r="B87" s="615" t="s">
        <v>311</v>
      </c>
      <c r="C87" s="619">
        <v>444341</v>
      </c>
      <c r="D87" s="619">
        <v>32622.799999999999</v>
      </c>
      <c r="E87" s="619">
        <v>37353.199999999997</v>
      </c>
      <c r="F87" s="1732">
        <v>428782.2</v>
      </c>
      <c r="G87" s="1753">
        <v>8513.2000000000007</v>
      </c>
      <c r="H87" s="1771">
        <v>31513.9</v>
      </c>
      <c r="I87" s="1753">
        <v>414044.9</v>
      </c>
      <c r="J87" s="1753">
        <v>148927.9</v>
      </c>
      <c r="K87" s="1753">
        <v>233864.4</v>
      </c>
      <c r="L87" s="1763">
        <v>33116.1</v>
      </c>
      <c r="M87" s="1743">
        <v>288628.5</v>
      </c>
      <c r="N87" s="619">
        <v>9370.9</v>
      </c>
      <c r="O87" s="895">
        <v>2111078.9</v>
      </c>
    </row>
    <row r="88" spans="2:15" ht="10.8" hidden="1" thickTop="1">
      <c r="B88" s="615"/>
      <c r="C88" s="619"/>
      <c r="D88" s="619"/>
      <c r="E88" s="619"/>
      <c r="F88" s="1732"/>
      <c r="G88" s="1753"/>
      <c r="H88" s="1771"/>
      <c r="I88" s="1753"/>
      <c r="J88" s="1753"/>
      <c r="K88" s="1753"/>
      <c r="L88" s="1763"/>
      <c r="M88" s="1743"/>
      <c r="N88" s="619"/>
      <c r="O88" s="619"/>
    </row>
    <row r="89" spans="2:15" ht="10.8" hidden="1" thickTop="1">
      <c r="B89" s="861">
        <v>2013</v>
      </c>
      <c r="C89" s="619"/>
      <c r="D89" s="619"/>
      <c r="E89" s="619"/>
      <c r="F89" s="1732"/>
      <c r="G89" s="1753"/>
      <c r="H89" s="1771"/>
      <c r="I89" s="1753"/>
      <c r="J89" s="1753"/>
      <c r="K89" s="1753"/>
      <c r="L89" s="1763"/>
      <c r="M89" s="1743"/>
      <c r="N89" s="619"/>
      <c r="O89" s="868"/>
    </row>
    <row r="90" spans="2:15" ht="10.8" hidden="1" thickTop="1">
      <c r="B90" s="747" t="s">
        <v>345</v>
      </c>
      <c r="C90" s="896">
        <v>450170</v>
      </c>
      <c r="D90" s="896">
        <v>31073.4</v>
      </c>
      <c r="E90" s="896">
        <v>38762.300000000003</v>
      </c>
      <c r="F90" s="1735">
        <v>426050.9</v>
      </c>
      <c r="G90" s="1756">
        <v>11967.9</v>
      </c>
      <c r="H90" s="926">
        <v>31547.4</v>
      </c>
      <c r="I90" s="1756">
        <v>417961.3</v>
      </c>
      <c r="J90" s="1756">
        <v>144645.1</v>
      </c>
      <c r="K90" s="1756">
        <v>237323.7</v>
      </c>
      <c r="L90" s="1766">
        <v>33906.5</v>
      </c>
      <c r="M90" s="1746">
        <v>300841.09999999998</v>
      </c>
      <c r="N90" s="897">
        <v>9373.1</v>
      </c>
      <c r="O90" s="896">
        <v>2133622.7000000002</v>
      </c>
    </row>
    <row r="91" spans="2:15" ht="10.8" hidden="1" thickTop="1">
      <c r="B91" s="609" t="s">
        <v>1278</v>
      </c>
      <c r="C91" s="870">
        <v>494536.6</v>
      </c>
      <c r="D91" s="870">
        <v>33786.9</v>
      </c>
      <c r="E91" s="870">
        <v>28372</v>
      </c>
      <c r="F91" s="1736">
        <v>439556.7</v>
      </c>
      <c r="G91" s="1756">
        <v>14811.4</v>
      </c>
      <c r="H91" s="926">
        <v>33948.5</v>
      </c>
      <c r="I91" s="1756">
        <v>409692.7</v>
      </c>
      <c r="J91" s="1756">
        <v>128242.7</v>
      </c>
      <c r="K91" s="1756">
        <v>303269.90000000002</v>
      </c>
      <c r="L91" s="1766">
        <v>38235.9</v>
      </c>
      <c r="M91" s="1747">
        <v>298171.5</v>
      </c>
      <c r="N91" s="870">
        <v>3685.5</v>
      </c>
      <c r="O91" s="896">
        <v>2226310.2000000002</v>
      </c>
    </row>
    <row r="92" spans="2:15" ht="10.8" hidden="1" thickTop="1">
      <c r="B92" s="609" t="s">
        <v>335</v>
      </c>
      <c r="C92" s="896">
        <v>467873.97</v>
      </c>
      <c r="D92" s="896">
        <v>41532.699999999997</v>
      </c>
      <c r="E92" s="896">
        <v>68987.199999999997</v>
      </c>
      <c r="F92" s="1735">
        <v>433337.1</v>
      </c>
      <c r="G92" s="1756">
        <v>16118.8</v>
      </c>
      <c r="H92" s="926">
        <v>34704.699999999997</v>
      </c>
      <c r="I92" s="1756">
        <v>471204.9</v>
      </c>
      <c r="J92" s="1756">
        <v>159925.70000000001</v>
      </c>
      <c r="K92" s="1756">
        <v>307134.7</v>
      </c>
      <c r="L92" s="1766">
        <v>44413.57</v>
      </c>
      <c r="M92" s="1746">
        <v>370123.5</v>
      </c>
      <c r="N92" s="897">
        <v>4491.7</v>
      </c>
      <c r="O92" s="896">
        <v>2419848.6</v>
      </c>
    </row>
    <row r="93" spans="2:15" ht="10.8" hidden="1" thickTop="1">
      <c r="B93" s="609" t="s">
        <v>336</v>
      </c>
      <c r="C93" s="896">
        <v>455178.9</v>
      </c>
      <c r="D93" s="896">
        <v>43628.2</v>
      </c>
      <c r="E93" s="896">
        <v>23433.4</v>
      </c>
      <c r="F93" s="1735">
        <v>428381.7</v>
      </c>
      <c r="G93" s="1756">
        <v>14997.8</v>
      </c>
      <c r="H93" s="926">
        <v>35589.1</v>
      </c>
      <c r="I93" s="1756">
        <v>444798.7</v>
      </c>
      <c r="J93" s="1756">
        <v>135046.20000000001</v>
      </c>
      <c r="K93" s="1756">
        <v>288857.59999999998</v>
      </c>
      <c r="L93" s="1766">
        <v>45643.6</v>
      </c>
      <c r="M93" s="1746">
        <v>377037</v>
      </c>
      <c r="N93" s="897">
        <v>7693.7</v>
      </c>
      <c r="O93" s="896">
        <v>2300585.7999999998</v>
      </c>
    </row>
    <row r="94" spans="2:15" ht="10.8" hidden="1" thickTop="1">
      <c r="B94" s="609" t="s">
        <v>337</v>
      </c>
      <c r="C94" s="896">
        <v>484635</v>
      </c>
      <c r="D94" s="896">
        <v>38637.199999999997</v>
      </c>
      <c r="E94" s="896">
        <v>27795.200000000001</v>
      </c>
      <c r="F94" s="1735">
        <v>455737.9</v>
      </c>
      <c r="G94" s="1756">
        <v>14699.1</v>
      </c>
      <c r="H94" s="926">
        <v>35106.1</v>
      </c>
      <c r="I94" s="1756">
        <v>465890.2</v>
      </c>
      <c r="J94" s="1756">
        <v>115457.8</v>
      </c>
      <c r="K94" s="1756">
        <v>301547.90000000002</v>
      </c>
      <c r="L94" s="1766">
        <v>52075.199999999997</v>
      </c>
      <c r="M94" s="1746">
        <v>382172.8</v>
      </c>
      <c r="N94" s="897">
        <v>5034</v>
      </c>
      <c r="O94" s="896">
        <v>2378788.7000000002</v>
      </c>
    </row>
    <row r="95" spans="2:15" ht="10.8" hidden="1" thickTop="1">
      <c r="B95" s="609" t="s">
        <v>338</v>
      </c>
      <c r="C95" s="896">
        <v>489730.1</v>
      </c>
      <c r="D95" s="896">
        <v>37474.300000000003</v>
      </c>
      <c r="E95" s="896">
        <v>38198.699999999997</v>
      </c>
      <c r="F95" s="1735">
        <v>425521.3</v>
      </c>
      <c r="G95" s="1756">
        <v>7310.7</v>
      </c>
      <c r="H95" s="926">
        <v>53815</v>
      </c>
      <c r="I95" s="1756">
        <v>454368.5</v>
      </c>
      <c r="J95" s="1756">
        <v>110349.9</v>
      </c>
      <c r="K95" s="1756">
        <v>295432.3</v>
      </c>
      <c r="L95" s="1766">
        <v>51453.599999999999</v>
      </c>
      <c r="M95" s="1746">
        <v>385769.7</v>
      </c>
      <c r="N95" s="897">
        <v>11033.4</v>
      </c>
      <c r="O95" s="896">
        <v>2360457.5</v>
      </c>
    </row>
    <row r="96" spans="2:15" ht="10.8" hidden="1" thickTop="1">
      <c r="B96" s="609" t="s">
        <v>339</v>
      </c>
      <c r="C96" s="896">
        <v>483103.7</v>
      </c>
      <c r="D96" s="896">
        <v>40342.5</v>
      </c>
      <c r="E96" s="896">
        <v>33494.300000000003</v>
      </c>
      <c r="F96" s="1735">
        <v>464921.7</v>
      </c>
      <c r="G96" s="1756">
        <v>6869.2</v>
      </c>
      <c r="H96" s="926">
        <v>38522.6</v>
      </c>
      <c r="I96" s="1756">
        <v>541025.9</v>
      </c>
      <c r="J96" s="1756">
        <v>116557.1</v>
      </c>
      <c r="K96" s="1756">
        <v>307117.5</v>
      </c>
      <c r="L96" s="1766">
        <v>48218</v>
      </c>
      <c r="M96" s="1746">
        <v>426582.7</v>
      </c>
      <c r="N96" s="897">
        <v>4455.3</v>
      </c>
      <c r="O96" s="896">
        <v>2511210.5</v>
      </c>
    </row>
    <row r="97" spans="2:26" ht="10.8" hidden="1" thickTop="1">
      <c r="B97" s="609" t="s">
        <v>340</v>
      </c>
      <c r="C97" s="896">
        <v>521743</v>
      </c>
      <c r="D97" s="896">
        <v>38889.1</v>
      </c>
      <c r="E97" s="896">
        <v>43894.5</v>
      </c>
      <c r="F97" s="1735">
        <v>425531.4</v>
      </c>
      <c r="G97" s="1756">
        <v>7260.6</v>
      </c>
      <c r="H97" s="926" t="s">
        <v>1297</v>
      </c>
      <c r="I97" s="1756">
        <v>451871.2</v>
      </c>
      <c r="J97" s="1756">
        <v>110041.8</v>
      </c>
      <c r="K97" s="1756">
        <v>346006</v>
      </c>
      <c r="L97" s="1766">
        <v>40216</v>
      </c>
      <c r="M97" s="1746">
        <v>374587.1</v>
      </c>
      <c r="N97" s="897">
        <v>9914.6</v>
      </c>
      <c r="O97" s="896">
        <v>2409042.5</v>
      </c>
    </row>
    <row r="98" spans="2:26" ht="10.8" hidden="1" thickTop="1">
      <c r="B98" s="609" t="s">
        <v>341</v>
      </c>
      <c r="C98" s="896">
        <v>496289.3</v>
      </c>
      <c r="D98" s="896">
        <v>39446.9</v>
      </c>
      <c r="E98" s="896">
        <v>38856.6</v>
      </c>
      <c r="F98" s="1735">
        <v>447247.2</v>
      </c>
      <c r="G98" s="1756">
        <v>13953.5</v>
      </c>
      <c r="H98" s="926">
        <v>43006.7</v>
      </c>
      <c r="I98" s="1756">
        <v>437211.9</v>
      </c>
      <c r="J98" s="1756">
        <v>118873.7</v>
      </c>
      <c r="K98" s="1756">
        <v>330709.59999999998</v>
      </c>
      <c r="L98" s="1766">
        <v>40046.6</v>
      </c>
      <c r="M98" s="1746">
        <v>373596.8</v>
      </c>
      <c r="N98" s="897">
        <v>9790.6</v>
      </c>
      <c r="O98" s="896">
        <v>2389029.4</v>
      </c>
    </row>
    <row r="99" spans="2:26" ht="10.8" hidden="1" thickTop="1">
      <c r="B99" s="609" t="s">
        <v>342</v>
      </c>
      <c r="C99" s="896">
        <v>491610.6</v>
      </c>
      <c r="D99" s="896">
        <v>38871.5</v>
      </c>
      <c r="E99" s="896">
        <v>39766</v>
      </c>
      <c r="F99" s="1735">
        <v>471966.2</v>
      </c>
      <c r="G99" s="1756">
        <v>8023.3</v>
      </c>
      <c r="H99" s="926">
        <v>40835.300000000003</v>
      </c>
      <c r="I99" s="1756">
        <v>420445.3</v>
      </c>
      <c r="J99" s="1756">
        <v>110778.3</v>
      </c>
      <c r="K99" s="1756">
        <v>417411.6</v>
      </c>
      <c r="L99" s="1766">
        <v>36334.1</v>
      </c>
      <c r="M99" s="1746">
        <v>376463.1</v>
      </c>
      <c r="N99" s="897">
        <v>9861.9</v>
      </c>
      <c r="O99" s="896">
        <v>2462367.2999999998</v>
      </c>
    </row>
    <row r="100" spans="2:26" ht="10.8" hidden="1" thickTop="1">
      <c r="B100" s="609" t="s">
        <v>343</v>
      </c>
      <c r="C100" s="896">
        <v>487289.4</v>
      </c>
      <c r="D100" s="896">
        <v>40321.699999999997</v>
      </c>
      <c r="E100" s="896">
        <v>42332</v>
      </c>
      <c r="F100" s="1735">
        <v>488637.3</v>
      </c>
      <c r="G100" s="1756">
        <v>3116.5</v>
      </c>
      <c r="H100" s="926">
        <v>36852</v>
      </c>
      <c r="I100" s="1756">
        <v>417162.5</v>
      </c>
      <c r="J100" s="1756">
        <v>117050.8</v>
      </c>
      <c r="K100" s="1756">
        <v>389727.1</v>
      </c>
      <c r="L100" s="1766">
        <v>39126.400000000001</v>
      </c>
      <c r="M100" s="1746">
        <v>369190.3</v>
      </c>
      <c r="N100" s="897">
        <v>17960.5</v>
      </c>
      <c r="O100" s="896">
        <v>2448766.4</v>
      </c>
    </row>
    <row r="101" spans="2:26" ht="10.8" hidden="1" thickTop="1">
      <c r="B101" s="609" t="s">
        <v>344</v>
      </c>
      <c r="C101" s="896">
        <v>533165.19999999995</v>
      </c>
      <c r="D101" s="896">
        <v>42285.1</v>
      </c>
      <c r="E101" s="896">
        <v>17617.900000000001</v>
      </c>
      <c r="F101" s="1735">
        <v>435613.1</v>
      </c>
      <c r="G101" s="1756">
        <v>5047</v>
      </c>
      <c r="H101" s="926">
        <v>62165.8</v>
      </c>
      <c r="I101" s="1756">
        <v>389181.2</v>
      </c>
      <c r="J101" s="1756">
        <v>115404.6</v>
      </c>
      <c r="K101" s="1756">
        <v>379809.3</v>
      </c>
      <c r="L101" s="1766">
        <v>37409.1</v>
      </c>
      <c r="M101" s="1746">
        <v>369838.8</v>
      </c>
      <c r="N101" s="897">
        <v>18252.900000000001</v>
      </c>
      <c r="O101" s="896">
        <v>2405790</v>
      </c>
    </row>
    <row r="102" spans="2:26" ht="10.8" hidden="1" thickTop="1">
      <c r="B102" s="634"/>
      <c r="C102" s="619"/>
      <c r="D102" s="619"/>
      <c r="E102" s="619"/>
      <c r="F102" s="1732"/>
      <c r="G102" s="1753"/>
      <c r="H102" s="1771"/>
      <c r="I102" s="1753"/>
      <c r="J102" s="1753"/>
      <c r="K102" s="1753"/>
      <c r="L102" s="1763"/>
      <c r="M102" s="1743"/>
      <c r="N102" s="619"/>
      <c r="O102" s="619"/>
    </row>
    <row r="103" spans="2:26" ht="10.8" hidden="1" thickTop="1">
      <c r="B103" s="898">
        <v>2014</v>
      </c>
      <c r="C103" s="896"/>
      <c r="D103" s="896"/>
      <c r="E103" s="896"/>
      <c r="F103" s="1735"/>
      <c r="G103" s="1756"/>
      <c r="H103" s="926"/>
      <c r="I103" s="1756"/>
      <c r="J103" s="1756"/>
      <c r="K103" s="1756"/>
      <c r="L103" s="1766"/>
      <c r="M103" s="1746"/>
      <c r="N103" s="896"/>
      <c r="O103" s="896"/>
    </row>
    <row r="104" spans="2:26" ht="10.8" hidden="1" thickTop="1">
      <c r="B104" s="747" t="s">
        <v>345</v>
      </c>
      <c r="C104" s="896">
        <v>489585.3</v>
      </c>
      <c r="D104" s="896">
        <v>43743.8</v>
      </c>
      <c r="E104" s="896">
        <v>18574.7</v>
      </c>
      <c r="F104" s="1735">
        <v>464097.6</v>
      </c>
      <c r="G104" s="1756">
        <v>5467.4</v>
      </c>
      <c r="H104" s="926">
        <v>48086.1</v>
      </c>
      <c r="I104" s="1756">
        <v>362554</v>
      </c>
      <c r="J104" s="1756">
        <v>116635.5</v>
      </c>
      <c r="K104" s="1756">
        <v>412901.1</v>
      </c>
      <c r="L104" s="1766">
        <v>37722.199999999997</v>
      </c>
      <c r="M104" s="1746">
        <v>367126.2</v>
      </c>
      <c r="N104" s="896">
        <v>16773.099999999999</v>
      </c>
      <c r="O104" s="896">
        <v>2383267.1</v>
      </c>
    </row>
    <row r="105" spans="2:26" ht="10.8" hidden="1" thickTop="1">
      <c r="B105" s="609" t="s">
        <v>1278</v>
      </c>
      <c r="C105" s="896">
        <v>519154.6</v>
      </c>
      <c r="D105" s="896">
        <v>38918.1</v>
      </c>
      <c r="E105" s="896">
        <v>24765.4</v>
      </c>
      <c r="F105" s="1735">
        <v>460528.2</v>
      </c>
      <c r="G105" s="1756">
        <v>10397.299999999999</v>
      </c>
      <c r="H105" s="926">
        <v>47488.6</v>
      </c>
      <c r="I105" s="1756">
        <v>385038.1</v>
      </c>
      <c r="J105" s="1756">
        <v>116670.5</v>
      </c>
      <c r="K105" s="1756">
        <v>401619.6</v>
      </c>
      <c r="L105" s="1766">
        <v>32978.1</v>
      </c>
      <c r="M105" s="1746">
        <v>396800.8</v>
      </c>
      <c r="N105" s="896">
        <v>8542.7000000000007</v>
      </c>
      <c r="O105" s="896">
        <v>2442902.1</v>
      </c>
    </row>
    <row r="106" spans="2:26" ht="10.8" hidden="1" thickTop="1">
      <c r="B106" s="609" t="s">
        <v>335</v>
      </c>
      <c r="C106" s="896">
        <v>503868.1</v>
      </c>
      <c r="D106" s="896">
        <v>42707.9</v>
      </c>
      <c r="E106" s="896">
        <v>35785.1</v>
      </c>
      <c r="F106" s="1735">
        <v>494663.8</v>
      </c>
      <c r="G106" s="1756">
        <v>5257.4</v>
      </c>
      <c r="H106" s="926">
        <v>52722</v>
      </c>
      <c r="I106" s="1756">
        <v>374809.1</v>
      </c>
      <c r="J106" s="1756">
        <v>116653</v>
      </c>
      <c r="K106" s="1756">
        <v>396000.6</v>
      </c>
      <c r="L106" s="1766">
        <v>38089.300000000003</v>
      </c>
      <c r="M106" s="1746">
        <v>406503.1</v>
      </c>
      <c r="N106" s="896">
        <v>15833.1</v>
      </c>
      <c r="O106" s="896">
        <v>2482892.7000000002</v>
      </c>
      <c r="P106" s="899"/>
      <c r="Q106" s="903"/>
      <c r="R106" s="732"/>
      <c r="S106" s="725"/>
      <c r="T106" s="725"/>
      <c r="U106" s="725"/>
      <c r="V106" s="725"/>
      <c r="W106" s="725"/>
      <c r="X106" s="725"/>
      <c r="Y106" s="726"/>
      <c r="Z106" s="725"/>
    </row>
    <row r="107" spans="2:26" ht="10.8" hidden="1" thickTop="1">
      <c r="B107" s="609" t="s">
        <v>336</v>
      </c>
      <c r="C107" s="869">
        <v>540156.19999999995</v>
      </c>
      <c r="D107" s="869">
        <v>40707.1</v>
      </c>
      <c r="E107" s="869">
        <v>18138.900000000001</v>
      </c>
      <c r="F107" s="1735">
        <v>502514.1</v>
      </c>
      <c r="G107" s="1756">
        <v>9898.6</v>
      </c>
      <c r="H107" s="926">
        <v>18817.900000000001</v>
      </c>
      <c r="I107" s="1756">
        <v>407595</v>
      </c>
      <c r="J107" s="1756">
        <v>175048.3</v>
      </c>
      <c r="K107" s="1756">
        <v>447549.2</v>
      </c>
      <c r="L107" s="1766">
        <v>49619.1</v>
      </c>
      <c r="M107" s="1746">
        <v>511048.2</v>
      </c>
      <c r="N107" s="869">
        <v>15136.7</v>
      </c>
      <c r="O107" s="869">
        <v>2736229.2</v>
      </c>
    </row>
    <row r="108" spans="2:26" ht="10.8" hidden="1" thickTop="1">
      <c r="B108" s="609" t="s">
        <v>337</v>
      </c>
      <c r="C108" s="869">
        <v>546733.9</v>
      </c>
      <c r="D108" s="869">
        <v>41594.199999999997</v>
      </c>
      <c r="E108" s="869">
        <v>21547.9</v>
      </c>
      <c r="F108" s="1735">
        <v>488389.7</v>
      </c>
      <c r="G108" s="1756">
        <v>10073.799999999999</v>
      </c>
      <c r="H108" s="926">
        <v>23049.1</v>
      </c>
      <c r="I108" s="1756">
        <v>396846</v>
      </c>
      <c r="J108" s="1756">
        <v>184730.9</v>
      </c>
      <c r="K108" s="1756" t="s">
        <v>1310</v>
      </c>
      <c r="L108" s="1766">
        <v>51891.8</v>
      </c>
      <c r="M108" s="1746">
        <v>512864.5</v>
      </c>
      <c r="N108" s="869">
        <v>17718.8</v>
      </c>
      <c r="O108" s="869">
        <v>2747814.6</v>
      </c>
    </row>
    <row r="109" spans="2:26" ht="10.8" hidden="1" thickTop="1">
      <c r="B109" s="609" t="s">
        <v>338</v>
      </c>
      <c r="C109" s="869">
        <v>536188.9</v>
      </c>
      <c r="D109" s="869">
        <v>46085.8</v>
      </c>
      <c r="E109" s="869">
        <v>28201</v>
      </c>
      <c r="F109" s="1735">
        <v>500266.1</v>
      </c>
      <c r="G109" s="1756">
        <v>10656.3</v>
      </c>
      <c r="H109" s="926">
        <v>25616.2</v>
      </c>
      <c r="I109" s="1756">
        <v>417002.7</v>
      </c>
      <c r="J109" s="1756">
        <v>197441.1</v>
      </c>
      <c r="K109" s="1756">
        <v>432692.4</v>
      </c>
      <c r="L109" s="1766">
        <v>46751.6</v>
      </c>
      <c r="M109" s="1746">
        <v>499191.5</v>
      </c>
      <c r="N109" s="869">
        <v>17173.900000000001</v>
      </c>
      <c r="O109" s="869">
        <v>2757267.4</v>
      </c>
    </row>
    <row r="110" spans="2:26" ht="10.8" hidden="1" thickTop="1">
      <c r="B110" s="609" t="s">
        <v>339</v>
      </c>
      <c r="C110" s="869">
        <v>575645.30000000005</v>
      </c>
      <c r="D110" s="869">
        <v>43055</v>
      </c>
      <c r="E110" s="869">
        <v>28090.799999999999</v>
      </c>
      <c r="F110" s="1735">
        <v>480483.6</v>
      </c>
      <c r="G110" s="1756">
        <v>6359.2</v>
      </c>
      <c r="H110" s="926">
        <v>27284.9</v>
      </c>
      <c r="I110" s="1756">
        <v>428611.4</v>
      </c>
      <c r="J110" s="1756">
        <v>206052.3</v>
      </c>
      <c r="K110" s="1756">
        <v>479384.6</v>
      </c>
      <c r="L110" s="1766">
        <v>49260.4</v>
      </c>
      <c r="M110" s="1746">
        <v>507930</v>
      </c>
      <c r="N110" s="869">
        <v>46148.1</v>
      </c>
      <c r="O110" s="869">
        <v>2878305.8</v>
      </c>
    </row>
    <row r="111" spans="2:26" ht="10.8" hidden="1" thickTop="1">
      <c r="B111" s="609" t="s">
        <v>340</v>
      </c>
      <c r="C111" s="869">
        <v>548866.69999999995</v>
      </c>
      <c r="D111" s="869">
        <v>56886.1</v>
      </c>
      <c r="E111" s="869">
        <v>38891.300000000003</v>
      </c>
      <c r="F111" s="1735">
        <v>498696.8</v>
      </c>
      <c r="G111" s="1756">
        <v>54387.199999999997</v>
      </c>
      <c r="H111" s="926">
        <v>110618.5</v>
      </c>
      <c r="I111" s="1756">
        <v>422942.5</v>
      </c>
      <c r="J111" s="1756">
        <v>221099.2</v>
      </c>
      <c r="K111" s="1756">
        <v>430156.3</v>
      </c>
      <c r="L111" s="1766">
        <v>48167</v>
      </c>
      <c r="M111" s="1746">
        <v>474060.2</v>
      </c>
      <c r="N111" s="869">
        <v>37230.9</v>
      </c>
      <c r="O111" s="869">
        <v>2942002.7</v>
      </c>
    </row>
    <row r="112" spans="2:26" ht="10.8" hidden="1" thickTop="1">
      <c r="B112" s="609" t="s">
        <v>341</v>
      </c>
      <c r="C112" s="869">
        <v>539818.75</v>
      </c>
      <c r="D112" s="869">
        <v>51349.05</v>
      </c>
      <c r="E112" s="869">
        <v>29191.78</v>
      </c>
      <c r="F112" s="1735">
        <v>493610.73</v>
      </c>
      <c r="G112" s="1756">
        <v>51998.96</v>
      </c>
      <c r="H112" s="926">
        <v>109974.98</v>
      </c>
      <c r="I112" s="1756">
        <v>428697.3</v>
      </c>
      <c r="J112" s="1756">
        <v>201791.64</v>
      </c>
      <c r="K112" s="1756">
        <v>451117.23</v>
      </c>
      <c r="L112" s="1766">
        <v>45099.97</v>
      </c>
      <c r="M112" s="1746">
        <v>539108.11</v>
      </c>
      <c r="N112" s="869">
        <v>36708.589999999997</v>
      </c>
      <c r="O112" s="869">
        <f>+SUM(C112:N112)</f>
        <v>2978467.09</v>
      </c>
    </row>
    <row r="113" spans="2:17" ht="10.8" hidden="1" thickTop="1">
      <c r="B113" s="609" t="s">
        <v>342</v>
      </c>
      <c r="C113" s="869">
        <v>530544.66121499997</v>
      </c>
      <c r="D113" s="869">
        <v>62891.783029999999</v>
      </c>
      <c r="E113" s="869">
        <v>55922.49543000001</v>
      </c>
      <c r="F113" s="1735">
        <v>507936.44028599991</v>
      </c>
      <c r="G113" s="1756">
        <v>50701.103630000005</v>
      </c>
      <c r="H113" s="926">
        <v>101818.47853000001</v>
      </c>
      <c r="I113" s="1756">
        <v>436519.07627200003</v>
      </c>
      <c r="J113" s="1756">
        <v>196490.99407999995</v>
      </c>
      <c r="K113" s="1756">
        <v>413443.49621499999</v>
      </c>
      <c r="L113" s="1766">
        <v>39088.306198999991</v>
      </c>
      <c r="M113" s="1746">
        <v>520436.95084999991</v>
      </c>
      <c r="N113" s="869">
        <v>5799.4104600000001</v>
      </c>
      <c r="O113" s="869">
        <f>+SUM(C113:N113)</f>
        <v>2921593.1961969994</v>
      </c>
    </row>
    <row r="114" spans="2:17" ht="10.8" hidden="1" thickTop="1">
      <c r="B114" s="609" t="s">
        <v>343</v>
      </c>
      <c r="C114" s="869">
        <v>574859.5</v>
      </c>
      <c r="D114" s="869">
        <v>58780.5</v>
      </c>
      <c r="E114" s="869">
        <v>46419.5</v>
      </c>
      <c r="F114" s="1735">
        <v>460989.3</v>
      </c>
      <c r="G114" s="1756">
        <v>50008.6</v>
      </c>
      <c r="H114" s="926">
        <v>120510.39999999999</v>
      </c>
      <c r="I114" s="1756">
        <v>453924.5</v>
      </c>
      <c r="J114" s="1756">
        <v>208418.3</v>
      </c>
      <c r="K114" s="1756">
        <v>413410.7</v>
      </c>
      <c r="L114" s="1766">
        <v>45289.599999999999</v>
      </c>
      <c r="M114" s="1746">
        <v>540638.4</v>
      </c>
      <c r="N114" s="869">
        <v>5976.9</v>
      </c>
      <c r="O114" s="869">
        <f>+SUM(C114:N114)</f>
        <v>2979226.2</v>
      </c>
    </row>
    <row r="115" spans="2:17" ht="10.8" hidden="1" thickTop="1">
      <c r="B115" s="609" t="s">
        <v>344</v>
      </c>
      <c r="C115" s="869">
        <v>565840.1</v>
      </c>
      <c r="D115" s="869">
        <v>46298.5</v>
      </c>
      <c r="E115" s="869">
        <v>42604.800000000003</v>
      </c>
      <c r="F115" s="1735">
        <v>437975.3</v>
      </c>
      <c r="G115" s="1756">
        <v>47805.8</v>
      </c>
      <c r="H115" s="926">
        <v>88485.5</v>
      </c>
      <c r="I115" s="1756">
        <v>478895.5</v>
      </c>
      <c r="J115" s="1756">
        <v>220501.3</v>
      </c>
      <c r="K115" s="1756">
        <v>481497.5</v>
      </c>
      <c r="L115" s="1766">
        <v>43449.8</v>
      </c>
      <c r="M115" s="1746">
        <v>543038.5</v>
      </c>
      <c r="N115" s="869">
        <v>5957.7</v>
      </c>
      <c r="O115" s="869">
        <v>3002529.6</v>
      </c>
    </row>
    <row r="116" spans="2:17" ht="13.5" hidden="1" customHeight="1">
      <c r="B116" s="609"/>
      <c r="C116" s="869"/>
      <c r="D116" s="869"/>
      <c r="E116" s="869"/>
      <c r="F116" s="1735"/>
      <c r="G116" s="1756"/>
      <c r="H116" s="926"/>
      <c r="I116" s="1756"/>
      <c r="J116" s="1756"/>
      <c r="K116" s="1756"/>
      <c r="L116" s="1766"/>
      <c r="M116" s="1746"/>
      <c r="N116" s="869"/>
      <c r="O116" s="869"/>
    </row>
    <row r="117" spans="2:17" ht="13.8" hidden="1" thickTop="1">
      <c r="B117" s="953">
        <v>2015</v>
      </c>
      <c r="C117" s="954"/>
      <c r="D117" s="954"/>
      <c r="E117" s="954"/>
      <c r="F117" s="1737"/>
      <c r="G117" s="1757"/>
      <c r="H117" s="1775"/>
      <c r="I117" s="1757"/>
      <c r="J117" s="1757"/>
      <c r="K117" s="1757"/>
      <c r="L117" s="1767"/>
      <c r="M117" s="1748"/>
      <c r="N117" s="954"/>
      <c r="O117" s="869"/>
    </row>
    <row r="118" spans="2:17" ht="13.5" hidden="1" customHeight="1">
      <c r="B118" s="955" t="s">
        <v>345</v>
      </c>
      <c r="C118" s="954">
        <v>541656.5</v>
      </c>
      <c r="D118" s="954">
        <v>46681.599999999999</v>
      </c>
      <c r="E118" s="954">
        <v>39906.800000000003</v>
      </c>
      <c r="F118" s="1737">
        <v>445656.6</v>
      </c>
      <c r="G118" s="1757">
        <v>21454.5</v>
      </c>
      <c r="H118" s="1775">
        <v>131350.1</v>
      </c>
      <c r="I118" s="1757">
        <v>466896.6</v>
      </c>
      <c r="J118" s="1757">
        <v>207686.6</v>
      </c>
      <c r="K118" s="1757">
        <v>452817.5</v>
      </c>
      <c r="L118" s="1767">
        <v>47945.7</v>
      </c>
      <c r="M118" s="1748">
        <v>557066.9</v>
      </c>
      <c r="N118" s="954">
        <v>1401.2</v>
      </c>
      <c r="O118" s="869">
        <v>2960820.4</v>
      </c>
    </row>
    <row r="119" spans="2:17" ht="13.5" hidden="1" customHeight="1">
      <c r="B119" s="955" t="s">
        <v>334</v>
      </c>
      <c r="C119" s="954">
        <v>538721.97400000005</v>
      </c>
      <c r="D119" s="954">
        <v>42062.785000000003</v>
      </c>
      <c r="E119" s="954">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4">
        <v>1416.181</v>
      </c>
      <c r="O119" s="869">
        <f t="shared" ref="O119:O129" si="0">+SUM(C119:N119)</f>
        <v>2948453.5629999996</v>
      </c>
    </row>
    <row r="120" spans="2:17" ht="13.5" hidden="1" customHeight="1">
      <c r="B120" s="955" t="s">
        <v>335</v>
      </c>
      <c r="C120" s="954">
        <v>549118.01597996976</v>
      </c>
      <c r="D120" s="954">
        <v>42010.121926477557</v>
      </c>
      <c r="E120" s="954">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4">
        <v>1339.63</v>
      </c>
      <c r="O120" s="869">
        <f t="shared" si="0"/>
        <v>3013805.6450531483</v>
      </c>
    </row>
    <row r="121" spans="2:17" ht="13.5" hidden="1" customHeight="1">
      <c r="B121" s="955" t="s">
        <v>336</v>
      </c>
      <c r="C121" s="954">
        <v>556457.40981999994</v>
      </c>
      <c r="D121" s="954">
        <v>30687.29435</v>
      </c>
      <c r="E121" s="954">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4">
        <v>990.09100000000001</v>
      </c>
      <c r="O121" s="869">
        <f t="shared" si="0"/>
        <v>3000769.9896399998</v>
      </c>
    </row>
    <row r="122" spans="2:17" ht="13.5" hidden="1" customHeight="1">
      <c r="B122" s="955" t="s">
        <v>337</v>
      </c>
      <c r="C122" s="954">
        <v>577258.56125000003</v>
      </c>
      <c r="D122" s="954">
        <v>31400.6734</v>
      </c>
      <c r="E122" s="954">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4">
        <v>1034.373</v>
      </c>
      <c r="O122" s="869">
        <f t="shared" si="0"/>
        <v>3061220.4607599997</v>
      </c>
      <c r="Q122" s="532">
        <v>1000</v>
      </c>
    </row>
    <row r="123" spans="2:17" ht="13.5" hidden="1" customHeight="1">
      <c r="B123" s="955" t="s">
        <v>338</v>
      </c>
      <c r="C123" s="954">
        <v>576485.09744000004</v>
      </c>
      <c r="D123" s="954">
        <v>29649.034710000004</v>
      </c>
      <c r="E123" s="954">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4">
        <v>965.947</v>
      </c>
      <c r="O123" s="869">
        <f t="shared" si="0"/>
        <v>2972910.2369000004</v>
      </c>
    </row>
    <row r="124" spans="2:17" ht="13.5" hidden="1" customHeight="1">
      <c r="B124" s="955" t="s">
        <v>339</v>
      </c>
      <c r="C124" s="954">
        <v>589866.73219999997</v>
      </c>
      <c r="D124" s="954">
        <v>27447.931700000001</v>
      </c>
      <c r="E124" s="954">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4">
        <v>941.43200000000002</v>
      </c>
      <c r="O124" s="869">
        <f t="shared" si="0"/>
        <v>2905252.7441199995</v>
      </c>
    </row>
    <row r="125" spans="2:17" ht="13.5" hidden="1" customHeight="1">
      <c r="B125" s="955" t="s">
        <v>340</v>
      </c>
      <c r="C125" s="954">
        <v>580775.28650000016</v>
      </c>
      <c r="D125" s="954">
        <v>28148.754950000002</v>
      </c>
      <c r="E125" s="954">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4">
        <v>886.88</v>
      </c>
      <c r="O125" s="869">
        <f t="shared" si="0"/>
        <v>2898972.1384299998</v>
      </c>
    </row>
    <row r="126" spans="2:17" ht="13.5" hidden="1" customHeight="1">
      <c r="B126" s="955" t="s">
        <v>341</v>
      </c>
      <c r="C126" s="954">
        <v>598429.93062</v>
      </c>
      <c r="D126" s="954">
        <v>28307.877280000001</v>
      </c>
      <c r="E126" s="954">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4">
        <v>929.52099999999996</v>
      </c>
      <c r="O126" s="869">
        <f t="shared" si="0"/>
        <v>2930689.0365900006</v>
      </c>
    </row>
    <row r="127" spans="2:17" ht="13.5" hidden="1" customHeight="1">
      <c r="B127" s="955" t="s">
        <v>342</v>
      </c>
      <c r="C127" s="954">
        <v>609537.23918000003</v>
      </c>
      <c r="D127" s="954">
        <v>33868.437749999997</v>
      </c>
      <c r="E127" s="954">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4">
        <v>907.71900000000005</v>
      </c>
      <c r="O127" s="869">
        <f t="shared" si="0"/>
        <v>2977659.9982699994</v>
      </c>
    </row>
    <row r="128" spans="2:17" ht="15" hidden="1" customHeight="1">
      <c r="B128" s="955" t="s">
        <v>343</v>
      </c>
      <c r="C128" s="954">
        <v>650547.17152713728</v>
      </c>
      <c r="D128" s="954">
        <v>28696.710920653444</v>
      </c>
      <c r="E128" s="954">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4">
        <v>696.20500000000004</v>
      </c>
      <c r="O128" s="869">
        <f t="shared" si="0"/>
        <v>2897164.8374702502</v>
      </c>
    </row>
    <row r="129" spans="2:17" ht="20.25" hidden="1" customHeight="1">
      <c r="B129" s="955" t="s">
        <v>344</v>
      </c>
      <c r="C129" s="954">
        <v>590610.63590820797</v>
      </c>
      <c r="D129" s="954">
        <v>30958.779564229499</v>
      </c>
      <c r="E129" s="954">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4">
        <v>527.49935249794498</v>
      </c>
      <c r="O129" s="869">
        <f t="shared" si="0"/>
        <v>2783093.0202669641</v>
      </c>
    </row>
    <row r="130" spans="2:17" ht="18" hidden="1" customHeight="1">
      <c r="B130" s="955"/>
      <c r="C130" s="954"/>
      <c r="D130" s="954"/>
      <c r="E130" s="954"/>
      <c r="F130" s="1737"/>
      <c r="G130" s="1757"/>
      <c r="H130" s="1775"/>
      <c r="I130" s="1757"/>
      <c r="J130" s="1757"/>
      <c r="K130" s="1757"/>
      <c r="L130" s="1767"/>
      <c r="M130" s="1748"/>
      <c r="N130" s="954"/>
      <c r="O130" s="954"/>
    </row>
    <row r="131" spans="2:17" ht="12.75" hidden="1" customHeight="1">
      <c r="B131" s="932">
        <v>2016</v>
      </c>
      <c r="C131" s="954"/>
      <c r="D131" s="954"/>
      <c r="E131" s="954"/>
      <c r="F131" s="1737"/>
      <c r="G131" s="1757"/>
      <c r="H131" s="1775"/>
      <c r="I131" s="1757"/>
      <c r="J131" s="1757"/>
      <c r="K131" s="1757"/>
      <c r="L131" s="1767"/>
      <c r="M131" s="1748"/>
      <c r="N131" s="954"/>
      <c r="O131" s="869"/>
    </row>
    <row r="132" spans="2:17" ht="13.5" hidden="1" customHeight="1">
      <c r="B132" s="1172" t="s">
        <v>345</v>
      </c>
      <c r="C132" s="1169">
        <v>577684.3761313248</v>
      </c>
      <c r="D132" s="1169">
        <v>35033.634409999999</v>
      </c>
      <c r="E132" s="1169">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9">
        <v>380.17099999999999</v>
      </c>
      <c r="O132" s="1169">
        <f>+SUM(C132:N132)</f>
        <v>2731402.2246733499</v>
      </c>
    </row>
    <row r="133" spans="2:17" ht="13.5" hidden="1" customHeight="1">
      <c r="B133" s="1172" t="s">
        <v>334</v>
      </c>
      <c r="C133" s="1169">
        <v>539562.80512999999</v>
      </c>
      <c r="D133" s="1169">
        <v>35885.126779999991</v>
      </c>
      <c r="E133" s="1169">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9">
        <v>365.30700000000002</v>
      </c>
      <c r="O133" s="1169">
        <v>2683125.7109000008</v>
      </c>
      <c r="Q133" s="918">
        <v>1000</v>
      </c>
    </row>
    <row r="134" spans="2:17" ht="13.5" hidden="1" customHeight="1">
      <c r="B134" s="1170" t="s">
        <v>335</v>
      </c>
      <c r="C134" s="1169">
        <v>586349.72360000003</v>
      </c>
      <c r="D134" s="1169">
        <v>39180.482629999999</v>
      </c>
      <c r="E134" s="1169">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9">
        <v>410.74</v>
      </c>
      <c r="O134" s="1169">
        <v>2752615.4792400007</v>
      </c>
      <c r="Q134" s="918"/>
    </row>
    <row r="135" spans="2:17" ht="13.5" hidden="1" customHeight="1">
      <c r="B135" s="1170" t="s">
        <v>336</v>
      </c>
      <c r="C135" s="1169">
        <v>527545.79981</v>
      </c>
      <c r="D135" s="1169">
        <v>46612.508249999999</v>
      </c>
      <c r="E135" s="1169">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9">
        <v>9410.027</v>
      </c>
      <c r="O135" s="1169">
        <v>2777433.9966899995</v>
      </c>
      <c r="Q135" s="918">
        <v>1000</v>
      </c>
    </row>
    <row r="136" spans="2:17" ht="13.5" hidden="1" customHeight="1">
      <c r="B136" s="1170" t="s">
        <v>337</v>
      </c>
      <c r="C136" s="1169">
        <v>522239.83062999998</v>
      </c>
      <c r="D136" s="1169">
        <v>40194.356060000006</v>
      </c>
      <c r="E136" s="1169">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9">
        <v>9578.9740000000002</v>
      </c>
      <c r="O136" s="1169">
        <v>2726621.9154400001</v>
      </c>
      <c r="Q136" s="918"/>
    </row>
    <row r="137" spans="2:17" ht="13.5" hidden="1" customHeight="1">
      <c r="B137" s="1170" t="s">
        <v>338</v>
      </c>
      <c r="C137" s="1169">
        <v>510016.82611000002</v>
      </c>
      <c r="D137" s="1169">
        <v>39316.944040000002</v>
      </c>
      <c r="E137" s="1169">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9">
        <v>9739.1579999999994</v>
      </c>
      <c r="O137" s="1169">
        <v>2784168.3109300002</v>
      </c>
      <c r="Q137" s="918"/>
    </row>
    <row r="138" spans="2:17" ht="13.5" hidden="1" customHeight="1">
      <c r="B138" s="1170" t="s">
        <v>339</v>
      </c>
      <c r="C138" s="1169">
        <v>501744.55872999993</v>
      </c>
      <c r="D138" s="1169">
        <v>43266.633040000001</v>
      </c>
      <c r="E138" s="1169">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9">
        <v>9804.5709999999999</v>
      </c>
      <c r="O138" s="1169">
        <v>2677741.8911900003</v>
      </c>
      <c r="Q138" s="918"/>
    </row>
    <row r="139" spans="2:17" ht="13.5" hidden="1" customHeight="1">
      <c r="B139" s="1170" t="s">
        <v>340</v>
      </c>
      <c r="C139" s="1169">
        <v>498489.63701000006</v>
      </c>
      <c r="D139" s="1169">
        <v>43265.509809999996</v>
      </c>
      <c r="E139" s="1169">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9">
        <v>10497.050999999999</v>
      </c>
      <c r="O139" s="1169">
        <v>2658391.54422</v>
      </c>
      <c r="Q139" s="918"/>
    </row>
    <row r="140" spans="2:17" ht="13.5" hidden="1" customHeight="1">
      <c r="B140" s="1170" t="s">
        <v>341</v>
      </c>
      <c r="C140" s="1171">
        <v>487504.2</v>
      </c>
      <c r="D140" s="1169">
        <v>42900.696519999998</v>
      </c>
      <c r="E140" s="1171">
        <v>20644.2</v>
      </c>
      <c r="F140" s="1738">
        <v>338165.8</v>
      </c>
      <c r="G140" s="1758">
        <v>11960.4</v>
      </c>
      <c r="H140" s="1210">
        <v>154582.0232</v>
      </c>
      <c r="I140" s="1758">
        <v>409891.03</v>
      </c>
      <c r="J140" s="1758">
        <v>142259.6</v>
      </c>
      <c r="K140" s="1758">
        <v>400059.8</v>
      </c>
      <c r="L140" s="1768">
        <v>40609.699999999997</v>
      </c>
      <c r="M140" s="1749">
        <v>636000.75586000003</v>
      </c>
      <c r="N140" s="1171">
        <v>11273.255999999999</v>
      </c>
      <c r="O140" s="1171">
        <f>SUM(C140:N140)</f>
        <v>2695851.4615800004</v>
      </c>
      <c r="Q140" s="918"/>
    </row>
    <row r="141" spans="2:17" ht="13.5" hidden="1" customHeight="1">
      <c r="B141" s="1170" t="s">
        <v>342</v>
      </c>
      <c r="C141" s="1171">
        <v>513303.73326999997</v>
      </c>
      <c r="D141" s="1171">
        <v>44348.826719999997</v>
      </c>
      <c r="E141" s="1171">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1">
        <v>11122.177</v>
      </c>
      <c r="O141" s="1171">
        <v>2720213.0208999994</v>
      </c>
      <c r="Q141" s="918"/>
    </row>
    <row r="142" spans="2:17" ht="13.5" hidden="1" customHeight="1">
      <c r="B142" s="1170" t="s">
        <v>343</v>
      </c>
      <c r="C142" s="1171">
        <v>526709.80000000005</v>
      </c>
      <c r="D142" s="1169">
        <v>42580.2</v>
      </c>
      <c r="E142" s="1169">
        <v>22481.4</v>
      </c>
      <c r="F142" s="1738">
        <v>338556.1</v>
      </c>
      <c r="G142" s="1758">
        <v>11358.7</v>
      </c>
      <c r="H142" s="1210">
        <v>72491.899999999994</v>
      </c>
      <c r="I142" s="1758">
        <v>413849.2</v>
      </c>
      <c r="J142" s="1758">
        <v>152092.29999999999</v>
      </c>
      <c r="K142" s="1758">
        <v>464279.4</v>
      </c>
      <c r="L142" s="1768">
        <v>42762.1</v>
      </c>
      <c r="M142" s="1749">
        <v>641080.5</v>
      </c>
      <c r="N142" s="1169">
        <v>10545.5</v>
      </c>
      <c r="O142" s="1169">
        <v>2738787</v>
      </c>
      <c r="Q142" s="918"/>
    </row>
    <row r="143" spans="2:17" ht="15.75" hidden="1" customHeight="1">
      <c r="B143" s="1168" t="s">
        <v>344</v>
      </c>
      <c r="C143" s="1169">
        <v>436452.3</v>
      </c>
      <c r="D143" s="1169">
        <v>41297.5</v>
      </c>
      <c r="E143" s="1169">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9">
        <v>10287.700000000001</v>
      </c>
      <c r="O143" s="1169">
        <v>2736479.6</v>
      </c>
      <c r="Q143" s="918"/>
    </row>
    <row r="144" spans="2:17" ht="13.5" customHeight="1" thickTop="1">
      <c r="B144" s="1020"/>
      <c r="C144" s="954"/>
      <c r="D144" s="954"/>
      <c r="E144" s="954"/>
      <c r="F144" s="1737"/>
      <c r="G144" s="1757"/>
      <c r="H144" s="1775"/>
      <c r="I144" s="1757"/>
      <c r="J144" s="1757"/>
      <c r="K144" s="1757"/>
      <c r="L144" s="1767"/>
      <c r="M144" s="1748"/>
      <c r="N144" s="954"/>
      <c r="O144" s="954"/>
      <c r="Q144" s="918"/>
    </row>
    <row r="145" spans="2:18" ht="13.5" customHeight="1">
      <c r="B145" s="932">
        <v>2017</v>
      </c>
      <c r="C145" s="954"/>
      <c r="D145" s="954"/>
      <c r="E145" s="954"/>
      <c r="F145" s="1737"/>
      <c r="G145" s="1757"/>
      <c r="H145" s="1775"/>
      <c r="I145" s="1757"/>
      <c r="J145" s="1757"/>
      <c r="K145" s="1757"/>
      <c r="L145" s="1767"/>
      <c r="M145" s="1748"/>
      <c r="N145" s="954"/>
      <c r="O145" s="954"/>
      <c r="Q145" s="918"/>
      <c r="R145" s="532">
        <v>1000000</v>
      </c>
    </row>
    <row r="146" spans="2:18" ht="13.5" hidden="1" customHeight="1">
      <c r="B146" s="1168" t="s">
        <v>345</v>
      </c>
      <c r="C146" s="1169">
        <v>448344.69129898638</v>
      </c>
      <c r="D146" s="1169">
        <v>41732.817209746907</v>
      </c>
      <c r="E146" s="1169">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9">
        <v>11489.307543607361</v>
      </c>
      <c r="O146" s="1169">
        <v>2592877.0644895793</v>
      </c>
      <c r="Q146" s="918"/>
    </row>
    <row r="147" spans="2:18" ht="13.5" hidden="1" customHeight="1">
      <c r="B147" s="1168" t="s">
        <v>334</v>
      </c>
      <c r="C147" s="1169">
        <v>436206.24388999998</v>
      </c>
      <c r="D147" s="1169">
        <v>40112.294190000001</v>
      </c>
      <c r="E147" s="1169">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9">
        <v>11227.869000000001</v>
      </c>
      <c r="O147" s="1169">
        <v>2553623.0463700001</v>
      </c>
      <c r="Q147" s="918"/>
    </row>
    <row r="148" spans="2:18" ht="13.5" hidden="1" customHeight="1">
      <c r="B148" s="1168" t="s">
        <v>335</v>
      </c>
      <c r="C148" s="1169">
        <v>425496.81008999998</v>
      </c>
      <c r="D148" s="1169">
        <v>54688.362419999998</v>
      </c>
      <c r="E148" s="1169">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9">
        <v>13047.709000000001</v>
      </c>
      <c r="O148" s="1169">
        <f t="shared" ref="O148:O157" si="1">(SUM(C148:N148))</f>
        <v>2576086.8812299995</v>
      </c>
      <c r="Q148" s="918"/>
    </row>
    <row r="149" spans="2:18" ht="13.5" hidden="1" customHeight="1">
      <c r="B149" s="1168" t="s">
        <v>336</v>
      </c>
      <c r="C149" s="1169">
        <v>426696.6</v>
      </c>
      <c r="D149" s="1169">
        <v>43836.6</v>
      </c>
      <c r="E149" s="1169">
        <v>18145.2</v>
      </c>
      <c r="F149" s="1738">
        <v>340025.3</v>
      </c>
      <c r="G149" s="1758">
        <v>12219.1</v>
      </c>
      <c r="H149" s="1210">
        <v>271824</v>
      </c>
      <c r="I149" s="1758">
        <v>360945.8</v>
      </c>
      <c r="J149" s="1758">
        <v>134101</v>
      </c>
      <c r="K149" s="1758">
        <v>350475.1</v>
      </c>
      <c r="L149" s="1768">
        <v>42208.4</v>
      </c>
      <c r="M149" s="1749">
        <v>571000.5</v>
      </c>
      <c r="N149" s="1169">
        <v>12492.9</v>
      </c>
      <c r="O149" s="1169">
        <f t="shared" si="1"/>
        <v>2583970.4999999995</v>
      </c>
      <c r="Q149" s="918"/>
    </row>
    <row r="150" spans="2:18" ht="13.5" hidden="1" customHeight="1">
      <c r="B150" s="1168" t="s">
        <v>337</v>
      </c>
      <c r="C150" s="1169">
        <v>428873.96071999997</v>
      </c>
      <c r="D150" s="1169">
        <v>43426.976769999994</v>
      </c>
      <c r="E150" s="1169">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9">
        <v>11923.703</v>
      </c>
      <c r="O150" s="1169">
        <f t="shared" si="1"/>
        <v>2549486.9715700005</v>
      </c>
      <c r="Q150" s="918"/>
    </row>
    <row r="151" spans="2:18" ht="13.5" customHeight="1">
      <c r="B151" s="1168" t="s">
        <v>338</v>
      </c>
      <c r="C151" s="1169">
        <v>431677.54699</v>
      </c>
      <c r="D151" s="1169">
        <v>45017.95362</v>
      </c>
      <c r="E151" s="1169">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9">
        <v>12001.606</v>
      </c>
      <c r="O151" s="1169">
        <f t="shared" si="1"/>
        <v>2619882.5178400003</v>
      </c>
      <c r="Q151" s="918">
        <v>1000</v>
      </c>
    </row>
    <row r="152" spans="2:18" ht="13.5" customHeight="1">
      <c r="B152" s="1168" t="s">
        <v>339</v>
      </c>
      <c r="C152" s="1169">
        <v>459127.9734496781</v>
      </c>
      <c r="D152" s="1169">
        <v>52500.082293626874</v>
      </c>
      <c r="E152" s="1169">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9">
        <v>14464.342581858118</v>
      </c>
      <c r="O152" s="1169">
        <f t="shared" si="1"/>
        <v>2577588.4829580071</v>
      </c>
      <c r="Q152" s="918"/>
      <c r="R152" s="961">
        <v>1000</v>
      </c>
    </row>
    <row r="153" spans="2:18" ht="13.5" customHeight="1">
      <c r="B153" s="1168" t="s">
        <v>340</v>
      </c>
      <c r="C153" s="1169">
        <v>457861.92856999999</v>
      </c>
      <c r="D153" s="1169">
        <v>52622.559820000002</v>
      </c>
      <c r="E153" s="1169">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9">
        <v>15194.183999999999</v>
      </c>
      <c r="O153" s="1169">
        <f t="shared" si="1"/>
        <v>2606271.2631199998</v>
      </c>
      <c r="Q153" s="918">
        <v>1000000</v>
      </c>
    </row>
    <row r="154" spans="2:18" ht="13.5" customHeight="1">
      <c r="B154" s="1168" t="s">
        <v>341</v>
      </c>
      <c r="C154" s="1169">
        <v>457157.17464398593</v>
      </c>
      <c r="D154" s="1169">
        <v>48477.145406154974</v>
      </c>
      <c r="E154" s="1169">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9">
        <v>16061.198</v>
      </c>
      <c r="O154" s="1169">
        <f t="shared" si="1"/>
        <v>2672289.8437053142</v>
      </c>
      <c r="Q154" s="918"/>
    </row>
    <row r="155" spans="2:18" ht="13.5" customHeight="1">
      <c r="B155" s="1168" t="s">
        <v>342</v>
      </c>
      <c r="C155" s="1169">
        <v>460475.05972905498</v>
      </c>
      <c r="D155" s="1169">
        <v>46588.024888095097</v>
      </c>
      <c r="E155" s="1169">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9">
        <v>16061.198</v>
      </c>
      <c r="O155" s="1169">
        <f t="shared" si="1"/>
        <v>2651263.0655575795</v>
      </c>
      <c r="Q155" s="918"/>
    </row>
    <row r="156" spans="2:18" ht="13.5" customHeight="1">
      <c r="B156" s="1168" t="s">
        <v>343</v>
      </c>
      <c r="C156" s="1169">
        <v>477486.139098374</v>
      </c>
      <c r="D156" s="1169">
        <v>46318.316296178702</v>
      </c>
      <c r="E156" s="1169">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9">
        <v>16061.198</v>
      </c>
      <c r="O156" s="1169">
        <f t="shared" si="1"/>
        <v>2659418.0014966102</v>
      </c>
      <c r="Q156" s="918"/>
    </row>
    <row r="157" spans="2:18" ht="13.5" customHeight="1">
      <c r="B157" s="1168" t="s">
        <v>344</v>
      </c>
      <c r="C157" s="1169">
        <v>489695.59354745218</v>
      </c>
      <c r="D157" s="1169">
        <v>54162.931060538322</v>
      </c>
      <c r="E157" s="1169">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9">
        <v>13938.093510000001</v>
      </c>
      <c r="O157" s="1169">
        <f t="shared" si="1"/>
        <v>2655995.9752920126</v>
      </c>
      <c r="Q157" s="918"/>
    </row>
    <row r="158" spans="2:18" ht="13.5" customHeight="1">
      <c r="B158" s="1276"/>
      <c r="C158" s="1277"/>
      <c r="D158" s="1277"/>
      <c r="E158" s="1277"/>
      <c r="F158" s="1738"/>
      <c r="G158" s="1758"/>
      <c r="H158" s="1210"/>
      <c r="I158" s="1758"/>
      <c r="J158" s="1758"/>
      <c r="K158" s="1758"/>
      <c r="L158" s="1768"/>
      <c r="M158" s="1749"/>
      <c r="N158" s="1277"/>
      <c r="O158" s="1277"/>
      <c r="Q158" s="918"/>
    </row>
    <row r="159" spans="2:18" ht="13.5" customHeight="1">
      <c r="B159" s="932">
        <v>2018</v>
      </c>
      <c r="C159" s="1277"/>
      <c r="D159" s="1277"/>
      <c r="E159" s="1277"/>
      <c r="F159" s="1738"/>
      <c r="G159" s="1758"/>
      <c r="H159" s="1210"/>
      <c r="I159" s="1758"/>
      <c r="J159" s="1758"/>
      <c r="K159" s="1758"/>
      <c r="L159" s="1768"/>
      <c r="M159" s="1749"/>
      <c r="N159" s="1277"/>
      <c r="O159" s="1277"/>
      <c r="Q159" s="918"/>
    </row>
    <row r="160" spans="2:18" ht="13.5" customHeight="1">
      <c r="B160" s="932" t="s">
        <v>345</v>
      </c>
      <c r="C160" s="1277">
        <v>479109.64676880161</v>
      </c>
      <c r="D160" s="1277">
        <v>59336.798786619343</v>
      </c>
      <c r="E160" s="1277">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7">
        <v>14394.66285366872</v>
      </c>
      <c r="O160" s="1277">
        <f t="shared" ref="O160:O170" si="2">SUM(C160:N160)</f>
        <v>2547982.8311488312</v>
      </c>
      <c r="Q160" s="1329"/>
    </row>
    <row r="161" spans="2:17" ht="13.5" customHeight="1">
      <c r="B161" s="1276" t="s">
        <v>334</v>
      </c>
      <c r="C161" s="1277">
        <v>488203.1</v>
      </c>
      <c r="D161" s="1277" t="s">
        <v>1764</v>
      </c>
      <c r="E161" s="1169">
        <v>9271.6</v>
      </c>
      <c r="F161" s="1738">
        <v>315569.59999999998</v>
      </c>
      <c r="G161" s="1758">
        <v>20133.099999999999</v>
      </c>
      <c r="H161" s="1210">
        <v>258263.6</v>
      </c>
      <c r="I161" s="1758">
        <v>285045.09999999998</v>
      </c>
      <c r="J161" s="1758">
        <v>108649</v>
      </c>
      <c r="K161" s="1758">
        <v>393604.9</v>
      </c>
      <c r="L161" s="1768">
        <v>31636.6</v>
      </c>
      <c r="M161" s="1749">
        <v>618377.4</v>
      </c>
      <c r="N161" s="1169">
        <v>15010.6</v>
      </c>
      <c r="O161" s="1277">
        <f t="shared" si="2"/>
        <v>2543764.6</v>
      </c>
      <c r="Q161" s="1329"/>
    </row>
    <row r="162" spans="2:17" ht="13.5" customHeight="1">
      <c r="B162" s="932" t="s">
        <v>335</v>
      </c>
      <c r="C162" s="1169">
        <v>484764.71253505844</v>
      </c>
      <c r="D162" s="1169">
        <v>64826.467882718694</v>
      </c>
      <c r="E162" s="1169">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9">
        <v>19893.137143178672</v>
      </c>
      <c r="O162" s="1277">
        <f t="shared" si="2"/>
        <v>2669440.4095265795</v>
      </c>
      <c r="Q162" s="1329"/>
    </row>
    <row r="163" spans="2:17" ht="13.5" customHeight="1">
      <c r="B163" s="932" t="s">
        <v>336</v>
      </c>
      <c r="C163" s="1277">
        <v>485789.99875141226</v>
      </c>
      <c r="D163" s="1277">
        <v>63948.199061319967</v>
      </c>
      <c r="E163" s="1277">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7">
        <v>22066.041463178673</v>
      </c>
      <c r="O163" s="1277">
        <f t="shared" si="2"/>
        <v>2616948.1537563056</v>
      </c>
      <c r="Q163" s="1329"/>
    </row>
    <row r="164" spans="2:17" ht="13.5" customHeight="1">
      <c r="B164" s="932" t="s">
        <v>337</v>
      </c>
      <c r="C164" s="1277">
        <v>501783.66887267801</v>
      </c>
      <c r="D164" s="1277">
        <v>63555.316259964398</v>
      </c>
      <c r="E164" s="1277">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7">
        <v>24226.372028179801</v>
      </c>
      <c r="O164" s="1277">
        <f t="shared" si="2"/>
        <v>2793674.756141746</v>
      </c>
      <c r="Q164" s="1329"/>
    </row>
    <row r="165" spans="2:17" ht="13.5" customHeight="1">
      <c r="B165" s="932" t="s">
        <v>338</v>
      </c>
      <c r="C165" s="1356">
        <v>475105.70905097795</v>
      </c>
      <c r="D165" s="1356">
        <v>66796.846335130831</v>
      </c>
      <c r="E165" s="1356">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6">
        <v>34163.404307006778</v>
      </c>
      <c r="O165" s="1277">
        <f t="shared" si="2"/>
        <v>2801014.3312609755</v>
      </c>
      <c r="Q165" s="1329"/>
    </row>
    <row r="166" spans="2:17" ht="13.5" customHeight="1">
      <c r="B166" s="932" t="s">
        <v>339</v>
      </c>
      <c r="C166" s="1356">
        <v>463286.3032977996</v>
      </c>
      <c r="D166" s="1356">
        <v>70905.217858786622</v>
      </c>
      <c r="E166" s="1356">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6">
        <v>34402.123689999986</v>
      </c>
      <c r="O166" s="1277">
        <f t="shared" si="2"/>
        <v>2514053.7340914183</v>
      </c>
      <c r="Q166" s="1329"/>
    </row>
    <row r="167" spans="2:17" ht="13.5" customHeight="1">
      <c r="B167" s="932" t="s">
        <v>340</v>
      </c>
      <c r="C167" s="1356">
        <v>470756.06071724871</v>
      </c>
      <c r="D167" s="1356">
        <v>79237.127206635269</v>
      </c>
      <c r="E167" s="1356">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6">
        <v>34402.123689999986</v>
      </c>
      <c r="O167" s="1277">
        <f t="shared" si="2"/>
        <v>2483332.0792379403</v>
      </c>
      <c r="Q167" s="1329"/>
    </row>
    <row r="168" spans="2:17" ht="13.5" customHeight="1">
      <c r="B168" s="932" t="s">
        <v>341</v>
      </c>
      <c r="C168" s="1356">
        <v>451745.25729724864</v>
      </c>
      <c r="D168" s="1356">
        <v>79055.659176635265</v>
      </c>
      <c r="E168" s="1356">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6">
        <v>64407.071799999983</v>
      </c>
      <c r="O168" s="1277">
        <f t="shared" si="2"/>
        <v>2513228.2045279401</v>
      </c>
      <c r="Q168" s="1329"/>
    </row>
    <row r="169" spans="2:17" ht="13.5" customHeight="1">
      <c r="B169" s="932" t="s">
        <v>342</v>
      </c>
      <c r="C169" s="1356">
        <v>453068.260908917</v>
      </c>
      <c r="D169" s="1356">
        <v>74931.801252911202</v>
      </c>
      <c r="E169" s="1356">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6">
        <v>12855.736699999999</v>
      </c>
      <c r="O169" s="1277">
        <f t="shared" si="2"/>
        <v>2537984.321463522</v>
      </c>
      <c r="P169" s="961">
        <f>1000</f>
        <v>1000</v>
      </c>
      <c r="Q169" s="1329"/>
    </row>
    <row r="170" spans="2:17" ht="13.5" customHeight="1">
      <c r="B170" s="932" t="s">
        <v>343</v>
      </c>
      <c r="C170" s="1356">
        <v>444130.81063999998</v>
      </c>
      <c r="D170" s="1356">
        <v>133137.60000000001</v>
      </c>
      <c r="E170" s="1356">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6">
        <v>12265.357769999999</v>
      </c>
      <c r="O170" s="1277">
        <f t="shared" si="2"/>
        <v>2559931.0748199997</v>
      </c>
      <c r="P170" s="961"/>
      <c r="Q170" s="1329"/>
    </row>
    <row r="171" spans="2:17" ht="13.5" customHeight="1">
      <c r="B171" s="932" t="s">
        <v>344</v>
      </c>
      <c r="C171" s="1356">
        <f>492669934.53/(1000)</f>
        <v>492669.93452999997</v>
      </c>
      <c r="D171" s="1356">
        <f>78176715.47/(1000)</f>
        <v>78176.715469999996</v>
      </c>
      <c r="E171" s="1356">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6">
        <f>12254300.01/(1000)</f>
        <v>12254.300009999999</v>
      </c>
      <c r="O171" s="1458">
        <f>SUM(C171:N171)</f>
        <v>2544323.8739999994</v>
      </c>
      <c r="P171" s="961"/>
      <c r="Q171" s="1329"/>
    </row>
    <row r="172" spans="2:17" ht="13.5" customHeight="1">
      <c r="B172" s="1458"/>
      <c r="C172" s="1458"/>
      <c r="D172" s="1458"/>
      <c r="E172" s="1458"/>
      <c r="F172" s="1738"/>
      <c r="G172" s="1758"/>
      <c r="H172" s="1210"/>
      <c r="I172" s="1758"/>
      <c r="J172" s="1758"/>
      <c r="K172" s="1758"/>
      <c r="L172" s="1768"/>
      <c r="M172" s="1749"/>
      <c r="N172" s="1458"/>
      <c r="O172" s="1458"/>
      <c r="P172" s="961"/>
      <c r="Q172" s="1329"/>
    </row>
    <row r="173" spans="2:17" ht="13.5" customHeight="1">
      <c r="B173" s="932">
        <v>2019</v>
      </c>
      <c r="C173" s="1458"/>
      <c r="D173" s="1458"/>
      <c r="E173" s="1458"/>
      <c r="F173" s="1738"/>
      <c r="G173" s="1758"/>
      <c r="H173" s="1210"/>
      <c r="I173" s="1758"/>
      <c r="J173" s="1758"/>
      <c r="K173" s="1758"/>
      <c r="L173" s="1768"/>
      <c r="M173" s="1749"/>
      <c r="N173" s="1458"/>
      <c r="O173" s="1458"/>
      <c r="P173" s="961"/>
      <c r="Q173" s="1329"/>
    </row>
    <row r="174" spans="2:17" ht="13.5" customHeight="1">
      <c r="B174" s="1475" t="s">
        <v>345</v>
      </c>
      <c r="C174" s="1458">
        <v>525176.7124081091</v>
      </c>
      <c r="D174" s="1458">
        <v>80480.870471342059</v>
      </c>
      <c r="E174" s="1458">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8">
        <v>16335.66505000008</v>
      </c>
      <c r="O174" s="1458">
        <f>SUM(C174:N174)</f>
        <v>2612561.3345337054</v>
      </c>
      <c r="P174" s="961"/>
      <c r="Q174" s="1329"/>
    </row>
    <row r="175" spans="2:17" ht="13.5" customHeight="1">
      <c r="B175" s="1475" t="s">
        <v>334</v>
      </c>
      <c r="C175" s="1458">
        <v>521988.101099669</v>
      </c>
      <c r="D175" s="1458">
        <v>79066.701533384796</v>
      </c>
      <c r="E175" s="1458">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8">
        <v>11446.6076763828</v>
      </c>
      <c r="O175" s="1458">
        <f t="shared" ref="O175:O180" si="3">SUM(C175:N175)</f>
        <v>2524093.1450684327</v>
      </c>
      <c r="P175" s="961"/>
      <c r="Q175" s="1329"/>
    </row>
    <row r="176" spans="2:17" ht="13.5" customHeight="1">
      <c r="B176" s="1475" t="s">
        <v>335</v>
      </c>
      <c r="C176" s="1458">
        <v>538072.73901180399</v>
      </c>
      <c r="D176" s="1458">
        <v>87791.293839827995</v>
      </c>
      <c r="E176" s="1458">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8">
        <v>11476.6249513356</v>
      </c>
      <c r="O176" s="1458">
        <f t="shared" si="3"/>
        <v>2841272.8454000624</v>
      </c>
      <c r="P176" s="961"/>
      <c r="Q176" s="1329"/>
    </row>
    <row r="177" spans="2:20" ht="13.5" customHeight="1">
      <c r="B177" s="1475" t="s">
        <v>336</v>
      </c>
      <c r="C177" s="1458">
        <v>584205.28810736351</v>
      </c>
      <c r="D177" s="1458">
        <v>96516.85884999999</v>
      </c>
      <c r="E177" s="1458">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8">
        <v>14486.648578754115</v>
      </c>
      <c r="O177" s="1458">
        <f t="shared" si="3"/>
        <v>3115995.6607560497</v>
      </c>
      <c r="P177" s="961"/>
      <c r="Q177" s="1329"/>
    </row>
    <row r="178" spans="2:20" ht="13.5" customHeight="1">
      <c r="B178" s="1475" t="s">
        <v>337</v>
      </c>
      <c r="C178" s="1458">
        <v>712661.52439905796</v>
      </c>
      <c r="D178" s="1458">
        <v>98826.583708158694</v>
      </c>
      <c r="E178" s="1458">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8">
        <v>14096.642382891199</v>
      </c>
      <c r="O178" s="1458">
        <f t="shared" si="3"/>
        <v>3660649.0124411583</v>
      </c>
      <c r="P178" s="961"/>
      <c r="Q178" s="1329"/>
    </row>
    <row r="179" spans="2:20" ht="13.5" customHeight="1">
      <c r="B179" s="1475" t="s">
        <v>338</v>
      </c>
      <c r="C179" s="1458">
        <v>940505.80835589301</v>
      </c>
      <c r="D179" s="1458">
        <v>82926.784080944402</v>
      </c>
      <c r="E179" s="1458">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8">
        <v>14258.873310286799</v>
      </c>
      <c r="O179" s="1458">
        <f t="shared" si="3"/>
        <v>4719228.8826061664</v>
      </c>
      <c r="P179" s="961"/>
      <c r="Q179" s="1329"/>
    </row>
    <row r="180" spans="2:20" ht="13.5" customHeight="1">
      <c r="B180" s="1475" t="s">
        <v>339</v>
      </c>
      <c r="C180" s="1458">
        <v>1060152.3761237168</v>
      </c>
      <c r="D180" s="1458">
        <v>108889.31752000001</v>
      </c>
      <c r="E180" s="1458">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8">
        <v>7683.1802202867284</v>
      </c>
      <c r="O180" s="1458">
        <f t="shared" si="3"/>
        <v>5031066.5049689617</v>
      </c>
      <c r="P180" s="961"/>
      <c r="Q180" s="1329"/>
    </row>
    <row r="181" spans="2:20" ht="15.75" customHeight="1">
      <c r="B181" s="1475" t="s">
        <v>340</v>
      </c>
      <c r="C181" s="1458">
        <v>1163054.3278900001</v>
      </c>
      <c r="D181" s="1458">
        <v>117882.86313</v>
      </c>
      <c r="E181" s="1458">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8">
        <v>5830.8383200000007</v>
      </c>
      <c r="O181" s="1458">
        <f>SUM(C181:N181)</f>
        <v>5539295.7113447217</v>
      </c>
    </row>
    <row r="182" spans="2:20" ht="15.75" customHeight="1" thickBot="1">
      <c r="B182" s="1475"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8">
        <f>SUM(C182:N182)</f>
        <v>3586421.1531749996</v>
      </c>
    </row>
    <row r="183" spans="2:20" ht="15" customHeight="1" thickTop="1">
      <c r="B183" s="1083"/>
      <c r="C183" s="1083"/>
      <c r="D183" s="1083"/>
      <c r="E183" s="1083"/>
      <c r="F183" s="1083"/>
      <c r="G183" s="1499"/>
      <c r="H183" s="1083"/>
      <c r="I183" s="1499"/>
      <c r="J183" s="1499"/>
      <c r="K183" s="1499"/>
      <c r="L183" s="1499"/>
      <c r="M183" s="1083"/>
      <c r="N183" s="1083"/>
      <c r="O183" s="1083"/>
    </row>
    <row r="184" spans="2:20" ht="18" customHeight="1">
      <c r="B184" s="1430" t="s">
        <v>1777</v>
      </c>
      <c r="C184" s="928"/>
      <c r="D184" s="928"/>
      <c r="E184" s="926"/>
      <c r="F184" s="926"/>
      <c r="G184" s="926"/>
      <c r="H184" s="926"/>
      <c r="I184" s="926"/>
      <c r="J184" s="926"/>
      <c r="K184" s="926"/>
      <c r="L184" s="926"/>
      <c r="M184" s="926"/>
      <c r="N184" s="926"/>
      <c r="O184" s="926"/>
    </row>
    <row r="185" spans="2:20" ht="15.6">
      <c r="B185" s="272" t="s">
        <v>1315</v>
      </c>
      <c r="C185" s="927"/>
      <c r="D185" s="927"/>
      <c r="H185" s="1210"/>
      <c r="I185" s="961"/>
    </row>
    <row r="186" spans="2:20" ht="12">
      <c r="B186" s="871"/>
      <c r="F186" s="961"/>
      <c r="G186" s="961"/>
      <c r="N186" s="961"/>
    </row>
    <row r="187" spans="2:20" ht="10.199999999999999" customHeight="1">
      <c r="B187" s="962"/>
      <c r="C187" s="926"/>
      <c r="D187" s="926"/>
      <c r="E187" s="926"/>
      <c r="F187" s="926"/>
      <c r="G187" s="926"/>
      <c r="H187" s="926"/>
      <c r="I187" s="926"/>
      <c r="J187" s="926"/>
      <c r="K187" s="926"/>
      <c r="L187" s="926"/>
      <c r="M187" s="926"/>
      <c r="N187" s="926"/>
      <c r="O187" s="962"/>
      <c r="P187" s="926"/>
      <c r="Q187" s="926"/>
      <c r="R187" s="926"/>
      <c r="S187" s="926"/>
      <c r="T187" s="926"/>
    </row>
    <row r="188" spans="2:20" ht="7.8">
      <c r="G188" s="963"/>
      <c r="H188" s="963"/>
      <c r="I188" s="963"/>
      <c r="J188" s="963"/>
      <c r="K188" s="963"/>
      <c r="L188" s="963"/>
      <c r="M188" s="963"/>
      <c r="N188" s="963"/>
      <c r="O188" s="963"/>
      <c r="P188" s="963"/>
      <c r="Q188" s="963"/>
      <c r="R188" s="963"/>
      <c r="S188" s="963"/>
      <c r="T188" s="963"/>
    </row>
    <row r="189" spans="2:20" ht="7.8">
      <c r="G189" s="963"/>
      <c r="H189" s="963"/>
      <c r="I189" s="963"/>
      <c r="J189" s="963"/>
      <c r="K189" s="963"/>
      <c r="L189" s="963"/>
      <c r="M189" s="963"/>
      <c r="N189" s="963"/>
      <c r="O189" s="963"/>
      <c r="P189" s="963"/>
      <c r="Q189" s="963"/>
      <c r="R189" s="963"/>
      <c r="S189" s="963"/>
      <c r="T189" s="963"/>
    </row>
    <row r="190" spans="2:20" ht="7.8">
      <c r="F190" s="961"/>
      <c r="G190" s="963"/>
      <c r="H190" s="960"/>
      <c r="I190" s="960"/>
      <c r="J190" s="960"/>
      <c r="K190" s="960"/>
      <c r="L190" s="960"/>
      <c r="M190" s="960"/>
      <c r="N190" s="960"/>
      <c r="O190" s="960"/>
      <c r="P190" s="960"/>
      <c r="Q190" s="960"/>
      <c r="R190" s="960"/>
      <c r="S190" s="960"/>
      <c r="T190" s="960"/>
    </row>
    <row r="191" spans="2:20" ht="7.8">
      <c r="G191" s="960"/>
      <c r="H191" s="960"/>
      <c r="I191" s="963"/>
      <c r="J191" s="963"/>
      <c r="K191" s="960"/>
      <c r="L191" s="960"/>
      <c r="M191" s="960"/>
      <c r="N191" s="960"/>
      <c r="O191" s="960"/>
      <c r="P191" s="960"/>
      <c r="Q191" s="960"/>
      <c r="R191" s="960"/>
      <c r="S191" s="963"/>
      <c r="T191" s="963"/>
    </row>
    <row r="192" spans="2:20" ht="7.8">
      <c r="G192" s="963"/>
      <c r="H192" s="963"/>
      <c r="I192" s="963"/>
      <c r="J192" s="963"/>
      <c r="K192" s="963"/>
      <c r="L192" s="963"/>
      <c r="M192" s="963"/>
      <c r="N192" s="963"/>
      <c r="O192" s="963"/>
      <c r="P192" s="963"/>
      <c r="Q192" s="963"/>
      <c r="R192" s="963"/>
      <c r="S192" s="963"/>
      <c r="T192" s="963"/>
    </row>
    <row r="193" spans="7:20" ht="7.8">
      <c r="G193" s="963"/>
      <c r="H193" s="960"/>
      <c r="I193" s="960"/>
      <c r="J193" s="960"/>
      <c r="K193" s="960"/>
      <c r="L193" s="960"/>
      <c r="M193" s="960"/>
      <c r="N193" s="960"/>
      <c r="O193" s="960"/>
      <c r="P193" s="960"/>
      <c r="Q193" s="960"/>
      <c r="R193" s="960"/>
      <c r="S193" s="960"/>
      <c r="T193" s="960"/>
    </row>
    <row r="194" spans="7:20" ht="7.8">
      <c r="G194" s="963"/>
      <c r="H194" s="960"/>
      <c r="I194" s="960"/>
      <c r="J194" s="960"/>
      <c r="K194" s="960"/>
      <c r="L194" s="960"/>
      <c r="M194" s="960"/>
      <c r="N194" s="960"/>
      <c r="O194" s="960"/>
      <c r="P194" s="960"/>
      <c r="Q194" s="960"/>
      <c r="R194" s="960"/>
      <c r="S194" s="960"/>
      <c r="T194" s="960"/>
    </row>
    <row r="195" spans="7:20" ht="7.8">
      <c r="G195" s="960"/>
      <c r="H195" s="960"/>
      <c r="I195" s="960"/>
      <c r="J195" s="960"/>
      <c r="K195" s="960"/>
      <c r="L195" s="960"/>
      <c r="M195" s="960"/>
      <c r="N195" s="960"/>
      <c r="O195" s="960"/>
      <c r="P195" s="960"/>
      <c r="Q195" s="960"/>
      <c r="R195" s="960"/>
      <c r="S195" s="960"/>
      <c r="T195" s="960"/>
    </row>
    <row r="196" spans="7:20" ht="7.8">
      <c r="G196" s="963"/>
      <c r="H196" s="964"/>
      <c r="I196" s="964"/>
      <c r="J196" s="960"/>
      <c r="K196" s="964"/>
      <c r="L196" s="964"/>
      <c r="M196" s="964"/>
      <c r="N196" s="964"/>
      <c r="O196" s="964"/>
      <c r="P196" s="964"/>
      <c r="Q196" s="964"/>
      <c r="R196" s="964"/>
      <c r="S196" s="964"/>
      <c r="T196" s="964"/>
    </row>
    <row r="197" spans="7:20" ht="7.8">
      <c r="G197" s="963"/>
      <c r="H197" s="964"/>
      <c r="I197" s="964"/>
      <c r="J197" s="960"/>
      <c r="K197" s="964"/>
      <c r="L197" s="964"/>
      <c r="M197" s="964"/>
      <c r="N197" s="964"/>
      <c r="O197" s="964"/>
      <c r="P197" s="964"/>
      <c r="Q197" s="964"/>
      <c r="R197" s="964"/>
      <c r="S197" s="964"/>
      <c r="T197" s="964"/>
    </row>
    <row r="198" spans="7:20" ht="7.8">
      <c r="G198" s="963"/>
      <c r="H198" s="960"/>
      <c r="I198" s="960"/>
      <c r="J198" s="960"/>
      <c r="K198" s="960"/>
      <c r="L198" s="960"/>
      <c r="M198" s="960"/>
      <c r="N198" s="960"/>
      <c r="O198" s="960"/>
      <c r="P198" s="960"/>
      <c r="Q198" s="960"/>
      <c r="R198" s="960"/>
      <c r="S198" s="964"/>
      <c r="T198" s="960"/>
    </row>
    <row r="199" spans="7:20" ht="7.8">
      <c r="G199" s="963"/>
      <c r="H199" s="964"/>
      <c r="I199" s="964"/>
      <c r="J199" s="964"/>
      <c r="K199" s="964"/>
      <c r="L199" s="964"/>
      <c r="M199" s="964"/>
      <c r="N199" s="964"/>
      <c r="O199" s="964"/>
      <c r="P199" s="964"/>
      <c r="Q199" s="964"/>
      <c r="R199" s="964"/>
      <c r="S199" s="964"/>
      <c r="T199" s="964"/>
    </row>
    <row r="200" spans="7:20" ht="7.8">
      <c r="G200" s="963"/>
      <c r="H200" s="964"/>
      <c r="I200" s="964"/>
      <c r="J200" s="964"/>
      <c r="K200" s="964"/>
      <c r="L200" s="964"/>
      <c r="M200" s="964"/>
      <c r="N200" s="964"/>
      <c r="O200" s="964"/>
      <c r="P200" s="964"/>
      <c r="Q200" s="964"/>
      <c r="R200" s="964"/>
      <c r="S200" s="964"/>
      <c r="T200" s="964"/>
    </row>
    <row r="201" spans="7:20" ht="7.8">
      <c r="G201" s="963"/>
      <c r="H201" s="964"/>
      <c r="I201" s="964"/>
      <c r="J201" s="964"/>
      <c r="K201" s="964"/>
      <c r="L201" s="964"/>
      <c r="M201" s="964"/>
      <c r="N201" s="964"/>
      <c r="O201" s="964"/>
      <c r="P201" s="964"/>
      <c r="Q201" s="964"/>
      <c r="R201" s="964"/>
      <c r="S201" s="964"/>
      <c r="T201" s="964"/>
    </row>
    <row r="202" spans="7:20" ht="7.8">
      <c r="G202" s="963"/>
      <c r="H202" s="964"/>
      <c r="I202" s="964"/>
      <c r="J202" s="960"/>
      <c r="K202" s="964"/>
      <c r="L202" s="964"/>
      <c r="M202" s="964"/>
      <c r="N202" s="964"/>
      <c r="O202" s="964"/>
      <c r="P202" s="964"/>
      <c r="Q202" s="964"/>
      <c r="R202" s="964"/>
      <c r="S202" s="964"/>
      <c r="T202" s="964"/>
    </row>
    <row r="203" spans="7:20" ht="7.8">
      <c r="G203" s="963"/>
      <c r="H203" s="964"/>
      <c r="I203" s="964"/>
      <c r="J203" s="960"/>
      <c r="K203" s="964"/>
      <c r="L203" s="964"/>
      <c r="M203" s="964"/>
      <c r="N203" s="964"/>
      <c r="O203" s="964"/>
      <c r="P203" s="964"/>
      <c r="Q203" s="964"/>
      <c r="R203" s="964"/>
      <c r="S203" s="964"/>
      <c r="T203" s="964"/>
    </row>
    <row r="204" spans="7:20" ht="7.8">
      <c r="G204" s="963"/>
      <c r="H204" s="964"/>
      <c r="I204" s="964"/>
      <c r="J204" s="960"/>
      <c r="K204" s="964"/>
      <c r="L204" s="964"/>
      <c r="M204" s="964"/>
      <c r="N204" s="964"/>
      <c r="O204" s="964"/>
      <c r="P204" s="964"/>
      <c r="Q204" s="964"/>
      <c r="R204" s="964"/>
      <c r="S204" s="964"/>
      <c r="T204" s="964"/>
    </row>
    <row r="205" spans="7:20" ht="7.8">
      <c r="G205" s="963"/>
      <c r="H205" s="964"/>
      <c r="I205" s="964"/>
      <c r="J205" s="960"/>
      <c r="K205" s="964"/>
      <c r="L205" s="964"/>
      <c r="M205" s="964"/>
      <c r="N205" s="964"/>
      <c r="O205" s="964"/>
      <c r="P205" s="964"/>
      <c r="Q205" s="964"/>
      <c r="R205" s="964"/>
      <c r="S205" s="964"/>
      <c r="T205" s="964"/>
    </row>
    <row r="206" spans="7:20" ht="7.8">
      <c r="G206" s="963"/>
      <c r="H206" s="964"/>
      <c r="I206" s="964"/>
      <c r="J206" s="964"/>
      <c r="K206" s="964"/>
      <c r="L206" s="964"/>
      <c r="M206" s="964"/>
      <c r="N206" s="964"/>
      <c r="O206" s="964"/>
      <c r="P206" s="964"/>
      <c r="Q206" s="964"/>
      <c r="R206" s="964"/>
      <c r="S206" s="964"/>
      <c r="T206" s="964"/>
    </row>
    <row r="207" spans="7:20" ht="7.8">
      <c r="G207" s="963"/>
      <c r="H207" s="964"/>
      <c r="I207" s="964"/>
      <c r="J207" s="964"/>
      <c r="K207" s="964"/>
      <c r="L207" s="964"/>
      <c r="M207" s="964"/>
      <c r="N207" s="964"/>
      <c r="O207" s="964"/>
      <c r="P207" s="964"/>
      <c r="Q207" s="964"/>
      <c r="R207" s="964"/>
      <c r="S207" s="964"/>
      <c r="T207" s="964"/>
    </row>
    <row r="208" spans="7:20" ht="7.8">
      <c r="G208" s="963"/>
      <c r="H208" s="960"/>
      <c r="I208" s="960"/>
      <c r="J208" s="960"/>
      <c r="K208" s="960"/>
      <c r="L208" s="960"/>
      <c r="M208" s="960"/>
      <c r="N208" s="960"/>
      <c r="O208" s="960"/>
      <c r="P208" s="960"/>
      <c r="Q208" s="960"/>
      <c r="R208" s="960"/>
      <c r="S208" s="960"/>
      <c r="T208" s="960"/>
    </row>
    <row r="209" spans="7:20" ht="7.8">
      <c r="G209" s="960"/>
      <c r="H209" s="960"/>
      <c r="I209" s="960"/>
      <c r="J209" s="960"/>
      <c r="K209" s="960"/>
      <c r="L209" s="960"/>
      <c r="M209" s="960"/>
      <c r="N209" s="960"/>
      <c r="O209" s="960"/>
      <c r="P209" s="960"/>
      <c r="Q209" s="960"/>
      <c r="R209" s="960"/>
      <c r="S209" s="960"/>
      <c r="T209" s="960"/>
    </row>
    <row r="210" spans="7:20" ht="7.8">
      <c r="G210" s="963"/>
      <c r="H210" s="964"/>
      <c r="I210" s="964"/>
      <c r="J210" s="964"/>
      <c r="K210" s="960"/>
      <c r="L210" s="964"/>
      <c r="M210" s="964"/>
      <c r="N210" s="964"/>
      <c r="O210" s="964"/>
      <c r="P210" s="964"/>
      <c r="Q210" s="964"/>
      <c r="R210" s="964"/>
      <c r="S210" s="964"/>
      <c r="T210" s="964"/>
    </row>
    <row r="211" spans="7:20" ht="7.8">
      <c r="G211" s="963"/>
      <c r="H211" s="964"/>
      <c r="I211" s="964"/>
      <c r="J211" s="964"/>
      <c r="K211" s="960"/>
      <c r="L211" s="964"/>
      <c r="M211" s="964"/>
      <c r="N211" s="964"/>
      <c r="O211" s="964"/>
      <c r="P211" s="964"/>
      <c r="Q211" s="964"/>
      <c r="R211" s="964"/>
      <c r="S211" s="964"/>
      <c r="T211" s="964"/>
    </row>
    <row r="212" spans="7:20" ht="7.8">
      <c r="G212" s="963"/>
      <c r="H212" s="960"/>
      <c r="I212" s="960"/>
      <c r="J212" s="960"/>
      <c r="K212" s="960"/>
      <c r="L212" s="960"/>
      <c r="M212" s="960"/>
      <c r="N212" s="960"/>
      <c r="O212" s="960"/>
      <c r="P212" s="960"/>
      <c r="Q212" s="960"/>
      <c r="R212" s="960"/>
      <c r="S212" s="960"/>
      <c r="T212" s="960"/>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7" customWidth="1"/>
    <col min="2" max="2" width="10.08984375" style="158" customWidth="1"/>
    <col min="3" max="3" width="12.54296875" style="594" customWidth="1"/>
    <col min="4" max="4" width="13.36328125" style="594" customWidth="1"/>
    <col min="5" max="5" width="16.54296875" style="594" customWidth="1"/>
    <col min="6" max="6" width="13.54296875" style="594" bestFit="1" customWidth="1"/>
    <col min="7" max="7" width="11.6328125" style="594" customWidth="1"/>
    <col min="8" max="8" width="13.90625" style="594" customWidth="1"/>
    <col min="9" max="9" width="14.1796875" style="594" customWidth="1"/>
    <col min="10" max="10" width="12.1796875" style="594" customWidth="1"/>
    <col min="11" max="11" width="11.54296875" style="594" customWidth="1"/>
    <col min="12" max="12" width="12.36328125" style="594" customWidth="1"/>
    <col min="13" max="13" width="12.453125" style="594" customWidth="1"/>
    <col min="14" max="14" width="16" style="594" customWidth="1"/>
    <col min="15" max="15" width="12" style="594" customWidth="1"/>
    <col min="16" max="16" width="14.81640625" style="165" customWidth="1"/>
    <col min="17" max="17" width="14.08984375" style="165" bestFit="1" customWidth="1"/>
    <col min="18" max="18" width="10.6328125" style="165" bestFit="1" customWidth="1"/>
    <col min="19" max="19" width="9.81640625" style="165"/>
    <col min="20" max="20" width="11.54296875" style="165" bestFit="1" customWidth="1"/>
    <col min="21" max="21" width="9.81640625" style="165"/>
    <col min="22" max="22" width="16.1796875" style="165" bestFit="1" customWidth="1"/>
    <col min="23" max="23" width="10.6328125" style="165" bestFit="1" customWidth="1"/>
    <col min="24" max="24" width="9.81640625" style="165"/>
    <col min="25" max="25" width="9.90625" style="165" bestFit="1" customWidth="1"/>
    <col min="26" max="26" width="10.6328125" style="165" bestFit="1" customWidth="1"/>
    <col min="27" max="27" width="9.81640625" style="165"/>
    <col min="28" max="28" width="9.90625" style="165" bestFit="1" customWidth="1"/>
    <col min="29" max="29" width="9.81640625" style="165"/>
    <col min="30" max="30" width="12.453125" style="165" bestFit="1" customWidth="1"/>
    <col min="31" max="16384" width="9.81640625" style="157"/>
  </cols>
  <sheetData>
    <row r="2" spans="2:18">
      <c r="B2" s="1846" t="s">
        <v>1734</v>
      </c>
      <c r="C2" s="1846"/>
      <c r="D2" s="1846"/>
      <c r="E2" s="1846"/>
      <c r="F2" s="1846"/>
      <c r="G2" s="1846"/>
      <c r="H2" s="1846"/>
      <c r="I2" s="1846"/>
      <c r="J2" s="1846"/>
      <c r="K2" s="1846"/>
      <c r="L2" s="1846"/>
      <c r="M2" s="1846"/>
      <c r="N2" s="1846"/>
      <c r="O2" s="1846"/>
    </row>
    <row r="3" spans="2:18">
      <c r="B3" s="872"/>
      <c r="C3" s="872"/>
      <c r="D3" s="872"/>
      <c r="E3" s="872"/>
      <c r="F3" s="872"/>
      <c r="G3" s="872"/>
      <c r="H3" s="872"/>
      <c r="I3" s="872"/>
      <c r="J3" s="872"/>
      <c r="K3" s="872"/>
      <c r="L3" s="872"/>
      <c r="M3" s="872"/>
      <c r="N3" s="872"/>
      <c r="O3" s="872"/>
    </row>
    <row r="4" spans="2:18" ht="15" customHeight="1">
      <c r="B4" s="1845" t="s">
        <v>1784</v>
      </c>
      <c r="C4" s="1845"/>
      <c r="D4" s="1845"/>
      <c r="E4" s="1845"/>
      <c r="F4" s="1845"/>
      <c r="G4" s="1845"/>
      <c r="H4" s="1845"/>
      <c r="I4" s="1845"/>
      <c r="J4" s="1845"/>
      <c r="K4" s="1845"/>
      <c r="L4" s="1845"/>
      <c r="M4" s="1845"/>
      <c r="N4" s="1845"/>
      <c r="O4" s="1845"/>
    </row>
    <row r="5" spans="2:18" ht="15" customHeight="1" thickBot="1">
      <c r="B5" s="733"/>
      <c r="C5" s="733"/>
      <c r="D5" s="733"/>
      <c r="E5" s="733"/>
      <c r="F5" s="733"/>
      <c r="G5" s="733"/>
      <c r="H5" s="733"/>
      <c r="I5" s="733"/>
      <c r="J5" s="733"/>
      <c r="K5" s="733"/>
      <c r="L5" s="733"/>
      <c r="M5" s="733"/>
      <c r="N5" s="733"/>
      <c r="O5" s="733"/>
    </row>
    <row r="6" spans="2:18" ht="15" customHeight="1" thickTop="1">
      <c r="B6" s="929"/>
      <c r="C6" s="929"/>
      <c r="D6" s="929"/>
      <c r="E6" s="929"/>
      <c r="F6" s="929"/>
      <c r="G6" s="929"/>
      <c r="H6" s="929"/>
      <c r="I6" s="929"/>
      <c r="J6" s="929"/>
      <c r="K6" s="929"/>
      <c r="L6" s="929"/>
      <c r="M6" s="929"/>
      <c r="N6" s="929"/>
      <c r="O6" s="929"/>
    </row>
    <row r="7" spans="2:18" ht="15" customHeight="1">
      <c r="B7" s="757" t="s">
        <v>263</v>
      </c>
      <c r="C7" s="757" t="s">
        <v>392</v>
      </c>
      <c r="D7" s="757" t="s">
        <v>393</v>
      </c>
      <c r="E7" s="757" t="s">
        <v>772</v>
      </c>
      <c r="F7" s="757" t="s">
        <v>396</v>
      </c>
      <c r="G7" s="757" t="s">
        <v>401</v>
      </c>
      <c r="H7" s="757" t="s">
        <v>402</v>
      </c>
      <c r="I7" s="757" t="s">
        <v>403</v>
      </c>
      <c r="J7" s="757" t="s">
        <v>404</v>
      </c>
      <c r="K7" s="757" t="s">
        <v>405</v>
      </c>
      <c r="L7" s="757" t="s">
        <v>406</v>
      </c>
      <c r="M7" s="757" t="s">
        <v>407</v>
      </c>
      <c r="N7" s="757" t="s">
        <v>1313</v>
      </c>
      <c r="O7" s="757" t="s">
        <v>287</v>
      </c>
    </row>
    <row r="8" spans="2:18" ht="15" customHeight="1">
      <c r="B8" s="930"/>
      <c r="C8" s="930"/>
      <c r="E8" s="930"/>
      <c r="F8" s="930"/>
      <c r="G8" s="757" t="s">
        <v>408</v>
      </c>
      <c r="H8" s="757" t="s">
        <v>409</v>
      </c>
      <c r="I8" s="930"/>
      <c r="J8" s="930"/>
      <c r="K8" s="930"/>
      <c r="L8" s="930"/>
      <c r="M8" s="930"/>
      <c r="N8" s="930"/>
      <c r="O8" s="930"/>
      <c r="R8" s="594"/>
    </row>
    <row r="9" spans="2:18" ht="15" customHeight="1" thickBot="1">
      <c r="B9" s="931"/>
      <c r="C9" s="931"/>
      <c r="D9" s="931"/>
      <c r="E9" s="931"/>
      <c r="F9" s="931"/>
      <c r="G9" s="931"/>
      <c r="H9" s="931"/>
      <c r="I9" s="931"/>
      <c r="J9" s="931"/>
      <c r="K9" s="931"/>
      <c r="L9" s="931"/>
      <c r="M9" s="931"/>
      <c r="N9" s="931"/>
      <c r="O9" s="931"/>
    </row>
    <row r="10" spans="2:18" ht="15" customHeight="1" thickTop="1">
      <c r="B10" s="930"/>
      <c r="C10" s="930"/>
      <c r="D10" s="930"/>
      <c r="E10" s="930"/>
      <c r="F10" s="930"/>
      <c r="G10" s="930"/>
      <c r="H10" s="930"/>
      <c r="I10" s="930"/>
      <c r="J10" s="930"/>
      <c r="K10" s="930"/>
      <c r="L10" s="930"/>
      <c r="M10" s="930"/>
      <c r="N10" s="930"/>
      <c r="O10" s="930"/>
    </row>
    <row r="11" spans="2:18" ht="15" hidden="1" customHeight="1">
      <c r="B11" s="952">
        <v>2009</v>
      </c>
      <c r="C11" s="930"/>
      <c r="D11" s="930"/>
      <c r="E11" s="930"/>
      <c r="F11" s="930"/>
      <c r="G11" s="930"/>
      <c r="H11" s="930"/>
      <c r="I11" s="930"/>
      <c r="J11" s="930"/>
      <c r="K11" s="930"/>
      <c r="L11" s="930"/>
      <c r="M11" s="930"/>
      <c r="N11" s="930"/>
      <c r="O11" s="930"/>
    </row>
    <row r="12" spans="2:18" ht="15" hidden="1" customHeight="1">
      <c r="B12" s="950" t="s">
        <v>345</v>
      </c>
      <c r="C12" s="951">
        <v>2518.0518480000001</v>
      </c>
      <c r="D12" s="951">
        <v>1070.447678</v>
      </c>
      <c r="E12" s="951">
        <v>686.65448800000001</v>
      </c>
      <c r="F12" s="951">
        <v>6623.5338519999996</v>
      </c>
      <c r="G12" s="951">
        <v>1792.2836239999999</v>
      </c>
      <c r="H12" s="951">
        <v>6125.2962150000003</v>
      </c>
      <c r="I12" s="951">
        <v>4852.6006420000003</v>
      </c>
      <c r="J12" s="951">
        <v>1062.4414039999999</v>
      </c>
      <c r="K12" s="951">
        <v>14192.634575</v>
      </c>
      <c r="L12" s="951">
        <v>1273.3944080000001</v>
      </c>
      <c r="M12" s="951">
        <v>8875.9697639999995</v>
      </c>
      <c r="N12" s="951">
        <v>100.676946</v>
      </c>
      <c r="O12" s="951">
        <v>49173.985443999998</v>
      </c>
    </row>
    <row r="13" spans="2:18" ht="15" hidden="1" customHeight="1">
      <c r="B13" s="950" t="s">
        <v>334</v>
      </c>
      <c r="C13" s="951">
        <v>4759841</v>
      </c>
      <c r="D13" s="951">
        <v>2985910</v>
      </c>
      <c r="E13" s="951">
        <v>7806849</v>
      </c>
      <c r="F13" s="951">
        <v>27751104</v>
      </c>
      <c r="G13" s="951">
        <v>21157828</v>
      </c>
      <c r="H13" s="951">
        <v>10647265</v>
      </c>
      <c r="I13" s="951">
        <v>33681185</v>
      </c>
      <c r="J13" s="951">
        <v>10152437</v>
      </c>
      <c r="K13" s="951">
        <v>116088574</v>
      </c>
      <c r="L13" s="951">
        <v>18885697</v>
      </c>
      <c r="M13" s="951">
        <v>174276176</v>
      </c>
      <c r="N13" s="951">
        <v>1888</v>
      </c>
      <c r="O13" s="951">
        <f t="shared" ref="O13:O23" si="0">SUM(C13:N13)</f>
        <v>428194754</v>
      </c>
    </row>
    <row r="14" spans="2:18" ht="15" hidden="1" customHeight="1">
      <c r="B14" s="950" t="s">
        <v>335</v>
      </c>
      <c r="C14" s="951">
        <v>11499459</v>
      </c>
      <c r="D14" s="951">
        <v>5324203</v>
      </c>
      <c r="E14" s="951">
        <v>7382936</v>
      </c>
      <c r="F14" s="951">
        <v>33303160</v>
      </c>
      <c r="G14" s="951">
        <v>9533999</v>
      </c>
      <c r="H14" s="951">
        <v>15086501</v>
      </c>
      <c r="I14" s="951">
        <v>32203522</v>
      </c>
      <c r="J14" s="951">
        <v>12925508</v>
      </c>
      <c r="K14" s="951">
        <v>118989643</v>
      </c>
      <c r="L14" s="951">
        <v>21908747</v>
      </c>
      <c r="M14" s="951">
        <v>47098362</v>
      </c>
      <c r="N14" s="951">
        <v>4370</v>
      </c>
      <c r="O14" s="951">
        <f t="shared" si="0"/>
        <v>315260410</v>
      </c>
    </row>
    <row r="15" spans="2:18" ht="15" hidden="1" customHeight="1">
      <c r="B15" s="950" t="s">
        <v>336</v>
      </c>
      <c r="C15" s="951">
        <v>12854030</v>
      </c>
      <c r="D15" s="951">
        <v>5787465</v>
      </c>
      <c r="E15" s="951">
        <v>11579173</v>
      </c>
      <c r="F15" s="951">
        <v>47022191</v>
      </c>
      <c r="G15" s="951">
        <v>9926801</v>
      </c>
      <c r="H15" s="951">
        <v>19358374</v>
      </c>
      <c r="I15" s="951">
        <v>36253825</v>
      </c>
      <c r="J15" s="951">
        <v>12829936</v>
      </c>
      <c r="K15" s="951">
        <v>171211340</v>
      </c>
      <c r="L15" s="951">
        <v>16479605</v>
      </c>
      <c r="M15" s="951">
        <v>50151323</v>
      </c>
      <c r="N15" s="951">
        <v>1471231</v>
      </c>
      <c r="O15" s="951">
        <f t="shared" si="0"/>
        <v>394925294</v>
      </c>
    </row>
    <row r="16" spans="2:18" ht="15" hidden="1" customHeight="1">
      <c r="B16" s="950" t="s">
        <v>337</v>
      </c>
      <c r="C16" s="951">
        <v>18771875</v>
      </c>
      <c r="D16" s="951">
        <v>8487119</v>
      </c>
      <c r="E16" s="951">
        <v>16330826</v>
      </c>
      <c r="F16" s="951">
        <v>40792442</v>
      </c>
      <c r="G16" s="951">
        <v>20654900</v>
      </c>
      <c r="H16" s="951">
        <v>20510692</v>
      </c>
      <c r="I16" s="951">
        <v>40219671</v>
      </c>
      <c r="J16" s="951">
        <v>14666473</v>
      </c>
      <c r="K16" s="951">
        <v>238556121</v>
      </c>
      <c r="L16" s="951">
        <v>14046194</v>
      </c>
      <c r="M16" s="951">
        <v>54419467</v>
      </c>
      <c r="N16" s="951">
        <v>1088468</v>
      </c>
      <c r="O16" s="951">
        <f t="shared" si="0"/>
        <v>488544248</v>
      </c>
    </row>
    <row r="17" spans="2:15" ht="15" hidden="1" customHeight="1">
      <c r="B17" s="950" t="s">
        <v>338</v>
      </c>
      <c r="C17" s="951">
        <v>32983464</v>
      </c>
      <c r="D17" s="951">
        <v>5059256</v>
      </c>
      <c r="E17" s="951">
        <v>9706358</v>
      </c>
      <c r="F17" s="951">
        <v>30946801</v>
      </c>
      <c r="G17" s="951">
        <v>59804106</v>
      </c>
      <c r="H17" s="951">
        <v>56197694</v>
      </c>
      <c r="I17" s="951">
        <v>35169208</v>
      </c>
      <c r="J17" s="951">
        <v>17126146</v>
      </c>
      <c r="K17" s="951">
        <v>253785766</v>
      </c>
      <c r="L17" s="951">
        <v>13254615</v>
      </c>
      <c r="M17" s="951">
        <v>62507686</v>
      </c>
      <c r="N17" s="951">
        <v>1830356</v>
      </c>
      <c r="O17" s="951">
        <f t="shared" si="0"/>
        <v>578371456</v>
      </c>
    </row>
    <row r="18" spans="2:15" ht="15" hidden="1" customHeight="1">
      <c r="B18" s="950" t="s">
        <v>339</v>
      </c>
      <c r="C18" s="951">
        <v>68550531</v>
      </c>
      <c r="D18" s="951">
        <v>2078765</v>
      </c>
      <c r="E18" s="951">
        <v>22835355</v>
      </c>
      <c r="F18" s="951">
        <v>41452416</v>
      </c>
      <c r="G18" s="951">
        <v>47158323</v>
      </c>
      <c r="H18" s="951">
        <v>61284262</v>
      </c>
      <c r="I18" s="951">
        <v>35061639</v>
      </c>
      <c r="J18" s="951">
        <v>19262315</v>
      </c>
      <c r="K18" s="951">
        <v>233687753</v>
      </c>
      <c r="L18" s="951">
        <v>12377493</v>
      </c>
      <c r="M18" s="951">
        <v>87138389</v>
      </c>
      <c r="N18" s="951">
        <v>2333197</v>
      </c>
      <c r="O18" s="951">
        <f t="shared" si="0"/>
        <v>633220438</v>
      </c>
    </row>
    <row r="19" spans="2:15" ht="15" hidden="1" customHeight="1">
      <c r="B19" s="950" t="s">
        <v>340</v>
      </c>
      <c r="C19" s="951">
        <v>43051449.399999999</v>
      </c>
      <c r="D19" s="951">
        <v>1921019.8</v>
      </c>
      <c r="E19" s="951">
        <v>21690678.100000001</v>
      </c>
      <c r="F19" s="951">
        <v>69595988.799999997</v>
      </c>
      <c r="G19" s="951">
        <v>46626278.200000003</v>
      </c>
      <c r="H19" s="951">
        <v>59062373.700000003</v>
      </c>
      <c r="I19" s="951">
        <v>37961289.200000003</v>
      </c>
      <c r="J19" s="951">
        <v>21738851.600000001</v>
      </c>
      <c r="K19" s="951">
        <v>277626205.80000001</v>
      </c>
      <c r="L19" s="951">
        <v>9628104.6999999993</v>
      </c>
      <c r="M19" s="951">
        <v>103850203.7</v>
      </c>
      <c r="N19" s="951">
        <v>1725844.5</v>
      </c>
      <c r="O19" s="951">
        <f t="shared" si="0"/>
        <v>694478287.50000012</v>
      </c>
    </row>
    <row r="20" spans="2:15" ht="15" hidden="1" customHeight="1">
      <c r="B20" s="950" t="s">
        <v>348</v>
      </c>
      <c r="C20" s="951">
        <v>50169629</v>
      </c>
      <c r="D20" s="951">
        <v>2897866</v>
      </c>
      <c r="E20" s="951">
        <v>25935263</v>
      </c>
      <c r="F20" s="951">
        <v>74566403</v>
      </c>
      <c r="G20" s="951">
        <v>38003053</v>
      </c>
      <c r="H20" s="951">
        <v>69346883</v>
      </c>
      <c r="I20" s="951">
        <v>61884938</v>
      </c>
      <c r="J20" s="951">
        <v>26521980</v>
      </c>
      <c r="K20" s="951">
        <v>280574722</v>
      </c>
      <c r="L20" s="951">
        <v>13466199</v>
      </c>
      <c r="M20" s="951">
        <v>117598801</v>
      </c>
      <c r="N20" s="951">
        <v>3258187</v>
      </c>
      <c r="O20" s="951">
        <f t="shared" si="0"/>
        <v>764223924</v>
      </c>
    </row>
    <row r="21" spans="2:15" ht="15" hidden="1" customHeight="1">
      <c r="B21" s="950" t="s">
        <v>342</v>
      </c>
      <c r="C21" s="951">
        <v>55618152</v>
      </c>
      <c r="D21" s="951">
        <v>2423973</v>
      </c>
      <c r="E21" s="951">
        <v>22148142</v>
      </c>
      <c r="F21" s="951">
        <v>84659482</v>
      </c>
      <c r="G21" s="951">
        <v>32413784</v>
      </c>
      <c r="H21" s="951">
        <v>67330309</v>
      </c>
      <c r="I21" s="951">
        <v>71392906</v>
      </c>
      <c r="J21" s="951">
        <v>23246168</v>
      </c>
      <c r="K21" s="951">
        <v>270980091</v>
      </c>
      <c r="L21" s="951">
        <v>9568634</v>
      </c>
      <c r="M21" s="951">
        <v>109889487</v>
      </c>
      <c r="N21" s="951">
        <v>3844791</v>
      </c>
      <c r="O21" s="951">
        <f t="shared" si="0"/>
        <v>753515919</v>
      </c>
    </row>
    <row r="22" spans="2:15" ht="15" hidden="1" customHeight="1">
      <c r="B22" s="950" t="s">
        <v>343</v>
      </c>
      <c r="C22" s="951">
        <v>55654297</v>
      </c>
      <c r="D22" s="951">
        <v>2431735</v>
      </c>
      <c r="E22" s="951">
        <v>22132513</v>
      </c>
      <c r="F22" s="951">
        <v>83019884</v>
      </c>
      <c r="G22" s="951">
        <v>32441187</v>
      </c>
      <c r="H22" s="951">
        <v>68033282</v>
      </c>
      <c r="I22" s="951">
        <v>71269166</v>
      </c>
      <c r="J22" s="951">
        <v>23157961</v>
      </c>
      <c r="K22" s="951">
        <v>270173059</v>
      </c>
      <c r="L22" s="951">
        <v>9622828</v>
      </c>
      <c r="M22" s="951">
        <v>110478966</v>
      </c>
      <c r="N22" s="951">
        <v>5615695</v>
      </c>
      <c r="O22" s="951">
        <f t="shared" si="0"/>
        <v>754030573</v>
      </c>
    </row>
    <row r="23" spans="2:15" ht="15" hidden="1" customHeight="1">
      <c r="B23" s="950" t="s">
        <v>344</v>
      </c>
      <c r="C23" s="951">
        <v>61792717</v>
      </c>
      <c r="D23" s="951">
        <v>6467231</v>
      </c>
      <c r="E23" s="951">
        <v>35365843</v>
      </c>
      <c r="F23" s="951">
        <v>81470729</v>
      </c>
      <c r="G23" s="951">
        <v>45127545</v>
      </c>
      <c r="H23" s="951">
        <v>68001800</v>
      </c>
      <c r="I23" s="951">
        <v>111397926</v>
      </c>
      <c r="J23" s="951">
        <v>30218267</v>
      </c>
      <c r="K23" s="951">
        <v>480954648</v>
      </c>
      <c r="L23" s="951">
        <v>14728806</v>
      </c>
      <c r="M23" s="951">
        <v>180117529</v>
      </c>
      <c r="N23" s="951">
        <v>3415491</v>
      </c>
      <c r="O23" s="951">
        <f t="shared" si="0"/>
        <v>1119058532</v>
      </c>
    </row>
    <row r="24" spans="2:15" ht="15" hidden="1" customHeight="1">
      <c r="B24" s="930"/>
      <c r="C24" s="930"/>
      <c r="D24" s="930"/>
      <c r="E24" s="930"/>
      <c r="F24" s="930"/>
      <c r="G24" s="930"/>
      <c r="H24" s="930"/>
      <c r="I24" s="930"/>
      <c r="J24" s="930"/>
      <c r="K24" s="930"/>
      <c r="L24" s="930"/>
      <c r="M24" s="930"/>
      <c r="N24" s="930"/>
      <c r="O24" s="930"/>
    </row>
    <row r="25" spans="2:15" ht="15" hidden="1" customHeight="1">
      <c r="B25" s="952">
        <v>2010</v>
      </c>
      <c r="C25" s="930"/>
      <c r="D25" s="930"/>
      <c r="E25" s="930"/>
      <c r="F25" s="930"/>
      <c r="G25" s="930"/>
      <c r="H25" s="930"/>
      <c r="I25" s="930"/>
      <c r="J25" s="930"/>
      <c r="K25" s="930"/>
      <c r="L25" s="930"/>
      <c r="M25" s="930"/>
      <c r="N25" s="930"/>
      <c r="O25" s="930"/>
    </row>
    <row r="26" spans="2:15" ht="15" hidden="1" customHeight="1">
      <c r="B26" s="950" t="s">
        <v>345</v>
      </c>
      <c r="C26" s="951">
        <v>52746055</v>
      </c>
      <c r="D26" s="951">
        <v>6898103</v>
      </c>
      <c r="E26" s="951">
        <v>37133870</v>
      </c>
      <c r="F26" s="951">
        <v>128348699</v>
      </c>
      <c r="G26" s="951">
        <v>41987904</v>
      </c>
      <c r="H26" s="951">
        <v>66416027</v>
      </c>
      <c r="I26" s="951">
        <v>112703090</v>
      </c>
      <c r="J26" s="951">
        <v>30726065</v>
      </c>
      <c r="K26" s="951">
        <v>437760534</v>
      </c>
      <c r="L26" s="951">
        <v>15811700</v>
      </c>
      <c r="M26" s="951">
        <v>199828026</v>
      </c>
      <c r="N26" s="951">
        <v>2852870</v>
      </c>
      <c r="O26" s="951">
        <f t="shared" ref="O26:O37" si="1">SUM(C26:N26)</f>
        <v>1133212943</v>
      </c>
    </row>
    <row r="27" spans="2:15" ht="15" hidden="1" customHeight="1">
      <c r="B27" s="950" t="s">
        <v>334</v>
      </c>
      <c r="C27" s="951">
        <v>49366341</v>
      </c>
      <c r="D27" s="951">
        <v>7072013</v>
      </c>
      <c r="E27" s="951">
        <v>32626468</v>
      </c>
      <c r="F27" s="951">
        <v>163425492</v>
      </c>
      <c r="G27" s="951">
        <v>42355670</v>
      </c>
      <c r="H27" s="951">
        <v>77153155</v>
      </c>
      <c r="I27" s="951">
        <v>118987642</v>
      </c>
      <c r="J27" s="951">
        <v>31397966</v>
      </c>
      <c r="K27" s="951">
        <v>470582117</v>
      </c>
      <c r="L27" s="951">
        <v>16074306</v>
      </c>
      <c r="M27" s="951">
        <v>226141076</v>
      </c>
      <c r="N27" s="951">
        <v>3286705</v>
      </c>
      <c r="O27" s="951">
        <f t="shared" si="1"/>
        <v>1238468951</v>
      </c>
    </row>
    <row r="28" spans="2:15" ht="15" hidden="1" customHeight="1">
      <c r="B28" s="950" t="s">
        <v>335</v>
      </c>
      <c r="C28" s="951">
        <v>53286966</v>
      </c>
      <c r="D28" s="951">
        <v>6934758</v>
      </c>
      <c r="E28" s="951">
        <v>39298087</v>
      </c>
      <c r="F28" s="951">
        <v>170832349</v>
      </c>
      <c r="G28" s="951">
        <v>50862305</v>
      </c>
      <c r="H28" s="951">
        <v>85479552</v>
      </c>
      <c r="I28" s="951">
        <v>134415419</v>
      </c>
      <c r="J28" s="951">
        <v>32604941</v>
      </c>
      <c r="K28" s="951">
        <v>486576788</v>
      </c>
      <c r="L28" s="951">
        <v>28015066</v>
      </c>
      <c r="M28" s="951">
        <v>239881899</v>
      </c>
      <c r="N28" s="951">
        <v>2959852</v>
      </c>
      <c r="O28" s="951">
        <f t="shared" si="1"/>
        <v>1331147982</v>
      </c>
    </row>
    <row r="29" spans="2:15" ht="15" hidden="1" customHeight="1">
      <c r="B29" s="950" t="s">
        <v>336</v>
      </c>
      <c r="C29" s="951">
        <v>54643830</v>
      </c>
      <c r="D29" s="951">
        <v>8141874</v>
      </c>
      <c r="E29" s="951">
        <v>45988401</v>
      </c>
      <c r="F29" s="951">
        <v>156411221</v>
      </c>
      <c r="G29" s="951">
        <v>77252920</v>
      </c>
      <c r="H29" s="951">
        <v>93994397</v>
      </c>
      <c r="I29" s="951">
        <v>137844861</v>
      </c>
      <c r="J29" s="951">
        <v>35557479</v>
      </c>
      <c r="K29" s="951">
        <v>474141191</v>
      </c>
      <c r="L29" s="951">
        <v>17876327</v>
      </c>
      <c r="M29" s="951">
        <v>231378777</v>
      </c>
      <c r="N29" s="951">
        <v>3035014</v>
      </c>
      <c r="O29" s="951">
        <f t="shared" si="1"/>
        <v>1336266292</v>
      </c>
    </row>
    <row r="30" spans="2:15" ht="15" hidden="1" customHeight="1">
      <c r="B30" s="950" t="s">
        <v>337</v>
      </c>
      <c r="C30" s="951">
        <v>51843636</v>
      </c>
      <c r="D30" s="951">
        <v>23925073</v>
      </c>
      <c r="E30" s="951">
        <v>51521671</v>
      </c>
      <c r="F30" s="951">
        <v>150250877</v>
      </c>
      <c r="G30" s="951">
        <v>58005320</v>
      </c>
      <c r="H30" s="951">
        <v>147062794</v>
      </c>
      <c r="I30" s="951">
        <v>97643142</v>
      </c>
      <c r="J30" s="951">
        <v>47341724</v>
      </c>
      <c r="K30" s="951">
        <v>497755511</v>
      </c>
      <c r="L30" s="951">
        <v>17685012</v>
      </c>
      <c r="M30" s="951">
        <v>240809995</v>
      </c>
      <c r="N30" s="951">
        <v>4517580</v>
      </c>
      <c r="O30" s="951">
        <f t="shared" si="1"/>
        <v>1388362335</v>
      </c>
    </row>
    <row r="31" spans="2:15" ht="15" hidden="1" customHeight="1">
      <c r="B31" s="950" t="s">
        <v>338</v>
      </c>
      <c r="C31" s="951">
        <v>52974871</v>
      </c>
      <c r="D31" s="951">
        <v>8653343</v>
      </c>
      <c r="E31" s="951">
        <v>45943238</v>
      </c>
      <c r="F31" s="951">
        <v>175974695</v>
      </c>
      <c r="G31" s="951">
        <v>98823367</v>
      </c>
      <c r="H31" s="951">
        <v>139559016</v>
      </c>
      <c r="I31" s="951">
        <v>95727465</v>
      </c>
      <c r="J31" s="951">
        <v>46389830</v>
      </c>
      <c r="K31" s="951">
        <v>498416248</v>
      </c>
      <c r="L31" s="951">
        <v>16385597</v>
      </c>
      <c r="M31" s="951">
        <v>216230397</v>
      </c>
      <c r="N31" s="951">
        <v>5720126</v>
      </c>
      <c r="O31" s="951">
        <f t="shared" si="1"/>
        <v>1400798193</v>
      </c>
    </row>
    <row r="32" spans="2:15" ht="15" hidden="1" customHeight="1">
      <c r="B32" s="950" t="s">
        <v>339</v>
      </c>
      <c r="C32" s="951">
        <v>68526601</v>
      </c>
      <c r="D32" s="951">
        <v>16038855</v>
      </c>
      <c r="E32" s="951">
        <v>51261373</v>
      </c>
      <c r="F32" s="951">
        <v>147912258</v>
      </c>
      <c r="G32" s="951">
        <v>82745726</v>
      </c>
      <c r="H32" s="951">
        <v>123693078</v>
      </c>
      <c r="I32" s="951">
        <v>87915247</v>
      </c>
      <c r="J32" s="951">
        <v>49761264</v>
      </c>
      <c r="K32" s="951">
        <v>512154974</v>
      </c>
      <c r="L32" s="951">
        <v>26288109</v>
      </c>
      <c r="M32" s="951">
        <v>245449897</v>
      </c>
      <c r="N32" s="951">
        <v>5539375</v>
      </c>
      <c r="O32" s="951">
        <f t="shared" si="1"/>
        <v>1417286757</v>
      </c>
    </row>
    <row r="33" spans="2:15" ht="15" hidden="1" customHeight="1">
      <c r="B33" s="950" t="s">
        <v>340</v>
      </c>
      <c r="C33" s="951">
        <v>58993128</v>
      </c>
      <c r="D33" s="951">
        <v>24267089</v>
      </c>
      <c r="E33" s="951">
        <v>74570769</v>
      </c>
      <c r="F33" s="951">
        <v>154173538</v>
      </c>
      <c r="G33" s="951">
        <v>113656901</v>
      </c>
      <c r="H33" s="951">
        <v>104524746</v>
      </c>
      <c r="I33" s="951">
        <v>81972282</v>
      </c>
      <c r="J33" s="951">
        <v>46456514</v>
      </c>
      <c r="K33" s="951">
        <v>546072133</v>
      </c>
      <c r="L33" s="951">
        <v>16054562</v>
      </c>
      <c r="M33" s="951">
        <v>254180316</v>
      </c>
      <c r="N33" s="951">
        <v>4994419</v>
      </c>
      <c r="O33" s="951">
        <f t="shared" si="1"/>
        <v>1479916397</v>
      </c>
    </row>
    <row r="34" spans="2:15" ht="15" hidden="1" customHeight="1">
      <c r="B34" s="950" t="s">
        <v>348</v>
      </c>
      <c r="C34" s="951">
        <v>121751301</v>
      </c>
      <c r="D34" s="951">
        <v>15759635</v>
      </c>
      <c r="E34" s="951">
        <v>61928831</v>
      </c>
      <c r="F34" s="951">
        <v>161856598</v>
      </c>
      <c r="G34" s="951">
        <v>90518259</v>
      </c>
      <c r="H34" s="951">
        <v>129713218</v>
      </c>
      <c r="I34" s="951">
        <v>115455695</v>
      </c>
      <c r="J34" s="951">
        <v>44185892</v>
      </c>
      <c r="K34" s="951">
        <v>569254456</v>
      </c>
      <c r="L34" s="951">
        <v>33596534</v>
      </c>
      <c r="M34" s="951">
        <v>255518995</v>
      </c>
      <c r="N34" s="951">
        <v>6803883</v>
      </c>
      <c r="O34" s="951">
        <f t="shared" si="1"/>
        <v>1606343297</v>
      </c>
    </row>
    <row r="35" spans="2:15" ht="15" hidden="1" customHeight="1">
      <c r="B35" s="950" t="s">
        <v>342</v>
      </c>
      <c r="C35" s="951">
        <v>115474967</v>
      </c>
      <c r="D35" s="951">
        <v>16591704</v>
      </c>
      <c r="E35" s="951">
        <v>61511257</v>
      </c>
      <c r="F35" s="951">
        <v>176540887</v>
      </c>
      <c r="G35" s="951">
        <v>110321918</v>
      </c>
      <c r="H35" s="951">
        <v>127747608</v>
      </c>
      <c r="I35" s="951">
        <v>184475305</v>
      </c>
      <c r="J35" s="951">
        <v>40827595</v>
      </c>
      <c r="K35" s="951">
        <v>430959062</v>
      </c>
      <c r="L35" s="951">
        <v>33291691</v>
      </c>
      <c r="M35" s="951">
        <v>265061015</v>
      </c>
      <c r="N35" s="951">
        <v>6389910</v>
      </c>
      <c r="O35" s="951">
        <f t="shared" si="1"/>
        <v>1569192919</v>
      </c>
    </row>
    <row r="36" spans="2:15" ht="15" hidden="1" customHeight="1">
      <c r="B36" s="950" t="s">
        <v>343</v>
      </c>
      <c r="C36" s="951">
        <v>73395298</v>
      </c>
      <c r="D36" s="951">
        <v>12086456</v>
      </c>
      <c r="E36" s="951">
        <v>52443446</v>
      </c>
      <c r="F36" s="951">
        <v>166741113</v>
      </c>
      <c r="G36" s="951">
        <v>113277502</v>
      </c>
      <c r="H36" s="951">
        <v>148533959</v>
      </c>
      <c r="I36" s="951">
        <v>237347156</v>
      </c>
      <c r="J36" s="951">
        <v>44612216</v>
      </c>
      <c r="K36" s="951">
        <v>510889340</v>
      </c>
      <c r="L36" s="951">
        <v>17332305</v>
      </c>
      <c r="M36" s="951">
        <v>287717965</v>
      </c>
      <c r="N36" s="951">
        <v>5962382</v>
      </c>
      <c r="O36" s="951">
        <f t="shared" si="1"/>
        <v>1670339138</v>
      </c>
    </row>
    <row r="37" spans="2:15" ht="15" hidden="1" customHeight="1">
      <c r="B37" s="950" t="s">
        <v>344</v>
      </c>
      <c r="C37" s="951">
        <v>113727052</v>
      </c>
      <c r="D37" s="951">
        <v>13189909</v>
      </c>
      <c r="E37" s="951">
        <v>52087130</v>
      </c>
      <c r="F37" s="951">
        <v>195080228</v>
      </c>
      <c r="G37" s="951">
        <v>84886789</v>
      </c>
      <c r="H37" s="951">
        <v>146548662</v>
      </c>
      <c r="I37" s="951">
        <v>144660921</v>
      </c>
      <c r="J37" s="951">
        <v>67916425</v>
      </c>
      <c r="K37" s="951">
        <v>504291241</v>
      </c>
      <c r="L37" s="951">
        <v>17349671</v>
      </c>
      <c r="M37" s="951">
        <v>300489056</v>
      </c>
      <c r="N37" s="951">
        <v>5962382</v>
      </c>
      <c r="O37" s="951">
        <f t="shared" si="1"/>
        <v>1646189466</v>
      </c>
    </row>
    <row r="38" spans="2:15" ht="15" hidden="1" customHeight="1">
      <c r="B38" s="930"/>
      <c r="C38" s="930"/>
      <c r="D38" s="930"/>
      <c r="E38" s="930"/>
      <c r="F38" s="930"/>
      <c r="G38" s="930"/>
      <c r="H38" s="930"/>
      <c r="I38" s="930"/>
      <c r="J38" s="930"/>
      <c r="K38" s="930"/>
      <c r="L38" s="930"/>
      <c r="M38" s="930"/>
      <c r="N38" s="930"/>
      <c r="O38" s="930"/>
    </row>
    <row r="39" spans="2:15" ht="15" hidden="1" customHeight="1">
      <c r="B39" s="952">
        <v>2011</v>
      </c>
      <c r="C39" s="930"/>
      <c r="D39" s="930"/>
      <c r="E39" s="930"/>
      <c r="F39" s="930"/>
      <c r="G39" s="930"/>
      <c r="H39" s="930"/>
      <c r="I39" s="930"/>
      <c r="J39" s="930"/>
      <c r="K39" s="930"/>
      <c r="L39" s="930"/>
      <c r="M39" s="930"/>
      <c r="N39" s="930"/>
      <c r="O39" s="930"/>
    </row>
    <row r="40" spans="2:15" ht="15" hidden="1" customHeight="1">
      <c r="B40" s="950" t="s">
        <v>345</v>
      </c>
      <c r="C40" s="951">
        <v>94390.399999999994</v>
      </c>
      <c r="D40" s="951">
        <v>20628.599999999999</v>
      </c>
      <c r="E40" s="951">
        <v>54617.2</v>
      </c>
      <c r="F40" s="951">
        <v>194886.6</v>
      </c>
      <c r="G40" s="951">
        <v>95039.5</v>
      </c>
      <c r="H40" s="951">
        <v>172893.2</v>
      </c>
      <c r="I40" s="951">
        <v>186958.4</v>
      </c>
      <c r="J40" s="951">
        <v>89729.2</v>
      </c>
      <c r="K40" s="951">
        <v>520911.6</v>
      </c>
      <c r="L40" s="951">
        <v>24613.5</v>
      </c>
      <c r="M40" s="951">
        <v>295838.3</v>
      </c>
      <c r="N40" s="951">
        <v>6388.8</v>
      </c>
      <c r="O40" s="951">
        <v>1756895.4</v>
      </c>
    </row>
    <row r="41" spans="2:15" ht="15" hidden="1" customHeight="1">
      <c r="B41" s="950" t="s">
        <v>334</v>
      </c>
      <c r="C41" s="951">
        <v>133717.9</v>
      </c>
      <c r="D41" s="951">
        <v>25834.3</v>
      </c>
      <c r="E41" s="951">
        <v>61714.3</v>
      </c>
      <c r="F41" s="951">
        <v>200791.9</v>
      </c>
      <c r="G41" s="951">
        <v>119665.3</v>
      </c>
      <c r="H41" s="951">
        <v>202629.5</v>
      </c>
      <c r="I41" s="951">
        <v>170980.3</v>
      </c>
      <c r="J41" s="951">
        <v>34762.5</v>
      </c>
      <c r="K41" s="951">
        <v>470724.5</v>
      </c>
      <c r="L41" s="951">
        <v>23809.8</v>
      </c>
      <c r="M41" s="951">
        <v>321623.59999999998</v>
      </c>
      <c r="N41" s="951">
        <v>8841.7000000000007</v>
      </c>
      <c r="O41" s="951">
        <v>1775095.5</v>
      </c>
    </row>
    <row r="42" spans="2:15" ht="15" hidden="1" customHeight="1">
      <c r="B42" s="950" t="s">
        <v>335</v>
      </c>
      <c r="C42" s="951">
        <v>77101</v>
      </c>
      <c r="D42" s="951">
        <v>15938.2</v>
      </c>
      <c r="E42" s="951">
        <v>58193.9</v>
      </c>
      <c r="F42" s="951">
        <v>223181.8</v>
      </c>
      <c r="G42" s="951">
        <v>117197.8</v>
      </c>
      <c r="H42" s="951">
        <v>236622.2</v>
      </c>
      <c r="I42" s="951">
        <v>119977.4</v>
      </c>
      <c r="J42" s="951">
        <v>46400.6</v>
      </c>
      <c r="K42" s="951">
        <v>602307.1</v>
      </c>
      <c r="L42" s="951">
        <v>16940.8</v>
      </c>
      <c r="M42" s="951">
        <v>325373.2</v>
      </c>
      <c r="N42" s="951">
        <v>8669.7999999999993</v>
      </c>
      <c r="O42" s="951">
        <v>1847903.8</v>
      </c>
    </row>
    <row r="43" spans="2:15" ht="15" hidden="1" customHeight="1">
      <c r="B43" s="950" t="s">
        <v>336</v>
      </c>
      <c r="C43" s="951">
        <v>102543.3</v>
      </c>
      <c r="D43" s="951">
        <v>20429.5</v>
      </c>
      <c r="E43" s="951">
        <v>64824.7</v>
      </c>
      <c r="F43" s="951">
        <v>238548.9</v>
      </c>
      <c r="G43" s="951">
        <v>80726.5</v>
      </c>
      <c r="H43" s="951">
        <v>225800.8</v>
      </c>
      <c r="I43" s="951">
        <v>147702.6</v>
      </c>
      <c r="J43" s="951">
        <v>49469.9</v>
      </c>
      <c r="K43" s="951">
        <v>524595.4</v>
      </c>
      <c r="L43" s="951">
        <v>23835.5</v>
      </c>
      <c r="M43" s="951">
        <v>417515.3</v>
      </c>
      <c r="N43" s="951">
        <v>8071.9</v>
      </c>
      <c r="O43" s="951">
        <v>1904064.4</v>
      </c>
    </row>
    <row r="44" spans="2:15" ht="15" hidden="1" customHeight="1">
      <c r="B44" s="950" t="s">
        <v>337</v>
      </c>
      <c r="C44" s="951">
        <v>93812.6</v>
      </c>
      <c r="D44" s="951">
        <v>19640.3</v>
      </c>
      <c r="E44" s="951">
        <v>61878.6</v>
      </c>
      <c r="F44" s="951">
        <v>267258.2</v>
      </c>
      <c r="G44" s="951">
        <v>92889.1</v>
      </c>
      <c r="H44" s="951">
        <v>252592.2</v>
      </c>
      <c r="I44" s="951">
        <v>157059.9</v>
      </c>
      <c r="J44" s="951">
        <v>39483.5</v>
      </c>
      <c r="K44" s="951">
        <v>564888</v>
      </c>
      <c r="L44" s="951">
        <v>26103.4</v>
      </c>
      <c r="M44" s="951">
        <v>411671.1</v>
      </c>
      <c r="N44" s="951">
        <v>13011.7</v>
      </c>
      <c r="O44" s="951">
        <v>2000288.5</v>
      </c>
    </row>
    <row r="45" spans="2:15" ht="15" hidden="1" customHeight="1">
      <c r="B45" s="950" t="s">
        <v>338</v>
      </c>
      <c r="C45" s="951">
        <v>76484.3</v>
      </c>
      <c r="D45" s="951">
        <v>23968.6</v>
      </c>
      <c r="E45" s="951">
        <v>67950.3</v>
      </c>
      <c r="F45" s="951">
        <v>301067.09999999998</v>
      </c>
      <c r="G45" s="951">
        <v>113720.4</v>
      </c>
      <c r="H45" s="951">
        <v>255439</v>
      </c>
      <c r="I45" s="951">
        <v>155982.70000000001</v>
      </c>
      <c r="J45" s="951">
        <v>44627.5</v>
      </c>
      <c r="K45" s="951">
        <v>621716.9</v>
      </c>
      <c r="L45" s="951">
        <v>31259.5</v>
      </c>
      <c r="M45" s="951">
        <v>432494.7</v>
      </c>
      <c r="N45" s="951">
        <v>12539.2</v>
      </c>
      <c r="O45" s="951">
        <v>2137250.1</v>
      </c>
    </row>
    <row r="46" spans="2:15" ht="15" hidden="1" customHeight="1">
      <c r="B46" s="950" t="s">
        <v>339</v>
      </c>
      <c r="C46" s="951">
        <v>86383.9</v>
      </c>
      <c r="D46" s="951">
        <v>26999.5</v>
      </c>
      <c r="E46" s="951">
        <v>66179.899999999994</v>
      </c>
      <c r="F46" s="951">
        <v>299595.59999999998</v>
      </c>
      <c r="G46" s="951">
        <v>94962</v>
      </c>
      <c r="H46" s="951">
        <v>253042</v>
      </c>
      <c r="I46" s="951">
        <v>163296.79999999999</v>
      </c>
      <c r="J46" s="951">
        <v>41455.9</v>
      </c>
      <c r="K46" s="951">
        <v>622835</v>
      </c>
      <c r="L46" s="951">
        <v>46710.1</v>
      </c>
      <c r="M46" s="951">
        <v>469790.7</v>
      </c>
      <c r="N46" s="951">
        <v>16584.3</v>
      </c>
      <c r="O46" s="951">
        <v>2187835.7000000002</v>
      </c>
    </row>
    <row r="47" spans="2:15" ht="15" hidden="1" customHeight="1">
      <c r="B47" s="950" t="s">
        <v>340</v>
      </c>
      <c r="C47" s="951">
        <v>112415.1</v>
      </c>
      <c r="D47" s="951">
        <v>59705.5</v>
      </c>
      <c r="E47" s="951">
        <v>75979.5</v>
      </c>
      <c r="F47" s="951">
        <v>279782.3</v>
      </c>
      <c r="G47" s="951">
        <v>100445.2</v>
      </c>
      <c r="H47" s="951">
        <v>268505.5</v>
      </c>
      <c r="I47" s="951">
        <v>184963.8</v>
      </c>
      <c r="J47" s="951">
        <v>66622.600000000006</v>
      </c>
      <c r="K47" s="951">
        <v>577045.4</v>
      </c>
      <c r="L47" s="951">
        <v>62380.800000000003</v>
      </c>
      <c r="M47" s="951">
        <v>438287</v>
      </c>
      <c r="N47" s="951">
        <v>17369.400000000001</v>
      </c>
      <c r="O47" s="951">
        <v>2243502</v>
      </c>
    </row>
    <row r="48" spans="2:15" ht="15" hidden="1" customHeight="1">
      <c r="B48" s="950" t="s">
        <v>348</v>
      </c>
      <c r="C48" s="951">
        <v>147621.70000000001</v>
      </c>
      <c r="D48" s="951">
        <v>65120.3</v>
      </c>
      <c r="E48" s="951">
        <v>77069.2</v>
      </c>
      <c r="F48" s="951">
        <v>311834</v>
      </c>
      <c r="G48" s="951">
        <v>86441</v>
      </c>
      <c r="H48" s="951">
        <v>262574</v>
      </c>
      <c r="I48" s="951">
        <v>175246.1</v>
      </c>
      <c r="J48" s="951">
        <v>74781.600000000006</v>
      </c>
      <c r="K48" s="951">
        <v>513888</v>
      </c>
      <c r="L48" s="951">
        <v>66793.8</v>
      </c>
      <c r="M48" s="951">
        <v>475822</v>
      </c>
      <c r="N48" s="951">
        <v>13952.5</v>
      </c>
      <c r="O48" s="951">
        <v>2271144</v>
      </c>
    </row>
    <row r="49" spans="2:15" ht="15" hidden="1" customHeight="1">
      <c r="B49" s="950" t="s">
        <v>342</v>
      </c>
      <c r="C49" s="951">
        <v>122658.8</v>
      </c>
      <c r="D49" s="951">
        <v>50310.9</v>
      </c>
      <c r="E49" s="951">
        <v>112599.7</v>
      </c>
      <c r="F49" s="951">
        <v>318080.09999999998</v>
      </c>
      <c r="G49" s="951">
        <v>86261.8</v>
      </c>
      <c r="H49" s="951">
        <v>282990.2</v>
      </c>
      <c r="I49" s="951">
        <v>163299</v>
      </c>
      <c r="J49" s="951">
        <v>74107.8</v>
      </c>
      <c r="K49" s="951">
        <v>562077.80000000005</v>
      </c>
      <c r="L49" s="951">
        <v>32280.7</v>
      </c>
      <c r="M49" s="951">
        <v>460614.3</v>
      </c>
      <c r="N49" s="951">
        <v>19378.3</v>
      </c>
      <c r="O49" s="951">
        <v>2284659.4</v>
      </c>
    </row>
    <row r="50" spans="2:15" ht="15" hidden="1" customHeight="1">
      <c r="B50" s="950" t="s">
        <v>343</v>
      </c>
      <c r="C50" s="951" t="s">
        <v>1217</v>
      </c>
      <c r="D50" s="951">
        <v>30524.1</v>
      </c>
      <c r="E50" s="951">
        <v>79461.899999999994</v>
      </c>
      <c r="F50" s="951">
        <v>310533.5</v>
      </c>
      <c r="G50" s="951">
        <v>79201.3</v>
      </c>
      <c r="H50" s="951">
        <v>259924.7</v>
      </c>
      <c r="I50" s="951">
        <v>204651</v>
      </c>
      <c r="J50" s="951">
        <v>95981.1</v>
      </c>
      <c r="K50" s="951">
        <v>577348.5</v>
      </c>
      <c r="L50" s="951">
        <v>25970.400000000001</v>
      </c>
      <c r="M50" s="951">
        <v>456874</v>
      </c>
      <c r="N50" s="951">
        <v>13736.1</v>
      </c>
      <c r="O50" s="951">
        <v>2241937.2999999998</v>
      </c>
    </row>
    <row r="51" spans="2:15" ht="15" hidden="1" customHeight="1">
      <c r="B51" s="950" t="s">
        <v>344</v>
      </c>
      <c r="C51" s="951">
        <v>120665.7</v>
      </c>
      <c r="D51" s="951">
        <v>35860.199999999997</v>
      </c>
      <c r="E51" s="951">
        <v>107439.2</v>
      </c>
      <c r="F51" s="951">
        <v>295439.3</v>
      </c>
      <c r="G51" s="951">
        <v>94854.2</v>
      </c>
      <c r="H51" s="951">
        <v>277933.7</v>
      </c>
      <c r="I51" s="951">
        <v>267305.3</v>
      </c>
      <c r="J51" s="951">
        <v>69436</v>
      </c>
      <c r="K51" s="951">
        <v>518311.2</v>
      </c>
      <c r="L51" s="951">
        <v>24462.2</v>
      </c>
      <c r="M51" s="951">
        <v>444051.7</v>
      </c>
      <c r="N51" s="951">
        <v>15849.9</v>
      </c>
      <c r="O51" s="951">
        <v>2271608.5</v>
      </c>
    </row>
    <row r="52" spans="2:15" ht="15" hidden="1" customHeight="1">
      <c r="B52" s="930"/>
      <c r="C52" s="930"/>
      <c r="D52" s="930"/>
      <c r="E52" s="930"/>
      <c r="F52" s="930"/>
      <c r="G52" s="930"/>
      <c r="H52" s="930"/>
      <c r="I52" s="930"/>
      <c r="J52" s="930"/>
      <c r="K52" s="930"/>
      <c r="L52" s="930"/>
      <c r="M52" s="930"/>
      <c r="N52" s="930"/>
      <c r="O52" s="930"/>
    </row>
    <row r="53" spans="2:15" ht="15" hidden="1" customHeight="1">
      <c r="B53" s="952">
        <v>2012</v>
      </c>
      <c r="C53" s="930"/>
      <c r="D53" s="930"/>
      <c r="E53" s="930"/>
      <c r="F53" s="930"/>
      <c r="G53" s="930"/>
      <c r="H53" s="930"/>
      <c r="I53" s="930"/>
      <c r="J53" s="930"/>
      <c r="K53" s="930"/>
      <c r="L53" s="930"/>
      <c r="M53" s="930"/>
      <c r="N53" s="930"/>
      <c r="O53" s="930"/>
    </row>
    <row r="54" spans="2:15" ht="15" hidden="1" customHeight="1">
      <c r="B54" s="950" t="s">
        <v>345</v>
      </c>
      <c r="C54" s="951">
        <v>137919.4</v>
      </c>
      <c r="D54" s="951">
        <v>35324.800000000003</v>
      </c>
      <c r="E54" s="951">
        <v>106812.5</v>
      </c>
      <c r="F54" s="951">
        <v>296807.8</v>
      </c>
      <c r="G54" s="951">
        <v>116945.8</v>
      </c>
      <c r="H54" s="951">
        <v>277304.7</v>
      </c>
      <c r="I54" s="951">
        <v>268525.2</v>
      </c>
      <c r="J54" s="951">
        <v>119278.5</v>
      </c>
      <c r="K54" s="951">
        <v>515754.9</v>
      </c>
      <c r="L54" s="951">
        <v>21989.9</v>
      </c>
      <c r="M54" s="951">
        <v>431208.6</v>
      </c>
      <c r="N54" s="951">
        <v>14582.8</v>
      </c>
      <c r="O54" s="951">
        <v>2342454.9</v>
      </c>
    </row>
    <row r="55" spans="2:15" ht="15" hidden="1" customHeight="1">
      <c r="B55" s="950" t="s">
        <v>334</v>
      </c>
      <c r="C55" s="951">
        <v>132404.53</v>
      </c>
      <c r="D55" s="951">
        <v>36283.33</v>
      </c>
      <c r="E55" s="951">
        <v>110794.26</v>
      </c>
      <c r="F55" s="951">
        <v>341462.75</v>
      </c>
      <c r="G55" s="951">
        <v>99165.46</v>
      </c>
      <c r="H55" s="951">
        <v>288834.34000000003</v>
      </c>
      <c r="I55" s="951">
        <v>264450.53000000003</v>
      </c>
      <c r="J55" s="951">
        <v>104923.38</v>
      </c>
      <c r="K55" s="951">
        <v>577378.61</v>
      </c>
      <c r="L55" s="951">
        <v>22873.9</v>
      </c>
      <c r="M55" s="951">
        <v>467084.94</v>
      </c>
      <c r="N55" s="951">
        <v>14234.06</v>
      </c>
      <c r="O55" s="951">
        <v>2459890.1</v>
      </c>
    </row>
    <row r="56" spans="2:15" ht="15" hidden="1" customHeight="1">
      <c r="B56" s="950" t="s">
        <v>335</v>
      </c>
      <c r="C56" s="951">
        <v>121233.1</v>
      </c>
      <c r="D56" s="951">
        <v>38555.4</v>
      </c>
      <c r="E56" s="951">
        <v>124038.5</v>
      </c>
      <c r="F56" s="951">
        <v>348687.2</v>
      </c>
      <c r="G56" s="951">
        <v>93320</v>
      </c>
      <c r="H56" s="951" t="s">
        <v>1219</v>
      </c>
      <c r="I56" s="951">
        <v>276941.5</v>
      </c>
      <c r="J56" s="951">
        <v>76084.399999999994</v>
      </c>
      <c r="K56" s="951">
        <v>629624.30000000005</v>
      </c>
      <c r="L56" s="951">
        <v>24984.1</v>
      </c>
      <c r="M56" s="951">
        <v>468608.5</v>
      </c>
      <c r="N56" s="951">
        <v>14756.2</v>
      </c>
      <c r="O56" s="951">
        <v>2480386.1</v>
      </c>
    </row>
    <row r="57" spans="2:15" ht="15" hidden="1" customHeight="1">
      <c r="B57" s="950" t="s">
        <v>336</v>
      </c>
      <c r="C57" s="951">
        <v>127168.8</v>
      </c>
      <c r="D57" s="951">
        <v>39606.6</v>
      </c>
      <c r="E57" s="951">
        <v>115033.7</v>
      </c>
      <c r="F57" s="951">
        <v>331306.5</v>
      </c>
      <c r="G57" s="951">
        <v>83707.8</v>
      </c>
      <c r="H57" s="951">
        <v>289829.09999999998</v>
      </c>
      <c r="I57" s="951">
        <v>276208.7</v>
      </c>
      <c r="J57" s="951">
        <v>75855.899999999994</v>
      </c>
      <c r="K57" s="951">
        <v>644979.80000000005</v>
      </c>
      <c r="L57" s="951">
        <v>24822.5</v>
      </c>
      <c r="M57" s="951">
        <v>465129</v>
      </c>
      <c r="N57" s="951">
        <v>14829.3</v>
      </c>
      <c r="O57" s="951">
        <v>2488477.6</v>
      </c>
    </row>
    <row r="58" spans="2:15" ht="15" hidden="1" customHeight="1">
      <c r="B58" s="950" t="s">
        <v>337</v>
      </c>
      <c r="C58" s="951">
        <v>124277.7</v>
      </c>
      <c r="D58" s="951">
        <v>43333.7</v>
      </c>
      <c r="E58" s="951">
        <v>142130.1</v>
      </c>
      <c r="F58" s="951">
        <v>370561.1</v>
      </c>
      <c r="G58" s="951">
        <v>93500</v>
      </c>
      <c r="H58" s="951">
        <v>249454.2</v>
      </c>
      <c r="I58" s="951">
        <v>299116.59999999998</v>
      </c>
      <c r="J58" s="951">
        <v>86314.7</v>
      </c>
      <c r="K58" s="951">
        <v>648511.1</v>
      </c>
      <c r="L58" s="951">
        <v>28279.3</v>
      </c>
      <c r="M58" s="951">
        <v>516523</v>
      </c>
      <c r="N58" s="951">
        <v>16891.5</v>
      </c>
      <c r="O58" s="951">
        <v>2618892.9</v>
      </c>
    </row>
    <row r="59" spans="2:15" ht="15" hidden="1" customHeight="1">
      <c r="B59" s="950" t="s">
        <v>338</v>
      </c>
      <c r="C59" s="951">
        <v>84589.8</v>
      </c>
      <c r="D59" s="951">
        <v>51354</v>
      </c>
      <c r="E59" s="951">
        <v>132428.70000000001</v>
      </c>
      <c r="F59" s="951">
        <v>351179.8</v>
      </c>
      <c r="G59" s="951">
        <v>98785.600000000006</v>
      </c>
      <c r="H59" s="951">
        <v>375613.6</v>
      </c>
      <c r="I59" s="951">
        <v>214696.7</v>
      </c>
      <c r="J59" s="951">
        <v>76370.100000000006</v>
      </c>
      <c r="K59" s="951">
        <v>727955.7</v>
      </c>
      <c r="L59" s="951">
        <v>36208.400000000001</v>
      </c>
      <c r="M59" s="951">
        <v>456454.40000000002</v>
      </c>
      <c r="N59" s="951">
        <v>18727.599999999999</v>
      </c>
      <c r="O59" s="951">
        <v>2624364.4</v>
      </c>
    </row>
    <row r="60" spans="2:15" ht="15" hidden="1" customHeight="1">
      <c r="B60" s="950" t="s">
        <v>339</v>
      </c>
      <c r="C60" s="951">
        <v>106470.8</v>
      </c>
      <c r="D60" s="951">
        <v>47401</v>
      </c>
      <c r="E60" s="951">
        <v>131489</v>
      </c>
      <c r="F60" s="951">
        <v>345036.3</v>
      </c>
      <c r="G60" s="951" t="s">
        <v>1220</v>
      </c>
      <c r="H60" s="951">
        <v>397969.7</v>
      </c>
      <c r="I60" s="951">
        <v>213370.5</v>
      </c>
      <c r="J60" s="951">
        <v>89915.4</v>
      </c>
      <c r="K60" s="951">
        <v>726447.6</v>
      </c>
      <c r="L60" s="951">
        <v>46000.4</v>
      </c>
      <c r="M60" s="951">
        <v>505054.1</v>
      </c>
      <c r="N60" s="951">
        <v>29735.3</v>
      </c>
      <c r="O60" s="951">
        <v>2709378</v>
      </c>
    </row>
    <row r="61" spans="2:15" ht="15" hidden="1" customHeight="1">
      <c r="B61" s="950" t="s">
        <v>340</v>
      </c>
      <c r="C61" s="951">
        <v>99151.6</v>
      </c>
      <c r="D61" s="951">
        <v>49226.400000000001</v>
      </c>
      <c r="E61" s="951">
        <v>116820.6</v>
      </c>
      <c r="F61" s="951">
        <v>363080.1</v>
      </c>
      <c r="G61" s="951">
        <v>382619.4</v>
      </c>
      <c r="H61" s="951">
        <v>71775.899999999994</v>
      </c>
      <c r="I61" s="951">
        <v>216433</v>
      </c>
      <c r="J61" s="951">
        <v>73978.5</v>
      </c>
      <c r="K61" s="951">
        <v>737065.6</v>
      </c>
      <c r="L61" s="951">
        <v>48183.8</v>
      </c>
      <c r="M61" s="951">
        <v>488183.8</v>
      </c>
      <c r="N61" s="951">
        <v>28785.3</v>
      </c>
      <c r="O61" s="951">
        <v>2663379.7999999998</v>
      </c>
    </row>
    <row r="62" spans="2:15" ht="15" hidden="1" customHeight="1">
      <c r="B62" s="950" t="s">
        <v>348</v>
      </c>
      <c r="C62" s="951">
        <v>113907.6</v>
      </c>
      <c r="D62" s="951">
        <v>43671</v>
      </c>
      <c r="E62" s="951">
        <v>125801.3</v>
      </c>
      <c r="F62" s="951">
        <v>276363</v>
      </c>
      <c r="G62" s="951">
        <v>177790.6</v>
      </c>
      <c r="H62" s="951">
        <v>429596.7</v>
      </c>
      <c r="I62" s="951">
        <v>228342.2</v>
      </c>
      <c r="J62" s="951">
        <v>82777.7</v>
      </c>
      <c r="K62" s="951">
        <v>651389.19999999995</v>
      </c>
      <c r="L62" s="951">
        <v>48764.9</v>
      </c>
      <c r="M62" s="951">
        <v>517788.8</v>
      </c>
      <c r="N62" s="951">
        <v>29019.9</v>
      </c>
      <c r="O62" s="951">
        <v>2725213</v>
      </c>
    </row>
    <row r="63" spans="2:15" ht="15" hidden="1" customHeight="1">
      <c r="B63" s="950" t="s">
        <v>342</v>
      </c>
      <c r="C63" s="951">
        <v>101122.4</v>
      </c>
      <c r="D63" s="951">
        <v>48716.9</v>
      </c>
      <c r="E63" s="951">
        <v>155798.29999999999</v>
      </c>
      <c r="F63" s="951">
        <v>313982.40000000002</v>
      </c>
      <c r="G63" s="951">
        <v>257300.6</v>
      </c>
      <c r="H63" s="951">
        <v>409730</v>
      </c>
      <c r="I63" s="951">
        <v>245131.8</v>
      </c>
      <c r="J63" s="951">
        <v>83995.5</v>
      </c>
      <c r="K63" s="951">
        <v>661217.19999999995</v>
      </c>
      <c r="L63" s="951">
        <v>48396.800000000003</v>
      </c>
      <c r="M63" s="951">
        <v>534643.6</v>
      </c>
      <c r="N63" s="951">
        <v>26158</v>
      </c>
      <c r="O63" s="951">
        <v>2886193.5</v>
      </c>
    </row>
    <row r="64" spans="2:15" ht="15" hidden="1" customHeight="1">
      <c r="B64" s="950" t="s">
        <v>343</v>
      </c>
      <c r="C64" s="951">
        <v>104695.1</v>
      </c>
      <c r="D64" s="951">
        <v>53233.8</v>
      </c>
      <c r="E64" s="951">
        <v>151359.5</v>
      </c>
      <c r="F64" s="951">
        <v>348390.40000000002</v>
      </c>
      <c r="G64" s="951">
        <v>185802.5</v>
      </c>
      <c r="H64" s="951">
        <v>464782.4</v>
      </c>
      <c r="I64" s="951">
        <v>269513.8</v>
      </c>
      <c r="J64" s="951">
        <v>85906.9</v>
      </c>
      <c r="K64" s="951">
        <v>962840.9</v>
      </c>
      <c r="L64" s="951">
        <v>47647.199999999997</v>
      </c>
      <c r="M64" s="951">
        <v>548847.69999999995</v>
      </c>
      <c r="N64" s="951">
        <v>23130.6</v>
      </c>
      <c r="O64" s="951">
        <v>3246150.7</v>
      </c>
    </row>
    <row r="65" spans="2:15" ht="15" hidden="1" customHeight="1">
      <c r="B65" s="950" t="s">
        <v>344</v>
      </c>
      <c r="C65" s="951">
        <v>96098.37</v>
      </c>
      <c r="D65" s="951">
        <v>50492.68</v>
      </c>
      <c r="E65" s="951">
        <v>126343.53</v>
      </c>
      <c r="F65" s="951">
        <v>379068.02</v>
      </c>
      <c r="G65" s="951">
        <v>198323.3</v>
      </c>
      <c r="H65" s="951">
        <v>509241.59</v>
      </c>
      <c r="I65" s="951">
        <v>280975.34999999998</v>
      </c>
      <c r="J65" s="951">
        <v>95457.07</v>
      </c>
      <c r="K65" s="951">
        <v>582286.18999999994</v>
      </c>
      <c r="L65" s="951">
        <v>41852.17</v>
      </c>
      <c r="M65" s="951">
        <v>538135.21</v>
      </c>
      <c r="N65" s="951">
        <v>26491.34</v>
      </c>
      <c r="O65" s="951">
        <f>SUM(C65:N65)</f>
        <v>2924764.8199999994</v>
      </c>
    </row>
    <row r="66" spans="2:15" ht="15" hidden="1" customHeight="1">
      <c r="B66" s="930"/>
      <c r="C66" s="930"/>
      <c r="D66" s="930"/>
      <c r="E66" s="930"/>
      <c r="F66" s="930"/>
      <c r="G66" s="930"/>
      <c r="H66" s="930"/>
      <c r="I66" s="930"/>
      <c r="J66" s="930"/>
      <c r="K66" s="930"/>
      <c r="L66" s="930"/>
      <c r="M66" s="930"/>
      <c r="N66" s="930"/>
      <c r="O66" s="930"/>
    </row>
    <row r="67" spans="2:15" ht="15" hidden="1" customHeight="1">
      <c r="B67" s="952">
        <v>2013</v>
      </c>
      <c r="C67" s="930"/>
      <c r="D67" s="930"/>
      <c r="E67" s="930"/>
      <c r="F67" s="930"/>
      <c r="G67" s="930"/>
      <c r="H67" s="930"/>
      <c r="I67" s="930"/>
      <c r="J67" s="930"/>
      <c r="K67" s="930"/>
      <c r="L67" s="930"/>
      <c r="M67" s="930"/>
      <c r="N67" s="930"/>
      <c r="O67" s="930"/>
    </row>
    <row r="68" spans="2:15" ht="15" hidden="1" customHeight="1">
      <c r="B68" s="950" t="s">
        <v>345</v>
      </c>
      <c r="C68" s="951">
        <v>91648.8</v>
      </c>
      <c r="D68" s="951">
        <v>48329.1</v>
      </c>
      <c r="E68" s="951">
        <v>128425.95</v>
      </c>
      <c r="F68" s="951">
        <v>351566.7</v>
      </c>
      <c r="G68" s="951">
        <v>212401.7</v>
      </c>
      <c r="H68" s="951">
        <v>494823.55</v>
      </c>
      <c r="I68" s="951">
        <v>252389.69899999999</v>
      </c>
      <c r="J68" s="951">
        <v>93469.95</v>
      </c>
      <c r="K68" s="951">
        <v>658260.06999999995</v>
      </c>
      <c r="L68" s="951">
        <v>44091.4</v>
      </c>
      <c r="M68" s="951">
        <v>512289.8</v>
      </c>
      <c r="N68" s="951">
        <v>32145.9</v>
      </c>
      <c r="O68" s="951">
        <f>SUM(C68:N68)</f>
        <v>2919842.6189999995</v>
      </c>
    </row>
    <row r="69" spans="2:15" ht="15" hidden="1" customHeight="1">
      <c r="B69" s="950" t="s">
        <v>334</v>
      </c>
      <c r="C69" s="951">
        <v>96796.5</v>
      </c>
      <c r="D69" s="951">
        <v>48491.5</v>
      </c>
      <c r="E69" s="951">
        <v>147571.5</v>
      </c>
      <c r="F69" s="951">
        <v>360757.9</v>
      </c>
      <c r="G69" s="951">
        <v>147995.9</v>
      </c>
      <c r="H69" s="951">
        <v>578306.4</v>
      </c>
      <c r="I69" s="951">
        <v>284603.8</v>
      </c>
      <c r="J69" s="951">
        <v>64530.5</v>
      </c>
      <c r="K69" s="951">
        <v>679554.8</v>
      </c>
      <c r="L69" s="951">
        <v>41983.6</v>
      </c>
      <c r="M69" s="951">
        <v>516431.2</v>
      </c>
      <c r="N69" s="951">
        <v>25275.3</v>
      </c>
      <c r="O69" s="951" t="s">
        <v>1277</v>
      </c>
    </row>
    <row r="70" spans="2:15" ht="15" hidden="1" customHeight="1">
      <c r="B70" s="950" t="s">
        <v>335</v>
      </c>
      <c r="C70" s="951">
        <v>96752.83</v>
      </c>
      <c r="D70" s="951">
        <v>44883.31</v>
      </c>
      <c r="E70" s="951">
        <v>139327.79999999999</v>
      </c>
      <c r="F70" s="951">
        <v>354627.8</v>
      </c>
      <c r="G70" s="951">
        <v>155915.20000000001</v>
      </c>
      <c r="H70" s="951">
        <v>610758.39</v>
      </c>
      <c r="I70" s="951">
        <v>290072.83</v>
      </c>
      <c r="J70" s="951">
        <v>87142.96</v>
      </c>
      <c r="K70" s="951">
        <v>594397.69999999995</v>
      </c>
      <c r="L70" s="951">
        <v>38345.49</v>
      </c>
      <c r="M70" s="951">
        <v>523913.76</v>
      </c>
      <c r="N70" s="951">
        <v>141404.6</v>
      </c>
      <c r="O70" s="951">
        <f>SUM(C70:N70)</f>
        <v>3077542.6700000004</v>
      </c>
    </row>
    <row r="71" spans="2:15" ht="15" hidden="1" customHeight="1">
      <c r="B71" s="950" t="s">
        <v>336</v>
      </c>
      <c r="C71" s="951">
        <v>98671.01</v>
      </c>
      <c r="D71" s="951">
        <v>49093.8</v>
      </c>
      <c r="E71" s="951">
        <v>152390.82</v>
      </c>
      <c r="F71" s="951">
        <v>350269.24</v>
      </c>
      <c r="G71" s="951">
        <v>166578.49</v>
      </c>
      <c r="H71" s="951">
        <v>545118.18000000005</v>
      </c>
      <c r="I71" s="951">
        <v>311310.83</v>
      </c>
      <c r="J71" s="951">
        <v>105766.85</v>
      </c>
      <c r="K71" s="951">
        <v>638341.84</v>
      </c>
      <c r="L71" s="951">
        <v>39837.14</v>
      </c>
      <c r="M71" s="951">
        <v>533691.29</v>
      </c>
      <c r="N71" s="951">
        <v>99053.92</v>
      </c>
      <c r="O71" s="951">
        <v>3090123.41</v>
      </c>
    </row>
    <row r="72" spans="2:15" ht="15" hidden="1" customHeight="1">
      <c r="B72" s="950" t="s">
        <v>337</v>
      </c>
      <c r="C72" s="951">
        <v>114053.33</v>
      </c>
      <c r="D72" s="951">
        <v>55427.447999999997</v>
      </c>
      <c r="E72" s="951">
        <v>142023.28599999999</v>
      </c>
      <c r="F72" s="951">
        <v>389384.68699999998</v>
      </c>
      <c r="G72" s="951">
        <v>255352.1</v>
      </c>
      <c r="H72" s="951">
        <v>484429.73</v>
      </c>
      <c r="I72" s="951">
        <v>318129.39600000001</v>
      </c>
      <c r="J72" s="951">
        <v>92777.153999999995</v>
      </c>
      <c r="K72" s="951">
        <v>700668.69</v>
      </c>
      <c r="L72" s="951">
        <v>46593.756999999998</v>
      </c>
      <c r="M72" s="951">
        <v>578509.23300000001</v>
      </c>
      <c r="N72" s="951">
        <v>32297.735000000001</v>
      </c>
      <c r="O72" s="951">
        <f>SUM(C72:N72)</f>
        <v>3209646.5459999996</v>
      </c>
    </row>
    <row r="73" spans="2:15" ht="15" hidden="1" customHeight="1">
      <c r="B73" s="950" t="s">
        <v>338</v>
      </c>
      <c r="C73" s="951">
        <v>116635.2</v>
      </c>
      <c r="D73" s="951">
        <v>58578.8</v>
      </c>
      <c r="E73" s="951">
        <v>147313.79</v>
      </c>
      <c r="F73" s="951">
        <v>447394.5</v>
      </c>
      <c r="G73" s="951">
        <v>183146.3</v>
      </c>
      <c r="H73" s="951">
        <v>352600.3</v>
      </c>
      <c r="I73" s="951">
        <v>366824.2</v>
      </c>
      <c r="J73" s="951">
        <v>96685.8</v>
      </c>
      <c r="K73" s="951">
        <v>701195.66899999999</v>
      </c>
      <c r="L73" s="951">
        <v>46578.5</v>
      </c>
      <c r="M73" s="951">
        <v>597373.1</v>
      </c>
      <c r="N73" s="951">
        <v>104843.6</v>
      </c>
      <c r="O73" s="951">
        <f>SUM(C73:N73)</f>
        <v>3219169.7590000005</v>
      </c>
    </row>
    <row r="74" spans="2:15" ht="15" hidden="1" customHeight="1">
      <c r="B74" s="950" t="s">
        <v>339</v>
      </c>
      <c r="C74" s="951">
        <v>108086.64306</v>
      </c>
      <c r="D74" s="951">
        <v>46449.517339999999</v>
      </c>
      <c r="E74" s="951">
        <v>120982.31729000001</v>
      </c>
      <c r="F74" s="951">
        <v>380448.80583999999</v>
      </c>
      <c r="G74" s="951">
        <v>178341.43641999995</v>
      </c>
      <c r="H74" s="951">
        <v>677700.67196999991</v>
      </c>
      <c r="I74" s="951">
        <v>301575.93612999999</v>
      </c>
      <c r="J74" s="951">
        <v>97583.759120000032</v>
      </c>
      <c r="K74" s="951">
        <v>710856.11607000011</v>
      </c>
      <c r="L74" s="951">
        <v>39395.918549999995</v>
      </c>
      <c r="M74" s="951">
        <v>487954.37919000007</v>
      </c>
      <c r="N74" s="951">
        <v>102531.41172</v>
      </c>
      <c r="O74" s="951">
        <f>SUM(C74:N74)</f>
        <v>3251906.9127000007</v>
      </c>
    </row>
    <row r="75" spans="2:15" ht="15" hidden="1" customHeight="1">
      <c r="B75" s="950" t="s">
        <v>340</v>
      </c>
      <c r="C75" s="951">
        <v>137107.1</v>
      </c>
      <c r="D75" s="951">
        <v>48726.1</v>
      </c>
      <c r="E75" s="951">
        <v>135788.5</v>
      </c>
      <c r="F75" s="951">
        <v>319106</v>
      </c>
      <c r="G75" s="951">
        <v>174593.9</v>
      </c>
      <c r="H75" s="951">
        <v>637190.69999999995</v>
      </c>
      <c r="I75" s="951">
        <v>333255.3</v>
      </c>
      <c r="J75" s="951">
        <v>99194.1</v>
      </c>
      <c r="K75" s="951">
        <v>639401.6</v>
      </c>
      <c r="L75" s="951">
        <v>41996.5</v>
      </c>
      <c r="M75" s="951">
        <v>417762.6</v>
      </c>
      <c r="N75" s="951">
        <v>93772.1</v>
      </c>
      <c r="O75" s="951">
        <v>3077894.4</v>
      </c>
    </row>
    <row r="76" spans="2:15" ht="15" hidden="1" customHeight="1">
      <c r="B76" s="950" t="s">
        <v>348</v>
      </c>
      <c r="C76" s="951">
        <v>100028.3</v>
      </c>
      <c r="D76" s="951">
        <v>57039.8</v>
      </c>
      <c r="E76" s="951">
        <v>145652.5</v>
      </c>
      <c r="F76" s="951">
        <v>380781.4</v>
      </c>
      <c r="G76" s="951">
        <v>207379.20000000001</v>
      </c>
      <c r="H76" s="951">
        <v>612131.5</v>
      </c>
      <c r="I76" s="951">
        <v>408359.1</v>
      </c>
      <c r="J76" s="951">
        <v>103872.8</v>
      </c>
      <c r="K76" s="951">
        <v>795047.6</v>
      </c>
      <c r="L76" s="951">
        <v>46982.9</v>
      </c>
      <c r="M76" s="951">
        <v>435912.4</v>
      </c>
      <c r="N76" s="951">
        <v>90265.8</v>
      </c>
      <c r="O76" s="951">
        <v>3383453.4</v>
      </c>
    </row>
    <row r="77" spans="2:15" ht="15" hidden="1" customHeight="1">
      <c r="B77" s="950" t="s">
        <v>342</v>
      </c>
      <c r="C77" s="951">
        <v>94346.3</v>
      </c>
      <c r="D77" s="951">
        <v>52722.400000000001</v>
      </c>
      <c r="E77" s="951">
        <v>141401.4</v>
      </c>
      <c r="F77" s="951">
        <v>338625.9</v>
      </c>
      <c r="G77" s="951">
        <v>223223.8</v>
      </c>
      <c r="H77" s="951">
        <v>754145.4</v>
      </c>
      <c r="I77" s="951">
        <v>339305.6</v>
      </c>
      <c r="J77" s="951">
        <v>99583.3</v>
      </c>
      <c r="K77" s="951">
        <v>754116.1</v>
      </c>
      <c r="L77" s="951">
        <v>41527.199999999997</v>
      </c>
      <c r="M77" s="951">
        <v>440197.9</v>
      </c>
      <c r="N77" s="951">
        <v>97771.1</v>
      </c>
      <c r="O77" s="951">
        <v>3376966.4</v>
      </c>
    </row>
    <row r="78" spans="2:15" ht="15" hidden="1" customHeight="1">
      <c r="B78" s="950" t="s">
        <v>343</v>
      </c>
      <c r="C78" s="951">
        <v>114178.7</v>
      </c>
      <c r="D78" s="951">
        <v>47740.9</v>
      </c>
      <c r="E78" s="951">
        <v>128399.3</v>
      </c>
      <c r="F78" s="951">
        <v>312639.2</v>
      </c>
      <c r="G78" s="951">
        <v>241628.79999999999</v>
      </c>
      <c r="H78" s="951">
        <v>741885.4</v>
      </c>
      <c r="I78" s="951">
        <v>283426</v>
      </c>
      <c r="J78" s="951">
        <v>80507.600000000006</v>
      </c>
      <c r="K78" s="951">
        <v>727492.5</v>
      </c>
      <c r="L78" s="951">
        <v>42901</v>
      </c>
      <c r="M78" s="951">
        <v>458479.9</v>
      </c>
      <c r="N78" s="951">
        <v>89292.5</v>
      </c>
      <c r="O78" s="951">
        <v>3268571.8</v>
      </c>
    </row>
    <row r="79" spans="2:15" ht="15" hidden="1" customHeight="1">
      <c r="B79" s="950" t="s">
        <v>344</v>
      </c>
      <c r="C79" s="951">
        <v>113914.2</v>
      </c>
      <c r="D79" s="951">
        <v>51981.7</v>
      </c>
      <c r="E79" s="951">
        <v>142938.1</v>
      </c>
      <c r="F79" s="951">
        <v>342785.1</v>
      </c>
      <c r="G79" s="951">
        <v>213125.2</v>
      </c>
      <c r="H79" s="951">
        <v>755299.4</v>
      </c>
      <c r="I79" s="951">
        <v>327658.09999999998</v>
      </c>
      <c r="J79" s="951">
        <v>83103.100000000006</v>
      </c>
      <c r="K79" s="951">
        <v>762884.4</v>
      </c>
      <c r="L79" s="951">
        <v>41827.9</v>
      </c>
      <c r="M79" s="951">
        <v>432436.3</v>
      </c>
      <c r="N79" s="951">
        <v>61038.7</v>
      </c>
      <c r="O79" s="951">
        <v>3328992.1</v>
      </c>
    </row>
    <row r="80" spans="2:15" ht="15" hidden="1" customHeight="1">
      <c r="B80" s="930"/>
      <c r="C80" s="930"/>
      <c r="D80" s="930"/>
      <c r="E80" s="930"/>
      <c r="F80" s="930"/>
      <c r="G80" s="930"/>
      <c r="H80" s="930"/>
      <c r="I80" s="930"/>
      <c r="J80" s="930"/>
      <c r="K80" s="930"/>
      <c r="L80" s="930"/>
      <c r="M80" s="930"/>
      <c r="N80" s="930"/>
      <c r="O80" s="930"/>
    </row>
    <row r="81" spans="2:15" ht="15" hidden="1" customHeight="1">
      <c r="B81" s="952">
        <v>2014</v>
      </c>
      <c r="C81" s="930"/>
      <c r="D81" s="930"/>
      <c r="E81" s="930"/>
      <c r="F81" s="930"/>
      <c r="G81" s="930"/>
      <c r="H81" s="930"/>
      <c r="I81" s="930"/>
      <c r="J81" s="930"/>
      <c r="K81" s="930"/>
      <c r="L81" s="930"/>
      <c r="M81" s="930"/>
      <c r="N81" s="930"/>
      <c r="O81" s="930"/>
    </row>
    <row r="82" spans="2:15" ht="15" hidden="1" customHeight="1">
      <c r="B82" s="950" t="s">
        <v>345</v>
      </c>
      <c r="C82" s="951">
        <v>130154.6</v>
      </c>
      <c r="D82" s="951">
        <v>53292.9</v>
      </c>
      <c r="E82" s="951">
        <v>146876.1</v>
      </c>
      <c r="F82" s="951">
        <v>353793.8</v>
      </c>
      <c r="G82" s="951">
        <v>259569.6</v>
      </c>
      <c r="H82" s="951">
        <v>731703.3</v>
      </c>
      <c r="I82" s="951">
        <v>304033.2</v>
      </c>
      <c r="J82" s="951">
        <v>93776.7</v>
      </c>
      <c r="K82" s="951">
        <v>770435.4</v>
      </c>
      <c r="L82" s="951">
        <v>40085.9</v>
      </c>
      <c r="M82" s="951">
        <v>485573.1</v>
      </c>
      <c r="N82" s="951">
        <v>60897.7</v>
      </c>
      <c r="O82" s="951">
        <v>3430192.5</v>
      </c>
    </row>
    <row r="83" spans="2:15" ht="15" hidden="1" customHeight="1">
      <c r="B83" s="950" t="s">
        <v>334</v>
      </c>
      <c r="C83" s="951">
        <v>138812.29999999999</v>
      </c>
      <c r="D83" s="951">
        <v>55092.2</v>
      </c>
      <c r="E83" s="951">
        <v>134813.9</v>
      </c>
      <c r="F83" s="951">
        <v>420181</v>
      </c>
      <c r="G83" s="951">
        <v>262183.8</v>
      </c>
      <c r="H83" s="951">
        <v>786295.6</v>
      </c>
      <c r="I83" s="951">
        <v>270062.5</v>
      </c>
      <c r="J83" s="951">
        <v>131134.79999999999</v>
      </c>
      <c r="K83" s="951">
        <v>779640.3</v>
      </c>
      <c r="L83" s="951">
        <v>39169.199999999997</v>
      </c>
      <c r="M83" s="951">
        <v>508813.7</v>
      </c>
      <c r="N83" s="951">
        <v>61822.3</v>
      </c>
      <c r="O83" s="951">
        <v>3588021.6</v>
      </c>
    </row>
    <row r="84" spans="2:15" ht="15" hidden="1" customHeight="1">
      <c r="B84" s="950" t="s">
        <v>335</v>
      </c>
      <c r="C84" s="951">
        <v>118239.1</v>
      </c>
      <c r="D84" s="951">
        <v>55167.5</v>
      </c>
      <c r="E84" s="951">
        <v>135807.9</v>
      </c>
      <c r="F84" s="951">
        <v>382675.5</v>
      </c>
      <c r="G84" s="951">
        <v>216025.3</v>
      </c>
      <c r="H84" s="951">
        <v>791776</v>
      </c>
      <c r="I84" s="951">
        <v>275549.09999999998</v>
      </c>
      <c r="J84" s="951">
        <v>103298.7</v>
      </c>
      <c r="K84" s="951">
        <v>806185.9</v>
      </c>
      <c r="L84" s="951">
        <v>42432.800000000003</v>
      </c>
      <c r="M84" s="951">
        <v>521381.5</v>
      </c>
      <c r="N84" s="951">
        <v>72990.899999999994</v>
      </c>
      <c r="O84" s="951">
        <v>3521530.3</v>
      </c>
    </row>
    <row r="85" spans="2:15" ht="15" hidden="1" customHeight="1">
      <c r="B85" s="950" t="s">
        <v>336</v>
      </c>
      <c r="C85" s="951">
        <v>164347.5</v>
      </c>
      <c r="D85" s="951">
        <v>59289.3</v>
      </c>
      <c r="E85" s="951">
        <v>102323.7</v>
      </c>
      <c r="F85" s="951">
        <v>408823.5</v>
      </c>
      <c r="G85" s="951">
        <v>325559.7</v>
      </c>
      <c r="H85" s="951">
        <v>780207</v>
      </c>
      <c r="I85" s="951">
        <v>325659.8</v>
      </c>
      <c r="J85" s="951">
        <v>135187.4</v>
      </c>
      <c r="K85" s="951">
        <v>888876.2</v>
      </c>
      <c r="L85" s="951">
        <v>43746.5</v>
      </c>
      <c r="M85" s="951">
        <v>582848.80000000005</v>
      </c>
      <c r="N85" s="951">
        <v>82009.8</v>
      </c>
      <c r="O85" s="951">
        <v>3898879.1</v>
      </c>
    </row>
    <row r="86" spans="2:15" ht="15" hidden="1" customHeight="1">
      <c r="B86" s="950" t="s">
        <v>337</v>
      </c>
      <c r="C86" s="951">
        <v>149474.1</v>
      </c>
      <c r="D86" s="951">
        <v>60669.4</v>
      </c>
      <c r="E86" s="951">
        <v>108977.60000000001</v>
      </c>
      <c r="F86" s="951">
        <v>355802.3</v>
      </c>
      <c r="G86" s="951">
        <v>332850.8</v>
      </c>
      <c r="H86" s="951">
        <v>800256.8</v>
      </c>
      <c r="I86" s="951">
        <v>303599.40000000002</v>
      </c>
      <c r="J86" s="951">
        <v>132132.79999999999</v>
      </c>
      <c r="K86" s="951">
        <v>1027552.7</v>
      </c>
      <c r="L86" s="951">
        <v>38921</v>
      </c>
      <c r="M86" s="951">
        <v>581930.19999999995</v>
      </c>
      <c r="N86" s="951">
        <v>93334.9</v>
      </c>
      <c r="O86" s="951">
        <v>3985501.8</v>
      </c>
    </row>
    <row r="87" spans="2:15" ht="15" hidden="1" customHeight="1">
      <c r="B87" s="950" t="s">
        <v>338</v>
      </c>
      <c r="C87" s="951">
        <v>194685.1</v>
      </c>
      <c r="D87" s="951">
        <v>64188.9</v>
      </c>
      <c r="E87" s="951">
        <v>95595.6</v>
      </c>
      <c r="F87" s="951">
        <v>470267.7</v>
      </c>
      <c r="G87" s="951">
        <v>291594.59999999998</v>
      </c>
      <c r="H87" s="951">
        <v>812999.7</v>
      </c>
      <c r="I87" s="951">
        <v>348303.5</v>
      </c>
      <c r="J87" s="951">
        <v>130453.4</v>
      </c>
      <c r="K87" s="951">
        <v>895698</v>
      </c>
      <c r="L87" s="951">
        <v>44735.5</v>
      </c>
      <c r="M87" s="951">
        <v>575149.1</v>
      </c>
      <c r="N87" s="951">
        <v>91392.4</v>
      </c>
      <c r="O87" s="951">
        <v>4015063.5</v>
      </c>
    </row>
    <row r="88" spans="2:15" ht="15" hidden="1" customHeight="1">
      <c r="B88" s="950" t="s">
        <v>339</v>
      </c>
      <c r="C88" s="951">
        <v>163335.6</v>
      </c>
      <c r="D88" s="951">
        <v>56812</v>
      </c>
      <c r="E88" s="951">
        <v>87587.5</v>
      </c>
      <c r="F88" s="951">
        <v>370121.7</v>
      </c>
      <c r="G88" s="951">
        <v>303367.3</v>
      </c>
      <c r="H88" s="951">
        <v>830988.6</v>
      </c>
      <c r="I88" s="951">
        <v>334436.8</v>
      </c>
      <c r="J88" s="951">
        <v>112985</v>
      </c>
      <c r="K88" s="951">
        <v>880761.1</v>
      </c>
      <c r="L88" s="951">
        <v>44675.4</v>
      </c>
      <c r="M88" s="951">
        <v>587756.69999999995</v>
      </c>
      <c r="N88" s="951">
        <v>94841.5</v>
      </c>
      <c r="O88" s="951">
        <v>3867669.2</v>
      </c>
    </row>
    <row r="89" spans="2:15" ht="15" hidden="1" customHeight="1">
      <c r="B89" s="950" t="s">
        <v>340</v>
      </c>
      <c r="C89" s="951">
        <v>128794.1</v>
      </c>
      <c r="D89" s="951">
        <v>38934.1</v>
      </c>
      <c r="E89" s="951">
        <v>90012.5</v>
      </c>
      <c r="F89" s="951">
        <v>271204.3</v>
      </c>
      <c r="G89" s="951">
        <v>270009.90000000002</v>
      </c>
      <c r="H89" s="951">
        <v>755141.6</v>
      </c>
      <c r="I89" s="951">
        <v>236267.5</v>
      </c>
      <c r="J89" s="951">
        <v>130548.6</v>
      </c>
      <c r="K89" s="951">
        <v>865566.6</v>
      </c>
      <c r="L89" s="951">
        <v>31180.400000000001</v>
      </c>
      <c r="M89" s="951">
        <v>467724.2</v>
      </c>
      <c r="N89" s="951">
        <v>89582.399999999994</v>
      </c>
      <c r="O89" s="951">
        <v>3374966.2</v>
      </c>
    </row>
    <row r="90" spans="2:15" ht="15" hidden="1" customHeight="1">
      <c r="B90" s="950" t="s">
        <v>341</v>
      </c>
      <c r="C90" s="951">
        <v>177932.48</v>
      </c>
      <c r="D90" s="951">
        <v>56444.49</v>
      </c>
      <c r="E90" s="951">
        <v>82756.72</v>
      </c>
      <c r="F90" s="951">
        <v>315956.81</v>
      </c>
      <c r="G90" s="951">
        <v>309508.33</v>
      </c>
      <c r="H90" s="951">
        <v>951593.43</v>
      </c>
      <c r="I90" s="951">
        <v>278461.52</v>
      </c>
      <c r="J90" s="951">
        <v>174497.89</v>
      </c>
      <c r="K90" s="951">
        <v>978044</v>
      </c>
      <c r="L90" s="951">
        <v>47792.72</v>
      </c>
      <c r="M90" s="951">
        <v>571629.87</v>
      </c>
      <c r="N90" s="951">
        <v>103464.81</v>
      </c>
      <c r="O90" s="951">
        <v>4048083.0700000008</v>
      </c>
    </row>
    <row r="91" spans="2:15" ht="15" hidden="1" customHeight="1">
      <c r="B91" s="950" t="s">
        <v>342</v>
      </c>
      <c r="C91" s="951">
        <v>158421.66321</v>
      </c>
      <c r="D91" s="951">
        <v>57091.372989999989</v>
      </c>
      <c r="E91" s="951">
        <v>83973.873800000016</v>
      </c>
      <c r="F91" s="951">
        <v>407933.96679000003</v>
      </c>
      <c r="G91" s="951">
        <v>308028.81451999996</v>
      </c>
      <c r="H91" s="951">
        <v>917450.29074999993</v>
      </c>
      <c r="I91" s="951">
        <v>266690.88082999998</v>
      </c>
      <c r="J91" s="951">
        <v>178770.95612000002</v>
      </c>
      <c r="K91" s="951">
        <v>936336.19850000006</v>
      </c>
      <c r="L91" s="951">
        <v>44950.245089999989</v>
      </c>
      <c r="M91" s="951">
        <v>613425.08277999994</v>
      </c>
      <c r="N91" s="951">
        <v>91764.142229999998</v>
      </c>
      <c r="O91" s="951">
        <v>4064837.4876099997</v>
      </c>
    </row>
    <row r="92" spans="2:15" ht="15" hidden="1" customHeight="1">
      <c r="B92" s="950" t="s">
        <v>343</v>
      </c>
      <c r="C92" s="951">
        <v>140908.6</v>
      </c>
      <c r="D92" s="951">
        <v>61494.3</v>
      </c>
      <c r="E92" s="951">
        <v>93113.96</v>
      </c>
      <c r="F92" s="951">
        <v>350153.78</v>
      </c>
      <c r="G92" s="951">
        <v>313668.7</v>
      </c>
      <c r="H92" s="951">
        <v>881007.4</v>
      </c>
      <c r="I92" s="951">
        <v>271049.88</v>
      </c>
      <c r="J92" s="951">
        <v>137867.79500000001</v>
      </c>
      <c r="K92" s="951">
        <v>955760.6</v>
      </c>
      <c r="L92" s="951">
        <v>48177.7</v>
      </c>
      <c r="M92" s="951">
        <v>641405.30000000005</v>
      </c>
      <c r="N92" s="951">
        <v>90462.2</v>
      </c>
      <c r="O92" s="951">
        <v>3985070.2150000008</v>
      </c>
    </row>
    <row r="93" spans="2:15" ht="15" hidden="1" customHeight="1">
      <c r="B93" s="950" t="s">
        <v>344</v>
      </c>
      <c r="C93" s="951">
        <v>147242.4</v>
      </c>
      <c r="D93" s="951">
        <v>60358.1</v>
      </c>
      <c r="E93" s="951">
        <v>118725.7</v>
      </c>
      <c r="F93" s="951">
        <v>328729.5</v>
      </c>
      <c r="G93" s="951">
        <v>325746.59999999998</v>
      </c>
      <c r="H93" s="951">
        <v>950304.9</v>
      </c>
      <c r="I93" s="951">
        <v>290329.3</v>
      </c>
      <c r="J93" s="951">
        <v>118977.8</v>
      </c>
      <c r="K93" s="951">
        <v>964815</v>
      </c>
      <c r="L93" s="951">
        <v>47574.3</v>
      </c>
      <c r="M93" s="951">
        <v>638061.1</v>
      </c>
      <c r="N93" s="951">
        <v>92040.8</v>
      </c>
      <c r="O93" s="951">
        <v>4082906.3</v>
      </c>
    </row>
    <row r="94" spans="2:15" ht="15" hidden="1" customHeight="1">
      <c r="B94" s="930"/>
      <c r="C94" s="930"/>
      <c r="D94" s="930"/>
      <c r="E94" s="930"/>
      <c r="F94" s="930"/>
      <c r="G94" s="930"/>
      <c r="H94" s="930"/>
      <c r="I94" s="930"/>
      <c r="J94" s="930"/>
      <c r="K94" s="930"/>
      <c r="L94" s="930"/>
      <c r="M94" s="930"/>
      <c r="N94" s="930"/>
      <c r="O94" s="930"/>
    </row>
    <row r="95" spans="2:15" ht="15" hidden="1" customHeight="1">
      <c r="B95" s="952">
        <v>2015</v>
      </c>
      <c r="C95" s="930"/>
      <c r="D95" s="930"/>
      <c r="E95" s="930"/>
      <c r="F95" s="930"/>
      <c r="G95" s="930"/>
      <c r="H95" s="930"/>
      <c r="I95" s="930"/>
      <c r="J95" s="930"/>
      <c r="K95" s="930"/>
      <c r="L95" s="930"/>
      <c r="M95" s="930"/>
      <c r="N95" s="930"/>
      <c r="O95" s="930"/>
    </row>
    <row r="96" spans="2:15" ht="15" hidden="1" customHeight="1">
      <c r="B96" s="950" t="s">
        <v>345</v>
      </c>
      <c r="C96" s="951">
        <v>155304.20000000001</v>
      </c>
      <c r="D96" s="951">
        <v>63950.400000000001</v>
      </c>
      <c r="E96" s="951">
        <v>136066.9</v>
      </c>
      <c r="F96" s="951">
        <v>349099.7</v>
      </c>
      <c r="G96" s="951">
        <v>294145.5</v>
      </c>
      <c r="H96" s="951">
        <v>809684</v>
      </c>
      <c r="I96" s="951">
        <v>314319.59999999998</v>
      </c>
      <c r="J96" s="951">
        <v>113452</v>
      </c>
      <c r="K96" s="951">
        <v>1034514.7</v>
      </c>
      <c r="L96" s="951">
        <v>48876.5</v>
      </c>
      <c r="M96" s="951">
        <v>606370.30000000005</v>
      </c>
      <c r="N96" s="951">
        <v>78746</v>
      </c>
      <c r="O96" s="951">
        <v>4004529.8</v>
      </c>
    </row>
    <row r="97" spans="2:16" ht="15" hidden="1" customHeight="1">
      <c r="B97" s="950" t="s">
        <v>334</v>
      </c>
      <c r="C97" s="951">
        <v>151740.05100000001</v>
      </c>
      <c r="D97" s="951">
        <v>63112.595999999998</v>
      </c>
      <c r="E97" s="951">
        <v>109807.606</v>
      </c>
      <c r="F97" s="951">
        <v>370581.79499999998</v>
      </c>
      <c r="G97" s="951">
        <v>314944.72200000001</v>
      </c>
      <c r="H97" s="951">
        <v>784737.62100000004</v>
      </c>
      <c r="I97" s="951">
        <v>309307.859</v>
      </c>
      <c r="J97" s="951">
        <v>120255.08900000001</v>
      </c>
      <c r="K97" s="951">
        <v>1028160.075</v>
      </c>
      <c r="L97" s="951">
        <v>43112.006999999998</v>
      </c>
      <c r="M97" s="951">
        <v>606650.64899999998</v>
      </c>
      <c r="N97" s="951">
        <v>78891.157999999996</v>
      </c>
      <c r="O97" s="951">
        <v>3981301.2280000001</v>
      </c>
    </row>
    <row r="98" spans="2:16" ht="15" hidden="1" customHeight="1">
      <c r="B98" s="950" t="s">
        <v>335</v>
      </c>
      <c r="C98" s="951">
        <v>199484.82827505423</v>
      </c>
      <c r="D98" s="951">
        <v>63709.246809547476</v>
      </c>
      <c r="E98" s="951">
        <v>116397.41590929881</v>
      </c>
      <c r="F98" s="951">
        <v>378459.95485776727</v>
      </c>
      <c r="G98" s="951">
        <v>351447.99129424727</v>
      </c>
      <c r="H98" s="951">
        <v>762380.72404108848</v>
      </c>
      <c r="I98" s="951">
        <v>373911.94637540053</v>
      </c>
      <c r="J98" s="951">
        <v>99744.64633438157</v>
      </c>
      <c r="K98" s="951">
        <v>912654.43750464998</v>
      </c>
      <c r="L98" s="951">
        <v>42478.882890723777</v>
      </c>
      <c r="M98" s="951">
        <v>644951.2767509293</v>
      </c>
      <c r="N98" s="951">
        <v>72605.211469999995</v>
      </c>
      <c r="O98" s="951">
        <v>4018226.5625130888</v>
      </c>
    </row>
    <row r="99" spans="2:16" ht="15" hidden="1" customHeight="1">
      <c r="B99" s="950" t="s">
        <v>336</v>
      </c>
      <c r="C99" s="951">
        <v>186896.28005999999</v>
      </c>
      <c r="D99" s="951">
        <v>65973.981029999995</v>
      </c>
      <c r="E99" s="951">
        <v>130284.88088</v>
      </c>
      <c r="F99" s="951">
        <v>380884.75654999999</v>
      </c>
      <c r="G99" s="951">
        <v>330001.85953999998</v>
      </c>
      <c r="H99" s="951">
        <v>799952.43480000005</v>
      </c>
      <c r="I99" s="951">
        <v>373648.27211999998</v>
      </c>
      <c r="J99" s="951">
        <v>109735.03260000001</v>
      </c>
      <c r="K99" s="951">
        <v>944772.89173000003</v>
      </c>
      <c r="L99" s="951">
        <v>44964.945269999997</v>
      </c>
      <c r="M99" s="951">
        <v>653801.03839</v>
      </c>
      <c r="N99" s="951">
        <v>75850.8701</v>
      </c>
      <c r="O99" s="951">
        <v>4096767.2430699994</v>
      </c>
    </row>
    <row r="100" spans="2:16" ht="15" hidden="1" customHeight="1">
      <c r="B100" s="950" t="s">
        <v>337</v>
      </c>
      <c r="C100" s="951">
        <v>185803.15848000001</v>
      </c>
      <c r="D100" s="951">
        <v>73167.519569999989</v>
      </c>
      <c r="E100" s="951">
        <v>111512.05591000001</v>
      </c>
      <c r="F100" s="951">
        <v>523774.74106999993</v>
      </c>
      <c r="G100" s="951">
        <v>299659.20944000001</v>
      </c>
      <c r="H100" s="951">
        <v>801335.48777999997</v>
      </c>
      <c r="I100" s="951">
        <v>419453.71177999995</v>
      </c>
      <c r="J100" s="951">
        <v>113355.01334999999</v>
      </c>
      <c r="K100" s="951">
        <v>1041392.7738399999</v>
      </c>
      <c r="L100" s="951">
        <v>50057.913629999995</v>
      </c>
      <c r="M100" s="951">
        <v>619767.85055999993</v>
      </c>
      <c r="N100" s="951">
        <v>71388.825420000023</v>
      </c>
      <c r="O100" s="951">
        <v>4310668.2608299991</v>
      </c>
    </row>
    <row r="101" spans="2:16" ht="15" hidden="1" customHeight="1">
      <c r="B101" s="950" t="s">
        <v>338</v>
      </c>
      <c r="C101" s="951">
        <v>187656.97928</v>
      </c>
      <c r="D101" s="951">
        <v>76777.783440000014</v>
      </c>
      <c r="E101" s="951">
        <v>109336.03199</v>
      </c>
      <c r="F101" s="951">
        <v>498031.31240999995</v>
      </c>
      <c r="G101" s="951">
        <v>304087.22360000003</v>
      </c>
      <c r="H101" s="951">
        <v>877042.78670000006</v>
      </c>
      <c r="I101" s="951">
        <v>338069.75759000005</v>
      </c>
      <c r="J101" s="951">
        <v>67556.610560000001</v>
      </c>
      <c r="K101" s="951">
        <v>1131497.0791099996</v>
      </c>
      <c r="L101" s="951">
        <v>43949.036970000001</v>
      </c>
      <c r="M101" s="951">
        <v>651072.76368199987</v>
      </c>
      <c r="N101" s="951">
        <v>72166.857640000002</v>
      </c>
      <c r="O101" s="951">
        <v>4357244.222972</v>
      </c>
    </row>
    <row r="102" spans="2:16" ht="15" hidden="1" customHeight="1">
      <c r="B102" s="950" t="s">
        <v>339</v>
      </c>
      <c r="C102" s="951">
        <v>180261.27481</v>
      </c>
      <c r="D102" s="951">
        <v>80536.432460000011</v>
      </c>
      <c r="E102" s="951">
        <v>106645.29396</v>
      </c>
      <c r="F102" s="951">
        <v>452744.14088999992</v>
      </c>
      <c r="G102" s="951">
        <v>295611.10327999998</v>
      </c>
      <c r="H102" s="951">
        <v>911363.80164999992</v>
      </c>
      <c r="I102" s="951">
        <v>360746.53894</v>
      </c>
      <c r="J102" s="951">
        <v>88518.407049999994</v>
      </c>
      <c r="K102" s="951">
        <v>971759.88682999997</v>
      </c>
      <c r="L102" s="951">
        <v>53101.603390000004</v>
      </c>
      <c r="M102" s="951">
        <v>647215.13584999996</v>
      </c>
      <c r="N102" s="951">
        <v>70618.819189999995</v>
      </c>
      <c r="O102" s="951">
        <v>4219122.4382999996</v>
      </c>
    </row>
    <row r="103" spans="2:16" ht="15" hidden="1" customHeight="1">
      <c r="B103" s="950" t="s">
        <v>340</v>
      </c>
      <c r="C103" s="951">
        <v>168075.18722999998</v>
      </c>
      <c r="D103" s="951">
        <v>86038.941660000011</v>
      </c>
      <c r="E103" s="951">
        <v>108477.71587999999</v>
      </c>
      <c r="F103" s="951">
        <v>472875.11405999999</v>
      </c>
      <c r="G103" s="951">
        <v>335158.34739999997</v>
      </c>
      <c r="H103" s="951">
        <v>784616.58536000003</v>
      </c>
      <c r="I103" s="951">
        <v>401830.10218000005</v>
      </c>
      <c r="J103" s="951">
        <v>76647.041219999999</v>
      </c>
      <c r="K103" s="951">
        <v>1042260.4188799999</v>
      </c>
      <c r="L103" s="951">
        <v>55455.882909999993</v>
      </c>
      <c r="M103" s="951">
        <v>657177.13946999982</v>
      </c>
      <c r="N103" s="951">
        <v>51922.489460000004</v>
      </c>
      <c r="O103" s="951">
        <v>4240534.9657099992</v>
      </c>
    </row>
    <row r="104" spans="2:16" ht="15" hidden="1" customHeight="1">
      <c r="B104" s="950" t="s">
        <v>341</v>
      </c>
      <c r="C104" s="951">
        <v>197641.46907999998</v>
      </c>
      <c r="D104" s="951">
        <v>85842.596890000015</v>
      </c>
      <c r="E104" s="951">
        <v>112415.30295</v>
      </c>
      <c r="F104" s="951">
        <v>462925.61900999991</v>
      </c>
      <c r="G104" s="951">
        <v>349564.18627000001</v>
      </c>
      <c r="H104" s="951">
        <v>831812.95479000011</v>
      </c>
      <c r="I104" s="951">
        <v>379121.35295000003</v>
      </c>
      <c r="J104" s="951">
        <v>71089.97484000001</v>
      </c>
      <c r="K104" s="951">
        <v>1033106.6662299999</v>
      </c>
      <c r="L104" s="951">
        <v>53348.111210000003</v>
      </c>
      <c r="M104" s="951">
        <v>676307.97019000002</v>
      </c>
      <c r="N104" s="951">
        <v>55759.246260000007</v>
      </c>
      <c r="O104" s="951">
        <v>4308935.4506699992</v>
      </c>
    </row>
    <row r="105" spans="2:16" ht="15" hidden="1" customHeight="1">
      <c r="B105" s="950" t="s">
        <v>342</v>
      </c>
      <c r="C105" s="951">
        <v>219922.32809000002</v>
      </c>
      <c r="D105" s="951">
        <v>85382.046979999985</v>
      </c>
      <c r="E105" s="951">
        <v>116874.4249</v>
      </c>
      <c r="F105" s="951">
        <v>447200.72948999988</v>
      </c>
      <c r="G105" s="951">
        <v>331543.58991999994</v>
      </c>
      <c r="H105" s="951">
        <v>821640.75846000004</v>
      </c>
      <c r="I105" s="951">
        <v>378568.54502000002</v>
      </c>
      <c r="J105" s="951">
        <v>68298.72683</v>
      </c>
      <c r="K105" s="951">
        <v>1100719.7385499999</v>
      </c>
      <c r="L105" s="951">
        <v>55846.70343999999</v>
      </c>
      <c r="M105" s="951">
        <v>648757.53330999985</v>
      </c>
      <c r="N105" s="951">
        <v>67353.222440000012</v>
      </c>
      <c r="O105" s="951">
        <v>4342108.3474299992</v>
      </c>
    </row>
    <row r="106" spans="2:16" ht="15" hidden="1" customHeight="1">
      <c r="B106" s="950" t="s">
        <v>343</v>
      </c>
      <c r="C106" s="951">
        <v>212806.12154011588</v>
      </c>
      <c r="D106" s="951">
        <v>85815.697690343499</v>
      </c>
      <c r="E106" s="951">
        <v>98468.43526078033</v>
      </c>
      <c r="F106" s="951">
        <v>465089.66000378167</v>
      </c>
      <c r="G106" s="951">
        <v>334835.58334306604</v>
      </c>
      <c r="H106" s="951">
        <v>846959.04834705917</v>
      </c>
      <c r="I106" s="951">
        <v>363754.41105246049</v>
      </c>
      <c r="J106" s="951">
        <v>71866.228776215343</v>
      </c>
      <c r="K106" s="951">
        <v>1074141.7851593455</v>
      </c>
      <c r="L106" s="951">
        <v>56110.293506458234</v>
      </c>
      <c r="M106" s="951">
        <v>665421.0762572235</v>
      </c>
      <c r="N106" s="951">
        <v>64630.347620000008</v>
      </c>
      <c r="O106" s="951">
        <v>4339898.68855685</v>
      </c>
    </row>
    <row r="107" spans="2:16" ht="15" hidden="1" customHeight="1">
      <c r="B107" s="950" t="s">
        <v>344</v>
      </c>
      <c r="C107" s="951">
        <v>196092.90801744099</v>
      </c>
      <c r="D107" s="951">
        <v>88272.950809166607</v>
      </c>
      <c r="E107" s="951">
        <v>102636.88145321301</v>
      </c>
      <c r="F107" s="951">
        <v>518411.36004119401</v>
      </c>
      <c r="G107" s="951">
        <v>336909.18267407501</v>
      </c>
      <c r="H107" s="951">
        <v>864491.71212578902</v>
      </c>
      <c r="I107" s="951">
        <v>307844.996053676</v>
      </c>
      <c r="J107" s="951">
        <v>63337.536688761596</v>
      </c>
      <c r="K107" s="951">
        <v>1163771.1370441699</v>
      </c>
      <c r="L107" s="951">
        <v>57410.510778147502</v>
      </c>
      <c r="M107" s="951">
        <v>639985.58100151399</v>
      </c>
      <c r="N107" s="951">
        <v>66435.742289999995</v>
      </c>
      <c r="O107" s="951">
        <v>4405600.4989771489</v>
      </c>
    </row>
    <row r="108" spans="2:16" ht="15" hidden="1" customHeight="1">
      <c r="B108" s="930"/>
      <c r="C108" s="930"/>
      <c r="D108" s="930"/>
      <c r="E108" s="930"/>
      <c r="F108" s="930"/>
      <c r="G108" s="930"/>
      <c r="H108" s="930"/>
      <c r="I108" s="930"/>
      <c r="J108" s="930"/>
      <c r="K108" s="930"/>
      <c r="L108" s="930"/>
      <c r="M108" s="930"/>
      <c r="N108" s="930"/>
      <c r="O108" s="930"/>
    </row>
    <row r="109" spans="2:16" hidden="1">
      <c r="B109" s="952">
        <v>2016</v>
      </c>
      <c r="C109" s="951"/>
      <c r="D109" s="951"/>
      <c r="E109" s="951"/>
      <c r="F109" s="951"/>
      <c r="G109" s="951"/>
      <c r="H109" s="951"/>
      <c r="I109" s="951"/>
      <c r="J109" s="951"/>
      <c r="K109" s="951"/>
      <c r="L109" s="951"/>
      <c r="M109" s="951"/>
      <c r="N109" s="951"/>
      <c r="O109" s="951"/>
    </row>
    <row r="110" spans="2:16" hidden="1">
      <c r="B110" s="950" t="s">
        <v>345</v>
      </c>
      <c r="C110" s="951">
        <v>231827.31642792257</v>
      </c>
      <c r="D110" s="951">
        <v>101724.07337180614</v>
      </c>
      <c r="E110" s="951">
        <v>93544.185478613013</v>
      </c>
      <c r="F110" s="951">
        <v>465089.66000378202</v>
      </c>
      <c r="G110" s="951">
        <v>325203.12242890475</v>
      </c>
      <c r="H110" s="951">
        <v>977272.13357960992</v>
      </c>
      <c r="I110" s="951">
        <v>345812.20301823132</v>
      </c>
      <c r="J110" s="951">
        <v>62026.289992595513</v>
      </c>
      <c r="K110" s="951">
        <v>1083702.6925010267</v>
      </c>
      <c r="L110" s="951">
        <v>61755.583892902163</v>
      </c>
      <c r="M110" s="951">
        <v>618080.09331996681</v>
      </c>
      <c r="N110" s="951">
        <v>58808.722710000009</v>
      </c>
      <c r="O110" s="951">
        <f>+SUM(C110:N110)</f>
        <v>4424846.0767253609</v>
      </c>
    </row>
    <row r="111" spans="2:16" hidden="1">
      <c r="B111" s="950" t="s">
        <v>334</v>
      </c>
      <c r="C111" s="951">
        <v>226568.30309999999</v>
      </c>
      <c r="D111" s="951">
        <v>105747.89104999999</v>
      </c>
      <c r="E111" s="951">
        <v>97684.405889999995</v>
      </c>
      <c r="F111" s="951">
        <v>518411.36004119401</v>
      </c>
      <c r="G111" s="951">
        <v>339838.95879999996</v>
      </c>
      <c r="H111" s="951">
        <v>896869.20996999997</v>
      </c>
      <c r="I111" s="951">
        <v>326025.96418000001</v>
      </c>
      <c r="J111" s="951">
        <v>59381.31136</v>
      </c>
      <c r="K111" s="951">
        <v>1047904.6054999999</v>
      </c>
      <c r="L111" s="951">
        <v>63248.329229999996</v>
      </c>
      <c r="M111" s="951">
        <v>634478.28330000001</v>
      </c>
      <c r="N111" s="951">
        <v>63017.794900000008</v>
      </c>
      <c r="O111" s="951">
        <f t="shared" ref="O111:O131" si="2">+SUM(C111:N111)</f>
        <v>4379176.417321194</v>
      </c>
      <c r="P111" s="919"/>
    </row>
    <row r="112" spans="2:16" hidden="1">
      <c r="B112" s="950" t="s">
        <v>335</v>
      </c>
      <c r="C112" s="951">
        <v>243546.89690000002</v>
      </c>
      <c r="D112" s="951">
        <v>102238.3973</v>
      </c>
      <c r="E112" s="951">
        <v>116471.09582999999</v>
      </c>
      <c r="F112" s="951">
        <v>517089.17823521578</v>
      </c>
      <c r="G112" s="951">
        <v>362058.80764000001</v>
      </c>
      <c r="H112" s="951">
        <v>879340.8094599999</v>
      </c>
      <c r="I112" s="951">
        <v>368689.62302999996</v>
      </c>
      <c r="J112" s="951">
        <v>60514.038489999999</v>
      </c>
      <c r="K112" s="951">
        <v>1073567.5686300001</v>
      </c>
      <c r="L112" s="951">
        <v>62839.353179999991</v>
      </c>
      <c r="M112" s="951">
        <v>642779.36618999997</v>
      </c>
      <c r="N112" s="951">
        <v>61037.622300000003</v>
      </c>
      <c r="O112" s="951">
        <f>+SUM(C112:N112)</f>
        <v>4490172.7571852161</v>
      </c>
      <c r="P112" s="919"/>
    </row>
    <row r="113" spans="2:17" hidden="1">
      <c r="B113" s="950" t="s">
        <v>336</v>
      </c>
      <c r="C113" s="951">
        <v>243151.62623000002</v>
      </c>
      <c r="D113" s="951">
        <v>102234.04201</v>
      </c>
      <c r="E113" s="951">
        <v>112219.45353</v>
      </c>
      <c r="F113" s="951">
        <v>525070.87332999997</v>
      </c>
      <c r="G113" s="951">
        <v>360299.46269000001</v>
      </c>
      <c r="H113" s="951">
        <v>907855.62757999985</v>
      </c>
      <c r="I113" s="951">
        <v>335068.61599999998</v>
      </c>
      <c r="J113" s="951">
        <v>71721.049210000012</v>
      </c>
      <c r="K113" s="951">
        <v>1156122.6384699999</v>
      </c>
      <c r="L113" s="951">
        <v>63858.040799999995</v>
      </c>
      <c r="M113" s="951">
        <v>628901.05034000019</v>
      </c>
      <c r="N113" s="951">
        <v>61087.046539999996</v>
      </c>
      <c r="O113" s="951">
        <f t="shared" si="2"/>
        <v>4567589.5267299991</v>
      </c>
      <c r="P113" s="919"/>
    </row>
    <row r="114" spans="2:17" hidden="1">
      <c r="B114" s="950" t="s">
        <v>337</v>
      </c>
      <c r="C114" s="951">
        <v>236180.51061000003</v>
      </c>
      <c r="D114" s="951">
        <v>97008.56839</v>
      </c>
      <c r="E114" s="951">
        <v>120726.25141</v>
      </c>
      <c r="F114" s="951">
        <v>582943.54106000008</v>
      </c>
      <c r="G114" s="951">
        <v>371034.50592999998</v>
      </c>
      <c r="H114" s="951">
        <v>923580.85191999993</v>
      </c>
      <c r="I114" s="951">
        <v>356500.92599999998</v>
      </c>
      <c r="J114" s="951">
        <v>99176.373030000002</v>
      </c>
      <c r="K114" s="951">
        <v>1107956.76605</v>
      </c>
      <c r="L114" s="951">
        <v>61396.459900000002</v>
      </c>
      <c r="M114" s="951">
        <v>607501.43358000007</v>
      </c>
      <c r="N114" s="951">
        <v>64066.303329999995</v>
      </c>
      <c r="O114" s="951">
        <f t="shared" si="2"/>
        <v>4628072.4912099997</v>
      </c>
      <c r="P114" s="919"/>
      <c r="Q114" s="919"/>
    </row>
    <row r="115" spans="2:17" hidden="1">
      <c r="B115" s="950" t="s">
        <v>338</v>
      </c>
      <c r="C115" s="951">
        <v>218386.78128000002</v>
      </c>
      <c r="D115" s="951">
        <v>103914.22739000001</v>
      </c>
      <c r="E115" s="951">
        <v>134181.79474000001</v>
      </c>
      <c r="F115" s="951">
        <v>569660.72973999986</v>
      </c>
      <c r="G115" s="951">
        <v>362400.17293999996</v>
      </c>
      <c r="H115" s="951">
        <v>973333.32759999973</v>
      </c>
      <c r="I115" s="951">
        <v>316490.83579000004</v>
      </c>
      <c r="J115" s="951">
        <v>58856.904459999991</v>
      </c>
      <c r="K115" s="951">
        <v>1128688.7254199998</v>
      </c>
      <c r="L115" s="951">
        <v>72063.32779000001</v>
      </c>
      <c r="M115" s="951">
        <v>601813.82504999987</v>
      </c>
      <c r="N115" s="951">
        <v>61833.175649999997</v>
      </c>
      <c r="O115" s="951">
        <f t="shared" si="2"/>
        <v>4601623.8278499991</v>
      </c>
      <c r="P115" s="919"/>
    </row>
    <row r="116" spans="2:17" hidden="1">
      <c r="B116" s="950" t="s">
        <v>339</v>
      </c>
      <c r="C116" s="951">
        <v>207280.19443</v>
      </c>
      <c r="D116" s="951">
        <v>99727.926919999998</v>
      </c>
      <c r="E116" s="951">
        <v>138781.20933000001</v>
      </c>
      <c r="F116" s="951">
        <v>593284.94871999999</v>
      </c>
      <c r="G116" s="951">
        <v>348779.73379999993</v>
      </c>
      <c r="H116" s="951">
        <v>1035696.98012</v>
      </c>
      <c r="I116" s="951">
        <v>370456.93400000007</v>
      </c>
      <c r="J116" s="951">
        <v>63986.106140000004</v>
      </c>
      <c r="K116" s="951">
        <v>1114413.7070799998</v>
      </c>
      <c r="L116" s="951">
        <v>65391.890350000001</v>
      </c>
      <c r="M116" s="951">
        <v>622329.23840000003</v>
      </c>
      <c r="N116" s="951">
        <v>69058.912230000016</v>
      </c>
      <c r="O116" s="951">
        <f t="shared" si="2"/>
        <v>4729187.7815199997</v>
      </c>
      <c r="P116" s="919"/>
    </row>
    <row r="117" spans="2:17" hidden="1">
      <c r="B117" s="950" t="s">
        <v>340</v>
      </c>
      <c r="C117" s="951">
        <v>233004.46398000003</v>
      </c>
      <c r="D117" s="951">
        <v>97248.752649999995</v>
      </c>
      <c r="E117" s="951">
        <v>153590.83585000003</v>
      </c>
      <c r="F117" s="951">
        <v>596904.75058999995</v>
      </c>
      <c r="G117" s="951">
        <v>365366.83756000001</v>
      </c>
      <c r="H117" s="951">
        <v>997123.0038699999</v>
      </c>
      <c r="I117" s="951">
        <v>356522.02371000004</v>
      </c>
      <c r="J117" s="951">
        <v>64413.698309999992</v>
      </c>
      <c r="K117" s="951">
        <v>1227979.0153600001</v>
      </c>
      <c r="L117" s="951">
        <v>67005.781239999997</v>
      </c>
      <c r="M117" s="951">
        <v>621307.82375999994</v>
      </c>
      <c r="N117" s="951">
        <v>73076.243799999997</v>
      </c>
      <c r="O117" s="951">
        <f t="shared" si="2"/>
        <v>4853543.2306799991</v>
      </c>
      <c r="P117" s="971"/>
    </row>
    <row r="118" spans="2:17" hidden="1">
      <c r="B118" s="950" t="s">
        <v>341</v>
      </c>
      <c r="C118" s="951">
        <v>236724.3</v>
      </c>
      <c r="D118" s="951">
        <v>101117.1</v>
      </c>
      <c r="E118" s="951">
        <v>155483.5</v>
      </c>
      <c r="F118" s="951">
        <v>616359.75995999982</v>
      </c>
      <c r="G118" s="951">
        <v>346375.9</v>
      </c>
      <c r="H118" s="951">
        <v>1046195.2</v>
      </c>
      <c r="I118" s="951">
        <v>366312.8</v>
      </c>
      <c r="J118" s="951">
        <v>57884.977179999994</v>
      </c>
      <c r="K118" s="951">
        <v>1365673.5</v>
      </c>
      <c r="L118" s="951">
        <v>73805.899999999994</v>
      </c>
      <c r="M118" s="951">
        <v>595219.77732000011</v>
      </c>
      <c r="N118" s="951">
        <v>70669.7</v>
      </c>
      <c r="O118" s="951">
        <f t="shared" si="2"/>
        <v>5031822.4144599997</v>
      </c>
      <c r="P118" s="919"/>
    </row>
    <row r="119" spans="2:17" hidden="1">
      <c r="B119" s="950" t="s">
        <v>342</v>
      </c>
      <c r="C119" s="951">
        <v>239373.91155799999</v>
      </c>
      <c r="D119" s="951">
        <v>107235.65878</v>
      </c>
      <c r="E119" s="951">
        <v>160641.20992999995</v>
      </c>
      <c r="F119" s="951">
        <v>578487.31046999991</v>
      </c>
      <c r="G119" s="951">
        <v>344681.91527999996</v>
      </c>
      <c r="H119" s="951">
        <v>988274.65883000009</v>
      </c>
      <c r="I119" s="951">
        <v>363815.80418000004</v>
      </c>
      <c r="J119" s="951">
        <v>63997.976609999998</v>
      </c>
      <c r="K119" s="951">
        <v>1384083.1925399995</v>
      </c>
      <c r="L119" s="951">
        <v>76834.025689999995</v>
      </c>
      <c r="M119" s="951">
        <v>593827.73623000004</v>
      </c>
      <c r="N119" s="951">
        <v>73608.831569999995</v>
      </c>
      <c r="O119" s="951">
        <f t="shared" si="2"/>
        <v>4974862.2316679992</v>
      </c>
      <c r="P119" s="919"/>
    </row>
    <row r="120" spans="2:17" hidden="1">
      <c r="B120" s="950" t="s">
        <v>343</v>
      </c>
      <c r="C120" s="951">
        <v>318652.7</v>
      </c>
      <c r="D120" s="951">
        <v>107089.5</v>
      </c>
      <c r="E120" s="951">
        <v>189581.3</v>
      </c>
      <c r="F120" s="951">
        <v>597290.03</v>
      </c>
      <c r="G120" s="951">
        <v>329147.3</v>
      </c>
      <c r="H120" s="951">
        <v>992135.7</v>
      </c>
      <c r="I120" s="951">
        <v>411467.8</v>
      </c>
      <c r="J120" s="951">
        <v>150691.6</v>
      </c>
      <c r="K120" s="951">
        <v>1337295.6000000001</v>
      </c>
      <c r="L120" s="951">
        <v>79405.2</v>
      </c>
      <c r="M120" s="951">
        <v>591639</v>
      </c>
      <c r="N120" s="951">
        <v>71016.3</v>
      </c>
      <c r="O120" s="951">
        <f t="shared" si="2"/>
        <v>5175412.03</v>
      </c>
      <c r="P120" s="919"/>
    </row>
    <row r="121" spans="2:17" hidden="1">
      <c r="B121" s="1019" t="s">
        <v>344</v>
      </c>
      <c r="C121" s="951">
        <v>258814.9</v>
      </c>
      <c r="D121" s="951">
        <v>110009.2</v>
      </c>
      <c r="E121" s="951">
        <v>202260.4</v>
      </c>
      <c r="F121" s="951">
        <v>593362.24334000004</v>
      </c>
      <c r="G121" s="951">
        <v>348457</v>
      </c>
      <c r="H121" s="951">
        <v>1020795</v>
      </c>
      <c r="I121" s="951">
        <v>382615.8</v>
      </c>
      <c r="J121" s="951">
        <v>81542.7</v>
      </c>
      <c r="K121" s="951">
        <v>1466867.2199462163</v>
      </c>
      <c r="L121" s="951">
        <v>82186.5</v>
      </c>
      <c r="M121" s="951">
        <v>592932.5</v>
      </c>
      <c r="N121" s="951">
        <v>76874.942490000001</v>
      </c>
      <c r="O121" s="951">
        <f t="shared" si="2"/>
        <v>5216718.4057762166</v>
      </c>
      <c r="P121" s="919"/>
    </row>
    <row r="122" spans="2:17" hidden="1">
      <c r="B122" s="950"/>
      <c r="C122" s="951"/>
      <c r="D122" s="951"/>
      <c r="E122" s="951"/>
      <c r="F122" s="594" t="s">
        <v>1625</v>
      </c>
      <c r="G122" s="951"/>
      <c r="H122" s="951"/>
      <c r="I122" s="951"/>
      <c r="J122" s="951"/>
      <c r="K122" s="951"/>
      <c r="L122" s="951"/>
      <c r="M122" s="951"/>
      <c r="N122" s="951"/>
      <c r="O122" s="951"/>
      <c r="P122" s="919"/>
    </row>
    <row r="123" spans="2:17">
      <c r="B123" s="952">
        <v>2017</v>
      </c>
      <c r="C123" s="951"/>
      <c r="D123" s="951"/>
      <c r="E123" s="951"/>
      <c r="F123" s="951"/>
      <c r="G123" s="951"/>
      <c r="H123" s="951"/>
      <c r="I123" s="951"/>
      <c r="J123" s="951"/>
      <c r="K123" s="951"/>
      <c r="L123" s="951"/>
      <c r="M123" s="951"/>
      <c r="N123" s="951"/>
      <c r="O123" s="951"/>
      <c r="P123" s="919"/>
    </row>
    <row r="124" spans="2:17" hidden="1">
      <c r="B124" s="950" t="s">
        <v>345</v>
      </c>
      <c r="C124" s="951">
        <v>236437.25367475915</v>
      </c>
      <c r="D124" s="951">
        <v>108552.51954178423</v>
      </c>
      <c r="E124" s="951">
        <v>230965.43931665801</v>
      </c>
      <c r="F124" s="951">
        <v>618213.54776596895</v>
      </c>
      <c r="G124" s="951">
        <v>339580.33039886318</v>
      </c>
      <c r="H124" s="951">
        <v>1002775.4019393576</v>
      </c>
      <c r="I124" s="951">
        <v>382746.34790716361</v>
      </c>
      <c r="J124" s="951">
        <v>86115.006055768914</v>
      </c>
      <c r="K124" s="951">
        <v>1393941.2282511259</v>
      </c>
      <c r="L124" s="951">
        <v>82670.753979081637</v>
      </c>
      <c r="M124" s="951">
        <v>589549.86044624005</v>
      </c>
      <c r="N124" s="951">
        <v>85602.290519999995</v>
      </c>
      <c r="O124" s="951">
        <f t="shared" si="2"/>
        <v>5157149.979796771</v>
      </c>
      <c r="P124" s="919"/>
    </row>
    <row r="125" spans="2:17" hidden="1">
      <c r="B125" s="950" t="s">
        <v>334</v>
      </c>
      <c r="C125" s="951">
        <v>254463.92732000002</v>
      </c>
      <c r="D125" s="951">
        <v>112294.40529999998</v>
      </c>
      <c r="E125" s="951">
        <v>226877.90341000003</v>
      </c>
      <c r="F125" s="951">
        <v>613080.10578999994</v>
      </c>
      <c r="G125" s="951">
        <v>312948.54148000001</v>
      </c>
      <c r="H125" s="951">
        <v>997181.24651000008</v>
      </c>
      <c r="I125" s="951">
        <v>393542.83301999996</v>
      </c>
      <c r="J125" s="951">
        <v>121798.69799000002</v>
      </c>
      <c r="K125" s="951">
        <v>1402647.6150499997</v>
      </c>
      <c r="L125" s="951">
        <v>91521.740550000002</v>
      </c>
      <c r="M125" s="951">
        <v>604324.96557</v>
      </c>
      <c r="N125" s="951">
        <v>84653.299429999999</v>
      </c>
      <c r="O125" s="951">
        <f t="shared" si="2"/>
        <v>5215335.281419999</v>
      </c>
      <c r="P125" s="919"/>
    </row>
    <row r="126" spans="2:17" hidden="1">
      <c r="B126" s="950" t="s">
        <v>335</v>
      </c>
      <c r="C126" s="951">
        <v>299519.04931999993</v>
      </c>
      <c r="D126" s="951">
        <v>118530.14873999999</v>
      </c>
      <c r="E126" s="951">
        <v>232990.62168000004</v>
      </c>
      <c r="F126" s="951">
        <v>626986.60930999997</v>
      </c>
      <c r="G126" s="951">
        <v>308297.88710999995</v>
      </c>
      <c r="H126" s="951">
        <v>1049255.6998699999</v>
      </c>
      <c r="I126" s="951">
        <v>402864.17080999998</v>
      </c>
      <c r="J126" s="951">
        <v>170835.1446</v>
      </c>
      <c r="K126" s="951">
        <v>1400323.5413000002</v>
      </c>
      <c r="L126" s="951">
        <v>102287.67841999998</v>
      </c>
      <c r="M126" s="951">
        <v>610024.35341999994</v>
      </c>
      <c r="N126" s="951">
        <v>91045.989889999997</v>
      </c>
      <c r="O126" s="951">
        <f t="shared" si="2"/>
        <v>5412960.8944699997</v>
      </c>
      <c r="P126" s="919"/>
    </row>
    <row r="127" spans="2:17" hidden="1">
      <c r="B127" s="950" t="s">
        <v>336</v>
      </c>
      <c r="C127" s="951">
        <v>281219.8</v>
      </c>
      <c r="D127" s="951">
        <v>117174.3</v>
      </c>
      <c r="E127" s="951">
        <v>235093.5</v>
      </c>
      <c r="F127" s="951">
        <v>687962.2</v>
      </c>
      <c r="G127" s="951">
        <v>307711.40000000002</v>
      </c>
      <c r="H127" s="951">
        <v>1013362.6</v>
      </c>
      <c r="I127" s="951">
        <v>400018.9</v>
      </c>
      <c r="J127" s="951">
        <v>190005.8</v>
      </c>
      <c r="K127" s="951">
        <v>1432953.1</v>
      </c>
      <c r="L127" s="951">
        <v>110258.7</v>
      </c>
      <c r="M127" s="951">
        <v>650595.9</v>
      </c>
      <c r="N127" s="951">
        <v>102681</v>
      </c>
      <c r="O127" s="951">
        <f t="shared" si="2"/>
        <v>5529037.2000000002</v>
      </c>
      <c r="P127" s="919"/>
    </row>
    <row r="128" spans="2:17" hidden="1">
      <c r="B128" s="950" t="s">
        <v>337</v>
      </c>
      <c r="C128" s="951">
        <v>301531.20146000001</v>
      </c>
      <c r="D128" s="951">
        <v>113685.51492999999</v>
      </c>
      <c r="E128" s="951">
        <v>220541.82584</v>
      </c>
      <c r="F128" s="951">
        <v>679781.37256999989</v>
      </c>
      <c r="G128" s="951">
        <v>320878.23368999996</v>
      </c>
      <c r="H128" s="951">
        <v>1019941.1054900001</v>
      </c>
      <c r="I128" s="951">
        <v>417418.45023000002</v>
      </c>
      <c r="J128" s="951">
        <v>175383.42845000001</v>
      </c>
      <c r="K128" s="951">
        <v>1454718.2799299997</v>
      </c>
      <c r="L128" s="951">
        <v>108366.53335</v>
      </c>
      <c r="M128" s="951">
        <v>667019.71316000004</v>
      </c>
      <c r="N128" s="951">
        <v>71770.175029999999</v>
      </c>
      <c r="O128" s="951">
        <f t="shared" si="2"/>
        <v>5551035.8341299994</v>
      </c>
      <c r="P128" s="919"/>
    </row>
    <row r="129" spans="2:17">
      <c r="B129" s="950" t="s">
        <v>338</v>
      </c>
      <c r="C129" s="951">
        <v>295920.41865647002</v>
      </c>
      <c r="D129" s="951">
        <v>109937.97252999998</v>
      </c>
      <c r="E129" s="951">
        <v>248436.29179094659</v>
      </c>
      <c r="F129" s="951">
        <v>712648.03859000001</v>
      </c>
      <c r="G129" s="951">
        <v>334368.69313016767</v>
      </c>
      <c r="H129" s="951">
        <v>1121023.54372</v>
      </c>
      <c r="I129" s="951">
        <v>408604.02927000006</v>
      </c>
      <c r="J129" s="951">
        <v>185262.29231230236</v>
      </c>
      <c r="K129" s="951">
        <v>1521876.3451601544</v>
      </c>
      <c r="L129" s="951">
        <v>107327.12074</v>
      </c>
      <c r="M129" s="951">
        <v>697997.68995920266</v>
      </c>
      <c r="N129" s="951">
        <v>74195.383039999986</v>
      </c>
      <c r="O129" s="951">
        <f t="shared" si="2"/>
        <v>5817597.8188992431</v>
      </c>
      <c r="P129" s="919"/>
    </row>
    <row r="130" spans="2:17">
      <c r="B130" s="950" t="s">
        <v>339</v>
      </c>
      <c r="C130" s="951">
        <v>309864.66093009192</v>
      </c>
      <c r="D130" s="951">
        <v>126628.52919160911</v>
      </c>
      <c r="E130" s="951">
        <v>262827.7366471407</v>
      </c>
      <c r="F130" s="951">
        <v>587617.14291754377</v>
      </c>
      <c r="G130" s="951">
        <v>341371.50129792199</v>
      </c>
      <c r="H130" s="951">
        <v>1143423.7663802265</v>
      </c>
      <c r="I130" s="951">
        <v>423846.60389403516</v>
      </c>
      <c r="J130" s="951">
        <v>191273.55650686388</v>
      </c>
      <c r="K130" s="951">
        <v>1599344.4028920035</v>
      </c>
      <c r="L130" s="951">
        <v>99509.776031144473</v>
      </c>
      <c r="M130" s="951">
        <v>680622.576089215</v>
      </c>
      <c r="N130" s="951">
        <v>76164.359599999996</v>
      </c>
      <c r="O130" s="951">
        <f t="shared" si="2"/>
        <v>5842494.6123777963</v>
      </c>
      <c r="P130" s="919"/>
    </row>
    <row r="131" spans="2:17">
      <c r="B131" s="950" t="s">
        <v>340</v>
      </c>
      <c r="C131" s="951">
        <v>302611.33013000002</v>
      </c>
      <c r="D131" s="951">
        <v>149014.85892</v>
      </c>
      <c r="E131" s="951">
        <v>296550.59057</v>
      </c>
      <c r="F131" s="951">
        <v>914686.75482999999</v>
      </c>
      <c r="G131" s="951">
        <v>346236.82908999996</v>
      </c>
      <c r="H131" s="951">
        <v>1131207.4649200002</v>
      </c>
      <c r="I131" s="951">
        <v>453583.97487999999</v>
      </c>
      <c r="J131" s="951">
        <v>169521.18061000001</v>
      </c>
      <c r="K131" s="951">
        <v>1562637.1895899998</v>
      </c>
      <c r="L131" s="951">
        <v>111394.61289</v>
      </c>
      <c r="M131" s="951">
        <v>746644.54058000003</v>
      </c>
      <c r="N131" s="951">
        <v>90999.429889999999</v>
      </c>
      <c r="O131" s="951">
        <f t="shared" si="2"/>
        <v>6275088.7569000013</v>
      </c>
      <c r="P131" s="919"/>
    </row>
    <row r="132" spans="2:17">
      <c r="B132" s="950" t="s">
        <v>341</v>
      </c>
      <c r="C132" s="951">
        <v>348786.30070646992</v>
      </c>
      <c r="D132" s="951">
        <v>146383.02579000001</v>
      </c>
      <c r="E132" s="951">
        <v>286092.4199809467</v>
      </c>
      <c r="F132" s="951">
        <v>796517.06822999998</v>
      </c>
      <c r="G132" s="951">
        <v>340224.66416016762</v>
      </c>
      <c r="H132" s="951">
        <v>1072979.93414</v>
      </c>
      <c r="I132" s="951">
        <v>571373.68535000004</v>
      </c>
      <c r="J132" s="951">
        <v>211076.9586023023</v>
      </c>
      <c r="K132" s="951">
        <v>1705640.5941701543</v>
      </c>
      <c r="L132" s="951">
        <v>122645.58934000002</v>
      </c>
      <c r="M132" s="951">
        <v>747874.42132020276</v>
      </c>
      <c r="N132" s="951">
        <v>72254.967310000007</v>
      </c>
      <c r="O132" s="951">
        <f>(SUM(C132:N132))</f>
        <v>6421849.6291002445</v>
      </c>
      <c r="P132" s="919"/>
    </row>
    <row r="133" spans="2:17">
      <c r="B133" s="950" t="s">
        <v>342</v>
      </c>
      <c r="C133" s="951">
        <v>345521.039324107</v>
      </c>
      <c r="D133" s="951">
        <v>138274.86671445999</v>
      </c>
      <c r="E133" s="951">
        <v>238975.93692110101</v>
      </c>
      <c r="F133" s="951">
        <v>778597.08122588496</v>
      </c>
      <c r="G133" s="951">
        <v>355135.927693373</v>
      </c>
      <c r="H133" s="951">
        <v>1138203.7051707101</v>
      </c>
      <c r="I133" s="951">
        <v>565046.35897855798</v>
      </c>
      <c r="J133" s="951">
        <v>259285.23477810601</v>
      </c>
      <c r="K133" s="951">
        <v>1694691.3690607999</v>
      </c>
      <c r="L133" s="951">
        <v>123908.77225903</v>
      </c>
      <c r="M133" s="951">
        <v>741652.01780940499</v>
      </c>
      <c r="N133" s="951">
        <v>72254.967310000007</v>
      </c>
      <c r="O133" s="951">
        <f>(SUM(C133:N133))</f>
        <v>6451547.2772455346</v>
      </c>
      <c r="P133" s="919"/>
    </row>
    <row r="134" spans="2:17">
      <c r="B134" s="950" t="s">
        <v>343</v>
      </c>
      <c r="C134" s="951">
        <v>336339.26314675075</v>
      </c>
      <c r="D134" s="951">
        <v>144708.5454862242</v>
      </c>
      <c r="E134" s="951">
        <v>239524.31861379428</v>
      </c>
      <c r="F134" s="951">
        <v>927820.82941046148</v>
      </c>
      <c r="G134" s="951">
        <v>362515.38449690014</v>
      </c>
      <c r="H134" s="951">
        <v>986824.58566607966</v>
      </c>
      <c r="I134" s="951">
        <v>629010.42381692585</v>
      </c>
      <c r="J134" s="951">
        <v>250132.7130707904</v>
      </c>
      <c r="K134" s="951">
        <v>1694043.4713931042</v>
      </c>
      <c r="L134" s="951">
        <v>131768.32627699096</v>
      </c>
      <c r="M134" s="951">
        <v>761400.4615692501</v>
      </c>
      <c r="N134" s="951">
        <v>72254.967310000007</v>
      </c>
      <c r="O134" s="951">
        <f>(SUM(C134:N134))</f>
        <v>6536343.2902572714</v>
      </c>
      <c r="P134" s="919"/>
      <c r="Q134" s="594">
        <v>1000</v>
      </c>
    </row>
    <row r="135" spans="2:17">
      <c r="B135" s="950" t="s">
        <v>344</v>
      </c>
      <c r="C135" s="951">
        <v>317794.77372000006</v>
      </c>
      <c r="D135" s="951">
        <v>160261.73041999998</v>
      </c>
      <c r="E135" s="951">
        <v>284829.73352999997</v>
      </c>
      <c r="F135" s="951">
        <v>890549.36547000008</v>
      </c>
      <c r="G135" s="951">
        <v>375616.37222000002</v>
      </c>
      <c r="H135" s="951">
        <v>1073707.02235</v>
      </c>
      <c r="I135" s="951">
        <v>686933.35130999994</v>
      </c>
      <c r="J135" s="951">
        <v>257197.19586000001</v>
      </c>
      <c r="K135" s="951">
        <v>1712823.8560299999</v>
      </c>
      <c r="L135" s="951">
        <v>143466.10483000003</v>
      </c>
      <c r="M135" s="951">
        <v>711031.55888999999</v>
      </c>
      <c r="N135" s="951">
        <v>62444.789200000007</v>
      </c>
      <c r="O135" s="951">
        <f>(SUM(C135:N135))</f>
        <v>6676655.8538299995</v>
      </c>
      <c r="P135" s="919"/>
    </row>
    <row r="136" spans="2:17">
      <c r="B136" s="950"/>
      <c r="C136" s="951"/>
      <c r="D136" s="951"/>
      <c r="E136" s="951"/>
      <c r="F136" s="951"/>
      <c r="G136" s="951"/>
      <c r="H136" s="951"/>
      <c r="I136" s="951"/>
      <c r="J136" s="951"/>
      <c r="K136" s="951"/>
      <c r="L136" s="951"/>
      <c r="M136" s="951"/>
      <c r="N136" s="951"/>
      <c r="O136" s="951"/>
      <c r="P136" s="919"/>
    </row>
    <row r="137" spans="2:17">
      <c r="B137" s="952">
        <v>2018</v>
      </c>
      <c r="C137" s="951"/>
      <c r="D137" s="951"/>
      <c r="E137" s="951"/>
      <c r="F137" s="951"/>
      <c r="G137" s="951"/>
      <c r="H137" s="951"/>
      <c r="I137" s="951"/>
      <c r="J137" s="951"/>
      <c r="K137" s="951"/>
      <c r="L137" s="951"/>
      <c r="M137" s="951"/>
      <c r="N137" s="951"/>
      <c r="O137" s="951"/>
      <c r="P137" s="919"/>
    </row>
    <row r="138" spans="2:17">
      <c r="B138" s="950" t="s">
        <v>345</v>
      </c>
      <c r="C138" s="951">
        <v>380283.82335183839</v>
      </c>
      <c r="D138" s="951">
        <v>151435.95481814837</v>
      </c>
      <c r="E138" s="951">
        <v>257298.19016478676</v>
      </c>
      <c r="F138" s="951">
        <v>918787.61971894966</v>
      </c>
      <c r="G138" s="951">
        <v>365354.64530370373</v>
      </c>
      <c r="H138" s="951">
        <v>1050097.6908579853</v>
      </c>
      <c r="I138" s="951">
        <v>652999.02918578743</v>
      </c>
      <c r="J138" s="951">
        <v>248932.98661887468</v>
      </c>
      <c r="K138" s="951">
        <v>1757391.8224178168</v>
      </c>
      <c r="L138" s="951">
        <v>141913.19479159341</v>
      </c>
      <c r="M138" s="951">
        <v>669049.80623748538</v>
      </c>
      <c r="N138" s="951">
        <v>67904.665049999996</v>
      </c>
      <c r="O138" s="951">
        <f>SUM(C138:N138)</f>
        <v>6661449.42851697</v>
      </c>
      <c r="P138" s="919"/>
    </row>
    <row r="139" spans="2:17">
      <c r="B139" s="950" t="s">
        <v>334</v>
      </c>
      <c r="C139" s="951">
        <v>455217</v>
      </c>
      <c r="D139" s="951">
        <v>224070.1</v>
      </c>
      <c r="E139" s="951">
        <v>263961.90000000002</v>
      </c>
      <c r="F139" s="951">
        <v>897453.2</v>
      </c>
      <c r="G139" s="951">
        <v>399016.2</v>
      </c>
      <c r="H139" s="951">
        <v>949795.6</v>
      </c>
      <c r="I139" s="951">
        <v>674828.4</v>
      </c>
      <c r="J139" s="951">
        <v>354052.8</v>
      </c>
      <c r="K139" s="951">
        <v>1701611.4</v>
      </c>
      <c r="L139" s="951">
        <v>107779.5</v>
      </c>
      <c r="M139" s="951">
        <v>680060.2</v>
      </c>
      <c r="N139" s="951">
        <v>67686.399999999994</v>
      </c>
      <c r="O139" s="951">
        <f t="shared" ref="O139:O145" si="3">SUM(C139:N139)</f>
        <v>6775532.7000000002</v>
      </c>
      <c r="P139" s="919"/>
    </row>
    <row r="140" spans="2:17">
      <c r="B140" s="950" t="s">
        <v>335</v>
      </c>
      <c r="C140" s="951">
        <v>451992.50841603102</v>
      </c>
      <c r="D140" s="951">
        <v>142332.94482175278</v>
      </c>
      <c r="E140" s="951">
        <v>296309.99919129937</v>
      </c>
      <c r="F140" s="951">
        <v>825805.46252499567</v>
      </c>
      <c r="G140" s="951">
        <v>376592.96832711628</v>
      </c>
      <c r="H140" s="951">
        <v>1001674.2983842834</v>
      </c>
      <c r="I140" s="951">
        <v>597436.8085823562</v>
      </c>
      <c r="J140" s="951">
        <v>253127.36529919732</v>
      </c>
      <c r="K140" s="951">
        <v>1827464.3159510854</v>
      </c>
      <c r="L140" s="951">
        <v>163971.72951253186</v>
      </c>
      <c r="M140" s="951">
        <v>597436.8085823562</v>
      </c>
      <c r="N140" s="951">
        <v>63604.304259999997</v>
      </c>
      <c r="O140" s="951">
        <f t="shared" si="3"/>
        <v>6597749.5138530051</v>
      </c>
      <c r="P140" s="919"/>
    </row>
    <row r="141" spans="2:17">
      <c r="B141" s="950" t="s">
        <v>336</v>
      </c>
      <c r="C141" s="951">
        <v>476448.12267401122</v>
      </c>
      <c r="D141" s="951">
        <v>144564.55029014306</v>
      </c>
      <c r="E141" s="951">
        <v>310795.64052132121</v>
      </c>
      <c r="F141" s="951">
        <v>806144.7381069978</v>
      </c>
      <c r="G141" s="951">
        <v>364824.60514146159</v>
      </c>
      <c r="H141" s="951">
        <v>988527.15950270917</v>
      </c>
      <c r="I141" s="951">
        <v>649893.0118729152</v>
      </c>
      <c r="J141" s="951">
        <v>255761.78946592056</v>
      </c>
      <c r="K141" s="951">
        <v>1892415.2429968591</v>
      </c>
      <c r="L141" s="951">
        <v>179252.34885791398</v>
      </c>
      <c r="M141" s="951">
        <v>712565.90617355006</v>
      </c>
      <c r="N141" s="951">
        <v>65398.24022</v>
      </c>
      <c r="O141" s="951">
        <f t="shared" si="3"/>
        <v>6846591.3558238028</v>
      </c>
      <c r="P141" s="919"/>
    </row>
    <row r="142" spans="2:17">
      <c r="B142" s="950" t="s">
        <v>337</v>
      </c>
      <c r="C142" s="951">
        <v>494612.84136160865</v>
      </c>
      <c r="D142" s="951">
        <v>152567.38001265025</v>
      </c>
      <c r="E142" s="951">
        <v>350409.16622720193</v>
      </c>
      <c r="F142" s="951">
        <v>874140.46182636695</v>
      </c>
      <c r="G142" s="951">
        <v>374089.94094592467</v>
      </c>
      <c r="H142" s="951">
        <v>1097970.6963580512</v>
      </c>
      <c r="I142" s="951">
        <v>700891.89744956186</v>
      </c>
      <c r="J142" s="951">
        <v>271891.95298278303</v>
      </c>
      <c r="K142" s="951">
        <v>1913394.8623219961</v>
      </c>
      <c r="L142" s="951">
        <v>186192.54035638593</v>
      </c>
      <c r="M142" s="951">
        <v>745592.73922055191</v>
      </c>
      <c r="N142" s="951">
        <v>64970.699810000006</v>
      </c>
      <c r="O142" s="951">
        <f t="shared" si="3"/>
        <v>7226725.1788730826</v>
      </c>
      <c r="P142" s="919"/>
    </row>
    <row r="143" spans="2:17">
      <c r="B143" s="950" t="s">
        <v>338</v>
      </c>
      <c r="C143" s="951">
        <v>465983.99231584644</v>
      </c>
      <c r="D143" s="951">
        <v>164242.32783921223</v>
      </c>
      <c r="E143" s="951">
        <v>391142.28198955103</v>
      </c>
      <c r="F143" s="951">
        <v>948703.00809206546</v>
      </c>
      <c r="G143" s="951">
        <v>368260.10921359248</v>
      </c>
      <c r="H143" s="951">
        <v>1140652.8797398999</v>
      </c>
      <c r="I143" s="951">
        <v>754981.07130549487</v>
      </c>
      <c r="J143" s="951">
        <v>324355.75477481424</v>
      </c>
      <c r="K143" s="951">
        <v>2160400.4416805068</v>
      </c>
      <c r="L143" s="951">
        <v>200774.27576266421</v>
      </c>
      <c r="M143" s="951">
        <v>779012.77375382965</v>
      </c>
      <c r="N143" s="951">
        <v>64786.271789999999</v>
      </c>
      <c r="O143" s="951">
        <f t="shared" si="3"/>
        <v>7763295.1882574763</v>
      </c>
      <c r="P143" s="919"/>
    </row>
    <row r="144" spans="2:17">
      <c r="B144" s="950" t="s">
        <v>339</v>
      </c>
      <c r="C144" s="951">
        <v>445779.96346656623</v>
      </c>
      <c r="D144" s="951">
        <v>226432.96105930471</v>
      </c>
      <c r="E144" s="951">
        <v>413409.05631297443</v>
      </c>
      <c r="F144" s="951">
        <v>955925.58209992026</v>
      </c>
      <c r="G144" s="951">
        <v>420416.63451791555</v>
      </c>
      <c r="H144" s="951">
        <v>1120834.7481077022</v>
      </c>
      <c r="I144" s="951">
        <v>760588.20532990084</v>
      </c>
      <c r="J144" s="951">
        <v>321078.39333181595</v>
      </c>
      <c r="K144" s="951">
        <v>2192743.2465689578</v>
      </c>
      <c r="L144" s="951">
        <v>200523.55276201703</v>
      </c>
      <c r="M144" s="951">
        <v>822857.62130695628</v>
      </c>
      <c r="N144" s="951">
        <v>64786.271789999999</v>
      </c>
      <c r="O144" s="951">
        <f t="shared" si="3"/>
        <v>7945376.2366540302</v>
      </c>
      <c r="P144" s="919"/>
    </row>
    <row r="145" spans="2:17">
      <c r="B145" s="950" t="s">
        <v>340</v>
      </c>
      <c r="C145" s="951">
        <v>429439.90496945241</v>
      </c>
      <c r="D145" s="951">
        <v>189497.96761052706</v>
      </c>
      <c r="E145" s="951">
        <v>386595.63702974847</v>
      </c>
      <c r="F145" s="951">
        <v>980354.11146993528</v>
      </c>
      <c r="G145" s="951">
        <v>429659.6942489068</v>
      </c>
      <c r="H145" s="951">
        <v>1091202.8533323712</v>
      </c>
      <c r="I145" s="951">
        <v>782008.67986113287</v>
      </c>
      <c r="J145" s="951">
        <v>297412.27270407422</v>
      </c>
      <c r="K145" s="951">
        <v>1968724.007859675</v>
      </c>
      <c r="L145" s="951">
        <v>196068.82914676398</v>
      </c>
      <c r="M145" s="951">
        <v>836719.05691825657</v>
      </c>
      <c r="N145" s="951">
        <v>64786.271789999999</v>
      </c>
      <c r="O145" s="951">
        <f t="shared" si="3"/>
        <v>7652469.2869408447</v>
      </c>
      <c r="P145" s="919"/>
    </row>
    <row r="146" spans="2:17">
      <c r="B146" s="950" t="s">
        <v>341</v>
      </c>
      <c r="C146" s="951">
        <v>447556.40464945242</v>
      </c>
      <c r="D146" s="951">
        <v>206194.06774052704</v>
      </c>
      <c r="E146" s="951">
        <v>382491.51783974835</v>
      </c>
      <c r="F146" s="951">
        <v>1186453.6694699354</v>
      </c>
      <c r="G146" s="951">
        <v>444599.06224890682</v>
      </c>
      <c r="H146" s="951">
        <v>1070365.0536323711</v>
      </c>
      <c r="I146" s="951">
        <v>811296.205731133</v>
      </c>
      <c r="J146" s="951">
        <v>302579.33994407416</v>
      </c>
      <c r="K146" s="951">
        <v>2059093.1367996749</v>
      </c>
      <c r="L146" s="951">
        <v>247105.72780676399</v>
      </c>
      <c r="M146" s="951">
        <v>906767.57888825634</v>
      </c>
      <c r="N146" s="951">
        <v>84514.518509999994</v>
      </c>
      <c r="O146" s="951">
        <f>SUM(C146:N146)</f>
        <v>8149016.2832608437</v>
      </c>
      <c r="P146" s="919"/>
    </row>
    <row r="147" spans="2:17">
      <c r="B147" s="950" t="s">
        <v>342</v>
      </c>
      <c r="C147" s="951">
        <v>445484.370346868</v>
      </c>
      <c r="D147" s="951">
        <v>199531.05955023301</v>
      </c>
      <c r="E147" s="951">
        <v>391968.41269183101</v>
      </c>
      <c r="F147" s="951">
        <v>984701.54115075199</v>
      </c>
      <c r="G147" s="951">
        <v>469891.88954020297</v>
      </c>
      <c r="H147" s="951">
        <v>1153855.9467488599</v>
      </c>
      <c r="I147" s="951">
        <v>846453.28149260103</v>
      </c>
      <c r="J147" s="951">
        <v>315808.53962450498</v>
      </c>
      <c r="K147" s="951">
        <v>2110864.2109936401</v>
      </c>
      <c r="L147" s="951">
        <v>260816.90224520201</v>
      </c>
      <c r="M147" s="951">
        <v>817328.26073762204</v>
      </c>
      <c r="N147" s="951">
        <v>67915.248149999999</v>
      </c>
      <c r="O147" s="951">
        <f>SUM(C147:N147)</f>
        <v>8064619.6632723175</v>
      </c>
      <c r="P147" s="919"/>
    </row>
    <row r="148" spans="2:17">
      <c r="B148" s="950" t="s">
        <v>343</v>
      </c>
      <c r="C148" s="951">
        <v>489192.85849999997</v>
      </c>
      <c r="D148" s="951">
        <v>194869.3504</v>
      </c>
      <c r="E148" s="951">
        <v>391442.37805</v>
      </c>
      <c r="F148" s="951">
        <v>925081.30972000002</v>
      </c>
      <c r="G148" s="951">
        <v>441534.28207999998</v>
      </c>
      <c r="H148" s="951">
        <v>1248555.7954800001</v>
      </c>
      <c r="I148" s="951">
        <v>827349.42541999999</v>
      </c>
      <c r="J148" s="951">
        <v>316945.54446</v>
      </c>
      <c r="K148" s="951">
        <v>2059370.1448900001</v>
      </c>
      <c r="L148" s="951">
        <v>261756.52466</v>
      </c>
      <c r="M148" s="951">
        <v>825642.20449000003</v>
      </c>
      <c r="N148" s="951">
        <v>66458.681049999999</v>
      </c>
      <c r="O148" s="951">
        <f>SUM(C148:N148)</f>
        <v>8048198.4992000004</v>
      </c>
      <c r="P148" s="919"/>
    </row>
    <row r="149" spans="2:17">
      <c r="B149" s="950" t="s">
        <v>344</v>
      </c>
      <c r="C149" s="951">
        <v>494011.34067000001</v>
      </c>
      <c r="D149" s="951">
        <v>201871.00719</v>
      </c>
      <c r="E149" s="951">
        <v>531888.26705999998</v>
      </c>
      <c r="F149" s="951">
        <v>1034592.519</v>
      </c>
      <c r="G149" s="951">
        <v>428738.69485000003</v>
      </c>
      <c r="H149" s="951">
        <v>1196503.1876600001</v>
      </c>
      <c r="I149" s="951">
        <v>823081.9317999999</v>
      </c>
      <c r="J149" s="951">
        <v>331251.28138</v>
      </c>
      <c r="K149" s="951">
        <v>2063550.83256</v>
      </c>
      <c r="L149" s="951">
        <v>278658.99338</v>
      </c>
      <c r="M149" s="951">
        <v>802507.57126</v>
      </c>
      <c r="N149" s="951">
        <v>63361.267540000001</v>
      </c>
      <c r="O149" s="951">
        <f>SUM(C149:N149)</f>
        <v>8250016.8943499997</v>
      </c>
      <c r="P149" s="919"/>
      <c r="Q149" s="594">
        <v>1000</v>
      </c>
    </row>
    <row r="150" spans="2:17">
      <c r="B150" s="950"/>
      <c r="C150" s="951"/>
      <c r="D150" s="951"/>
      <c r="E150" s="951"/>
      <c r="F150" s="951"/>
      <c r="G150" s="951"/>
      <c r="H150" s="951"/>
      <c r="I150" s="951"/>
      <c r="J150" s="951"/>
      <c r="K150" s="951"/>
      <c r="L150" s="951"/>
      <c r="M150" s="951"/>
      <c r="N150" s="951"/>
      <c r="O150" s="951"/>
      <c r="P150" s="919"/>
      <c r="Q150" s="594"/>
    </row>
    <row r="151" spans="2:17">
      <c r="B151" s="1478">
        <v>2019</v>
      </c>
      <c r="C151" s="951"/>
      <c r="D151" s="951"/>
      <c r="E151" s="951"/>
      <c r="F151" s="951"/>
      <c r="G151" s="951"/>
      <c r="H151" s="951"/>
      <c r="I151" s="951"/>
      <c r="J151" s="951"/>
      <c r="K151" s="951"/>
      <c r="L151" s="951"/>
      <c r="M151" s="951"/>
      <c r="N151" s="951"/>
      <c r="O151" s="951"/>
      <c r="P151" s="919"/>
      <c r="Q151" s="594"/>
    </row>
    <row r="152" spans="2:17">
      <c r="B152" s="950" t="s">
        <v>345</v>
      </c>
      <c r="C152" s="951">
        <v>505422.90923990955</v>
      </c>
      <c r="D152" s="951">
        <v>391022.02670277772</v>
      </c>
      <c r="E152" s="951">
        <v>497976.18513949931</v>
      </c>
      <c r="F152" s="951">
        <v>1034948.2259525689</v>
      </c>
      <c r="G152" s="951">
        <v>411945.8733558536</v>
      </c>
      <c r="H152" s="951">
        <v>1187606.6609947111</v>
      </c>
      <c r="I152" s="951">
        <v>882289.73684072727</v>
      </c>
      <c r="J152" s="951">
        <v>322030.26906716177</v>
      </c>
      <c r="K152" s="951">
        <v>2154902.3201561775</v>
      </c>
      <c r="L152" s="951">
        <v>135871.62664782227</v>
      </c>
      <c r="M152" s="951">
        <v>763189.54222245852</v>
      </c>
      <c r="N152" s="951">
        <v>63064.286639999998</v>
      </c>
      <c r="O152" s="951">
        <f>SUM(C152:N152)</f>
        <v>8350269.6629596679</v>
      </c>
      <c r="P152" s="919"/>
      <c r="Q152" s="594"/>
    </row>
    <row r="153" spans="2:17">
      <c r="B153" s="950" t="s">
        <v>334</v>
      </c>
      <c r="C153" s="951">
        <v>512602.33456236997</v>
      </c>
      <c r="D153" s="951">
        <v>374750.60836560401</v>
      </c>
      <c r="E153" s="951">
        <v>394709.14681072801</v>
      </c>
      <c r="F153" s="951">
        <v>936123.623552465</v>
      </c>
      <c r="G153" s="951">
        <v>449800.94329962501</v>
      </c>
      <c r="H153" s="951">
        <v>904919.41874556604</v>
      </c>
      <c r="I153" s="951">
        <v>855348.405493828</v>
      </c>
      <c r="J153" s="951">
        <v>347405.51477827597</v>
      </c>
      <c r="K153" s="951">
        <v>2355866.0515474202</v>
      </c>
      <c r="L153" s="951">
        <v>138685.82495792699</v>
      </c>
      <c r="M153" s="951">
        <v>776949.69882636203</v>
      </c>
      <c r="N153" s="951">
        <v>63097.098859999998</v>
      </c>
      <c r="O153" s="951">
        <f>SUM(C153:N153)</f>
        <v>8110258.6698001716</v>
      </c>
      <c r="P153" s="919"/>
      <c r="Q153" s="594"/>
    </row>
    <row r="154" spans="2:17">
      <c r="B154" s="950" t="s">
        <v>335</v>
      </c>
      <c r="C154" s="951">
        <v>526564.16088139801</v>
      </c>
      <c r="D154" s="951">
        <v>343684.278796667</v>
      </c>
      <c r="E154" s="951">
        <v>376205.61573832401</v>
      </c>
      <c r="F154" s="951">
        <v>937743.42754838197</v>
      </c>
      <c r="G154" s="951">
        <v>393489.34978650598</v>
      </c>
      <c r="H154" s="951">
        <v>1317757.6575502099</v>
      </c>
      <c r="I154" s="951">
        <v>861574.87881346303</v>
      </c>
      <c r="J154" s="951">
        <v>380295.397775836</v>
      </c>
      <c r="K154" s="951">
        <v>2099331.10784422</v>
      </c>
      <c r="L154" s="951">
        <v>141677.23886755001</v>
      </c>
      <c r="M154" s="951">
        <v>773726.38409091905</v>
      </c>
      <c r="N154" s="951">
        <v>63094.903919999997</v>
      </c>
      <c r="O154" s="951">
        <f>SUM(C154:N154)</f>
        <v>8215144.4016134767</v>
      </c>
      <c r="P154" s="919"/>
      <c r="Q154" s="594"/>
    </row>
    <row r="155" spans="2:17">
      <c r="B155" s="950" t="s">
        <v>336</v>
      </c>
      <c r="C155" s="951">
        <v>632972.51994584128</v>
      </c>
      <c r="D155" s="951">
        <v>255945.64398369586</v>
      </c>
      <c r="E155" s="951">
        <v>1010978.6501511044</v>
      </c>
      <c r="F155" s="951">
        <v>90282.621680000011</v>
      </c>
      <c r="G155" s="951">
        <v>462133.05266900064</v>
      </c>
      <c r="H155" s="951">
        <v>1535772.6090492038</v>
      </c>
      <c r="I155" s="951">
        <v>890606.53256473993</v>
      </c>
      <c r="J155" s="951">
        <v>325814.57135004736</v>
      </c>
      <c r="K155" s="951">
        <v>2413535.6270078663</v>
      </c>
      <c r="L155" s="951">
        <v>320213.46249293996</v>
      </c>
      <c r="M155" s="951">
        <v>876646.4985625312</v>
      </c>
      <c r="N155" s="951">
        <v>90282.621680000011</v>
      </c>
      <c r="O155" s="951">
        <v>9963832.2250802461</v>
      </c>
      <c r="P155" s="919"/>
      <c r="Q155" s="594"/>
    </row>
    <row r="156" spans="2:17">
      <c r="B156" s="950" t="s">
        <v>337</v>
      </c>
      <c r="C156" s="951">
        <v>832073.60877309134</v>
      </c>
      <c r="D156" s="951">
        <v>305410.91592864878</v>
      </c>
      <c r="E156" s="951">
        <v>1321039.6761684627</v>
      </c>
      <c r="F156" s="951">
        <v>1177925.135099472</v>
      </c>
      <c r="G156" s="951">
        <v>522764.90657444426</v>
      </c>
      <c r="H156" s="951">
        <v>1646358.6362290441</v>
      </c>
      <c r="I156" s="951">
        <v>1142369.5931518057</v>
      </c>
      <c r="J156" s="951">
        <v>372594.90498754993</v>
      </c>
      <c r="K156" s="951">
        <v>2765341.1661707927</v>
      </c>
      <c r="L156" s="951">
        <v>371372.04354996234</v>
      </c>
      <c r="M156" s="951">
        <v>965202.73227674246</v>
      </c>
      <c r="N156" s="951">
        <v>93188.879927443326</v>
      </c>
      <c r="O156" s="951">
        <v>11515642.198837457</v>
      </c>
      <c r="P156" s="919"/>
      <c r="Q156" s="594"/>
    </row>
    <row r="157" spans="2:17">
      <c r="B157" s="950" t="s">
        <v>338</v>
      </c>
      <c r="C157" s="951">
        <v>1001633.5576565664</v>
      </c>
      <c r="D157" s="951">
        <v>309108.91702265805</v>
      </c>
      <c r="E157" s="951">
        <v>1124005.2854452245</v>
      </c>
      <c r="F157" s="951">
        <v>1337171.0427807511</v>
      </c>
      <c r="G157" s="951">
        <v>546572.52508985437</v>
      </c>
      <c r="H157" s="951">
        <v>2210293.9461219604</v>
      </c>
      <c r="I157" s="951">
        <v>1319789.7642238906</v>
      </c>
      <c r="J157" s="951">
        <v>562858.01531005639</v>
      </c>
      <c r="K157" s="951">
        <v>3493214.3090977278</v>
      </c>
      <c r="L157" s="951">
        <v>434828.17418559233</v>
      </c>
      <c r="M157" s="951">
        <v>1070319.7182346731</v>
      </c>
      <c r="N157" s="951">
        <v>52118.631324952963</v>
      </c>
      <c r="O157" s="951">
        <v>13461913.886493906</v>
      </c>
      <c r="P157" s="919"/>
      <c r="Q157" s="594"/>
    </row>
    <row r="158" spans="2:17">
      <c r="B158" s="950" t="s">
        <v>339</v>
      </c>
      <c r="C158" s="951">
        <v>1171245.36978712</v>
      </c>
      <c r="D158" s="951">
        <v>353388.4527721373</v>
      </c>
      <c r="E158" s="951">
        <v>1504911.4531250007</v>
      </c>
      <c r="F158" s="951">
        <v>1241910.1074451073</v>
      </c>
      <c r="G158" s="951">
        <v>654904.72244925855</v>
      </c>
      <c r="H158" s="951">
        <v>2553878.6554368027</v>
      </c>
      <c r="I158" s="951">
        <v>1383215.1999997022</v>
      </c>
      <c r="J158" s="951">
        <v>585108.24520332261</v>
      </c>
      <c r="K158" s="951">
        <v>4131588.8349722796</v>
      </c>
      <c r="L158" s="951">
        <v>463161.90402709268</v>
      </c>
      <c r="M158" s="951">
        <v>1304402.7162029119</v>
      </c>
      <c r="N158" s="951">
        <v>71943.579169999983</v>
      </c>
      <c r="O158" s="951">
        <v>15419659.240590701</v>
      </c>
      <c r="P158" s="919"/>
      <c r="Q158" s="594"/>
    </row>
    <row r="159" spans="2:17">
      <c r="B159" s="950" t="s">
        <v>340</v>
      </c>
      <c r="C159" s="951">
        <v>1313462.5013899999</v>
      </c>
      <c r="D159" s="951">
        <v>477215.83548399998</v>
      </c>
      <c r="E159" s="951">
        <v>1795905.4425640001</v>
      </c>
      <c r="F159" s="951">
        <v>1687246.3574100002</v>
      </c>
      <c r="G159" s="951">
        <v>804316.21054999996</v>
      </c>
      <c r="H159" s="951">
        <v>2591386.5080599999</v>
      </c>
      <c r="I159" s="951">
        <v>1647680.2142</v>
      </c>
      <c r="J159" s="951">
        <v>1114306.03033</v>
      </c>
      <c r="K159" s="951">
        <v>3872186.9510299996</v>
      </c>
      <c r="L159" s="951">
        <v>503541.55812000006</v>
      </c>
      <c r="M159" s="951">
        <v>1532441.9048199998</v>
      </c>
      <c r="N159" s="951">
        <v>75829.264330000005</v>
      </c>
      <c r="O159" s="951">
        <v>11337372.430889998</v>
      </c>
      <c r="P159" s="919"/>
      <c r="Q159" s="1495"/>
    </row>
    <row r="160" spans="2:17" ht="15.6" thickBot="1">
      <c r="B160" s="950" t="s">
        <v>341</v>
      </c>
      <c r="C160" s="951">
        <v>1581141.6892899999</v>
      </c>
      <c r="D160" s="951">
        <v>321121.36132000003</v>
      </c>
      <c r="E160" s="951">
        <v>1934554.37463</v>
      </c>
      <c r="F160" s="951">
        <v>1728390.0537799997</v>
      </c>
      <c r="G160" s="951">
        <v>952548.31255000003</v>
      </c>
      <c r="H160" s="951">
        <v>3086893.1411299999</v>
      </c>
      <c r="I160" s="951">
        <v>1638855.0941199998</v>
      </c>
      <c r="J160" s="951">
        <v>1375546.5601300001</v>
      </c>
      <c r="K160" s="951">
        <v>5961405.3377700001</v>
      </c>
      <c r="L160" s="951">
        <v>589939.57180999988</v>
      </c>
      <c r="M160" s="951">
        <v>1848708.3608400002</v>
      </c>
      <c r="N160" s="951">
        <v>76775.899659999995</v>
      </c>
      <c r="O160" s="951">
        <v>21095879.757029995</v>
      </c>
      <c r="P160" s="919"/>
    </row>
    <row r="161" spans="2:32" ht="15.6" thickTop="1">
      <c r="B161" s="907"/>
      <c r="C161" s="908"/>
      <c r="D161" s="908"/>
      <c r="E161" s="908"/>
      <c r="F161" s="908"/>
      <c r="G161" s="908"/>
      <c r="H161" s="908"/>
      <c r="I161" s="908"/>
      <c r="J161" s="908"/>
      <c r="K161" s="908"/>
      <c r="L161" s="908"/>
      <c r="M161" s="908"/>
      <c r="N161" s="908"/>
      <c r="O161" s="908"/>
    </row>
    <row r="162" spans="2:32" ht="15.6">
      <c r="B162" s="1430" t="s">
        <v>1778</v>
      </c>
      <c r="C162" s="928"/>
      <c r="D162" s="928"/>
      <c r="E162" s="926"/>
      <c r="F162" s="926"/>
      <c r="L162" s="594">
        <v>1000</v>
      </c>
      <c r="N162" s="1459"/>
      <c r="P162" s="594"/>
    </row>
    <row r="163" spans="2:32">
      <c r="B163" s="594"/>
      <c r="P163" s="594"/>
    </row>
    <row r="164" spans="2:32" ht="15.6">
      <c r="B164" s="594"/>
      <c r="P164" s="594"/>
      <c r="Q164" s="933"/>
      <c r="R164" s="934"/>
      <c r="S164" s="933"/>
      <c r="T164" s="934"/>
      <c r="U164" s="933"/>
      <c r="V164" s="934"/>
      <c r="W164" s="933"/>
      <c r="X164" s="934"/>
      <c r="Y164" s="934"/>
      <c r="Z164" s="933"/>
      <c r="AA164" s="934"/>
      <c r="AB164" s="934"/>
      <c r="AC164" s="933"/>
      <c r="AD164" s="934"/>
      <c r="AE164" s="933"/>
      <c r="AF164" s="934"/>
    </row>
    <row r="165" spans="2:32">
      <c r="B165" s="594"/>
      <c r="P165" s="594"/>
    </row>
    <row r="166" spans="2:32">
      <c r="B166" s="594"/>
      <c r="C166" s="594">
        <v>1000</v>
      </c>
      <c r="P166" s="594"/>
    </row>
    <row r="167" spans="2:32">
      <c r="B167" s="594"/>
      <c r="P167" s="594"/>
    </row>
    <row r="168" spans="2:32">
      <c r="B168" s="594"/>
      <c r="P168" s="594"/>
    </row>
    <row r="185" spans="3:3">
      <c r="C185" s="594">
        <v>69469708.640000001</v>
      </c>
    </row>
    <row r="186" spans="3:3">
      <c r="C186" s="594" t="s">
        <v>1346</v>
      </c>
    </row>
    <row r="188" spans="3:3">
      <c r="C188" s="594">
        <v>13428107.050000001</v>
      </c>
    </row>
    <row r="189" spans="3:3">
      <c r="C189" s="594" t="s">
        <v>1346</v>
      </c>
    </row>
    <row r="190" spans="3:3">
      <c r="C190" s="594">
        <v>9410027</v>
      </c>
    </row>
    <row r="191" spans="3:3">
      <c r="C191" s="594" t="s">
        <v>1346</v>
      </c>
    </row>
    <row r="192" spans="3:3">
      <c r="C192" s="594">
        <v>2777433996.6899996</v>
      </c>
    </row>
    <row r="193" spans="3:3">
      <c r="C193" s="594"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50" customWidth="1"/>
    <col min="3" max="3" width="15.453125" style="50" customWidth="1"/>
    <col min="4" max="4" width="17.36328125" style="50" bestFit="1" customWidth="1"/>
    <col min="5" max="5" width="22.36328125" style="50" bestFit="1" customWidth="1"/>
    <col min="6" max="6" width="21.08984375" style="50" customWidth="1"/>
    <col min="7" max="7" width="22.6328125" style="50" bestFit="1" customWidth="1"/>
    <col min="8" max="8" width="18.54296875" style="50" customWidth="1"/>
    <col min="9" max="9" width="22.6328125" style="50" bestFit="1" customWidth="1"/>
    <col min="10" max="10" width="16.36328125" style="50" customWidth="1"/>
    <col min="11" max="11" width="27" style="50" customWidth="1"/>
    <col min="12" max="12" width="22.6328125" style="50" bestFit="1" customWidth="1"/>
    <col min="13" max="13" width="1.90625" style="50" customWidth="1"/>
    <col min="14" max="14" width="25" style="50" customWidth="1"/>
    <col min="15" max="15" width="20.54296875" style="50" bestFit="1" customWidth="1"/>
    <col min="16" max="16" width="13.36328125" style="50" customWidth="1"/>
    <col min="17" max="16384" width="9.6328125" style="50"/>
  </cols>
  <sheetData>
    <row r="2" spans="1:12" ht="22.8">
      <c r="C2" s="52"/>
      <c r="D2" s="52"/>
      <c r="E2" s="52"/>
      <c r="F2" s="71" t="s">
        <v>251</v>
      </c>
      <c r="G2" s="71"/>
      <c r="H2" s="71"/>
      <c r="I2" s="72"/>
      <c r="J2" s="52"/>
      <c r="K2" s="53"/>
      <c r="L2" s="52"/>
    </row>
    <row r="3" spans="1:12" ht="12.75" customHeight="1">
      <c r="C3" s="52"/>
      <c r="F3" s="71"/>
      <c r="G3" s="71"/>
      <c r="H3" s="71"/>
      <c r="I3" s="72"/>
      <c r="K3" s="53"/>
    </row>
    <row r="4" spans="1:12" ht="19.5" customHeight="1">
      <c r="C4" s="52"/>
      <c r="F4" s="71" t="s">
        <v>899</v>
      </c>
      <c r="G4" s="71"/>
      <c r="H4" s="71"/>
      <c r="I4" s="73"/>
      <c r="K4" s="53"/>
    </row>
    <row r="5" spans="1:12" ht="12.75" customHeight="1" thickBot="1">
      <c r="C5" s="54"/>
      <c r="D5" s="54"/>
      <c r="E5" s="54"/>
      <c r="F5" s="54"/>
      <c r="H5" s="54"/>
      <c r="I5" s="54"/>
      <c r="J5" s="54"/>
      <c r="K5" s="54"/>
      <c r="L5" s="54"/>
    </row>
    <row r="6" spans="1:12" ht="12.75" customHeight="1" thickTop="1">
      <c r="C6" s="55"/>
      <c r="D6" s="55"/>
      <c r="E6" s="55"/>
      <c r="F6" s="56"/>
      <c r="G6" s="56"/>
      <c r="H6" s="56"/>
      <c r="I6" s="56"/>
      <c r="J6" s="56"/>
      <c r="K6" s="56"/>
      <c r="L6" s="74"/>
    </row>
    <row r="7" spans="1:12" ht="21" customHeight="1">
      <c r="C7" s="59"/>
      <c r="D7" s="75" t="s">
        <v>258</v>
      </c>
      <c r="E7" s="1839" t="s">
        <v>259</v>
      </c>
      <c r="F7" s="1840"/>
      <c r="G7" s="1840"/>
      <c r="H7" s="1840"/>
      <c r="I7" s="1840"/>
      <c r="J7" s="1840"/>
      <c r="K7" s="1841"/>
      <c r="L7" s="76"/>
    </row>
    <row r="8" spans="1:12" ht="21" customHeight="1" thickBot="1">
      <c r="C8" s="59"/>
      <c r="D8" s="75" t="s">
        <v>262</v>
      </c>
      <c r="E8" s="59"/>
      <c r="F8" s="54"/>
      <c r="G8" s="54"/>
      <c r="H8" s="54"/>
      <c r="I8" s="54"/>
      <c r="J8" s="54"/>
      <c r="K8" s="54"/>
      <c r="L8" s="76"/>
    </row>
    <row r="9" spans="1:12" ht="21" customHeight="1" thickTop="1">
      <c r="C9" s="75" t="s">
        <v>263</v>
      </c>
      <c r="D9" s="75" t="s">
        <v>264</v>
      </c>
      <c r="E9" s="55"/>
      <c r="F9" s="55"/>
      <c r="G9" s="55"/>
      <c r="H9" s="56"/>
      <c r="I9" s="55"/>
      <c r="J9" s="56"/>
      <c r="K9" s="55"/>
      <c r="L9" s="76"/>
    </row>
    <row r="10" spans="1:12" ht="21" customHeight="1">
      <c r="C10" s="59"/>
      <c r="D10" s="75" t="s">
        <v>265</v>
      </c>
      <c r="E10" s="75" t="s">
        <v>266</v>
      </c>
      <c r="F10" s="75" t="s">
        <v>267</v>
      </c>
      <c r="G10" s="1839" t="s">
        <v>268</v>
      </c>
      <c r="H10" s="1841"/>
      <c r="I10" s="59" t="s">
        <v>269</v>
      </c>
      <c r="J10" s="54"/>
      <c r="K10" s="59"/>
      <c r="L10" s="77" t="s">
        <v>330</v>
      </c>
    </row>
    <row r="11" spans="1:12" ht="21" customHeight="1" thickBot="1">
      <c r="C11" s="59"/>
      <c r="D11" s="75" t="s">
        <v>280</v>
      </c>
      <c r="E11" s="75" t="s">
        <v>281</v>
      </c>
      <c r="F11" s="75" t="s">
        <v>282</v>
      </c>
      <c r="G11" s="59"/>
      <c r="H11" s="54"/>
      <c r="I11" s="59"/>
      <c r="J11" s="54"/>
      <c r="K11" s="59"/>
      <c r="L11" s="76"/>
    </row>
    <row r="12" spans="1:12" ht="21" customHeight="1" thickTop="1">
      <c r="C12" s="59"/>
      <c r="D12" s="75" t="s">
        <v>286</v>
      </c>
      <c r="E12" s="59"/>
      <c r="F12" s="59"/>
      <c r="G12" s="55"/>
      <c r="H12" s="55"/>
      <c r="I12" s="55"/>
      <c r="J12" s="55"/>
      <c r="K12" s="75" t="s">
        <v>287</v>
      </c>
      <c r="L12" s="76"/>
    </row>
    <row r="13" spans="1:12" ht="21" customHeight="1">
      <c r="C13" s="59"/>
      <c r="D13" s="59"/>
      <c r="E13" s="59"/>
      <c r="F13" s="59"/>
      <c r="G13" s="75" t="s">
        <v>291</v>
      </c>
      <c r="H13" s="75" t="s">
        <v>292</v>
      </c>
      <c r="I13" s="75" t="s">
        <v>291</v>
      </c>
      <c r="J13" s="75" t="s">
        <v>293</v>
      </c>
      <c r="K13" s="59"/>
      <c r="L13" s="76"/>
    </row>
    <row r="14" spans="1:12" ht="12.75" customHeight="1">
      <c r="C14" s="59"/>
      <c r="D14" s="59"/>
      <c r="E14" s="59"/>
      <c r="F14" s="59"/>
      <c r="G14" s="59"/>
      <c r="H14" s="59"/>
      <c r="I14" s="59"/>
      <c r="J14" s="59"/>
      <c r="K14" s="59"/>
      <c r="L14" s="76"/>
    </row>
    <row r="15" spans="1:12" ht="12.75" hidden="1" customHeight="1" thickTop="1">
      <c r="A15" s="78"/>
      <c r="B15" s="78"/>
      <c r="C15" s="61"/>
      <c r="D15" s="61"/>
      <c r="E15" s="61"/>
      <c r="F15" s="61"/>
      <c r="G15" s="61"/>
      <c r="H15" s="61"/>
      <c r="I15" s="61"/>
      <c r="J15" s="61"/>
      <c r="K15" s="61"/>
      <c r="L15" s="79"/>
    </row>
    <row r="16" spans="1:12" ht="12.75" hidden="1" customHeight="1">
      <c r="C16" s="75" t="s">
        <v>297</v>
      </c>
      <c r="D16" s="80"/>
      <c r="E16" s="80"/>
      <c r="F16" s="80"/>
      <c r="G16" s="80" t="s">
        <v>296</v>
      </c>
      <c r="H16" s="80"/>
      <c r="I16" s="80"/>
      <c r="J16" s="80"/>
      <c r="K16" s="80"/>
      <c r="L16" s="81"/>
    </row>
    <row r="17" spans="1:12" ht="12.75" hidden="1" customHeight="1">
      <c r="C17" s="63"/>
      <c r="D17" s="80"/>
      <c r="E17" s="80"/>
      <c r="F17" s="80"/>
      <c r="G17" s="80"/>
      <c r="H17" s="80"/>
      <c r="I17" s="80"/>
      <c r="J17" s="80"/>
      <c r="K17" s="80"/>
      <c r="L17" s="81"/>
    </row>
    <row r="18" spans="1:12" ht="12.75" hidden="1" customHeight="1">
      <c r="A18" s="82"/>
      <c r="B18" s="82"/>
      <c r="C18" s="63" t="s">
        <v>298</v>
      </c>
      <c r="D18" s="80">
        <v>1087.5</v>
      </c>
      <c r="E18" s="80">
        <v>514.1</v>
      </c>
      <c r="F18" s="80">
        <f>695.2-415.2</f>
        <v>280.00000000000006</v>
      </c>
      <c r="G18" s="80">
        <v>3099.6</v>
      </c>
      <c r="H18" s="80">
        <v>232.9</v>
      </c>
      <c r="I18" s="80">
        <v>244.4</v>
      </c>
      <c r="J18" s="80">
        <v>28.5</v>
      </c>
      <c r="K18" s="80">
        <f>J18+I18+H18+G18+F18+E18</f>
        <v>4399.5</v>
      </c>
      <c r="L18" s="81">
        <v>5486.9</v>
      </c>
    </row>
    <row r="19" spans="1:12" ht="12.75" hidden="1" customHeight="1">
      <c r="A19" s="82"/>
      <c r="B19" s="82"/>
      <c r="C19" s="63"/>
      <c r="D19" s="80"/>
      <c r="E19" s="80"/>
      <c r="F19" s="80"/>
      <c r="G19" s="80"/>
      <c r="H19" s="80"/>
      <c r="I19" s="80"/>
      <c r="J19" s="80"/>
      <c r="K19" s="80"/>
      <c r="L19" s="81"/>
    </row>
    <row r="20" spans="1:12" ht="12.75" hidden="1" customHeight="1">
      <c r="A20" s="82"/>
      <c r="B20" s="82"/>
      <c r="C20" s="63" t="s">
        <v>299</v>
      </c>
      <c r="D20" s="80">
        <v>1112.3</v>
      </c>
      <c r="E20" s="80">
        <v>478.2</v>
      </c>
      <c r="F20" s="80">
        <f>646.2-409.8</f>
        <v>236.40000000000003</v>
      </c>
      <c r="G20" s="80">
        <v>2828.7</v>
      </c>
      <c r="H20" s="80">
        <v>387.9</v>
      </c>
      <c r="I20" s="80">
        <v>274.2</v>
      </c>
      <c r="J20" s="80">
        <v>46.9</v>
      </c>
      <c r="K20" s="80">
        <f>J20+I20+H20+G20+F20+E20</f>
        <v>4252.3</v>
      </c>
      <c r="L20" s="81">
        <v>5364.5</v>
      </c>
    </row>
    <row r="21" spans="1:12" ht="12.75" hidden="1" customHeight="1">
      <c r="A21" s="82"/>
      <c r="B21" s="82"/>
      <c r="C21" s="63"/>
      <c r="D21" s="80"/>
      <c r="E21" s="80"/>
      <c r="F21" s="80"/>
      <c r="G21" s="80"/>
      <c r="H21" s="80"/>
      <c r="I21" s="80"/>
      <c r="J21" s="80"/>
      <c r="K21" s="80"/>
      <c r="L21" s="81"/>
    </row>
    <row r="22" spans="1:12" ht="12.75" hidden="1" customHeight="1">
      <c r="A22" s="82"/>
      <c r="B22" s="82"/>
      <c r="C22" s="63" t="s">
        <v>300</v>
      </c>
      <c r="D22" s="80">
        <v>1171</v>
      </c>
      <c r="E22" s="80">
        <v>454.5</v>
      </c>
      <c r="F22" s="80">
        <f>659.3-344.3</f>
        <v>314.99999999999994</v>
      </c>
      <c r="G22" s="80">
        <v>2956.8</v>
      </c>
      <c r="H22" s="80">
        <v>384.2</v>
      </c>
      <c r="I22" s="80">
        <v>273.5</v>
      </c>
      <c r="J22" s="80">
        <v>80.3</v>
      </c>
      <c r="K22" s="80">
        <f>J22+I22+H22+G22+F22+E22</f>
        <v>4464.3</v>
      </c>
      <c r="L22" s="81">
        <v>5635.4</v>
      </c>
    </row>
    <row r="23" spans="1:12" ht="12.75" hidden="1" customHeight="1">
      <c r="A23" s="82"/>
      <c r="B23" s="82"/>
      <c r="C23" s="63"/>
      <c r="D23" s="80"/>
      <c r="E23" s="80"/>
      <c r="F23" s="80"/>
      <c r="G23" s="80"/>
      <c r="H23" s="80"/>
      <c r="I23" s="80"/>
      <c r="J23" s="80"/>
      <c r="K23" s="80"/>
      <c r="L23" s="81"/>
    </row>
    <row r="24" spans="1:12" ht="12.75" hidden="1" customHeight="1">
      <c r="A24" s="82"/>
      <c r="B24" s="82"/>
      <c r="C24" s="63" t="s">
        <v>301</v>
      </c>
      <c r="D24" s="80">
        <v>1203.0999999999999</v>
      </c>
      <c r="E24" s="80">
        <v>468.4</v>
      </c>
      <c r="F24" s="80">
        <f>534.1-373.7</f>
        <v>160.40000000000003</v>
      </c>
      <c r="G24" s="80">
        <v>2757.1</v>
      </c>
      <c r="H24" s="80">
        <v>435</v>
      </c>
      <c r="I24" s="80">
        <v>369.1</v>
      </c>
      <c r="J24" s="80">
        <v>55.5</v>
      </c>
      <c r="K24" s="80">
        <f>J24+I24+H24+G24+F24+E24</f>
        <v>4245.5</v>
      </c>
      <c r="L24" s="81">
        <v>5448.7</v>
      </c>
    </row>
    <row r="25" spans="1:12" ht="12.75" hidden="1" customHeight="1">
      <c r="A25" s="82"/>
      <c r="B25" s="82"/>
      <c r="C25" s="63"/>
      <c r="D25" s="80"/>
      <c r="E25" s="80"/>
      <c r="F25" s="80"/>
      <c r="G25" s="80"/>
      <c r="H25" s="80"/>
      <c r="I25" s="80"/>
      <c r="J25" s="80"/>
      <c r="K25" s="80"/>
      <c r="L25" s="81"/>
    </row>
    <row r="26" spans="1:12" ht="12.75" hidden="1" customHeight="1">
      <c r="A26" s="82"/>
      <c r="B26" s="82"/>
      <c r="C26" s="63" t="s">
        <v>302</v>
      </c>
      <c r="D26" s="80">
        <v>1156.0999999999999</v>
      </c>
      <c r="E26" s="80">
        <v>271.60000000000002</v>
      </c>
      <c r="F26" s="80">
        <f>1251.7-703.9</f>
        <v>547.80000000000007</v>
      </c>
      <c r="G26" s="80">
        <v>3329.9</v>
      </c>
      <c r="H26" s="80">
        <v>481.1</v>
      </c>
      <c r="I26" s="80">
        <v>306.89999999999998</v>
      </c>
      <c r="J26" s="80">
        <v>32.700000000000003</v>
      </c>
      <c r="K26" s="80">
        <f>J26+I26+H26+G26+F26+E26</f>
        <v>4970.0000000000009</v>
      </c>
      <c r="L26" s="81">
        <v>6126.1</v>
      </c>
    </row>
    <row r="27" spans="1:12" ht="12.75" hidden="1" customHeight="1">
      <c r="A27" s="82"/>
      <c r="B27" s="82"/>
      <c r="C27" s="63"/>
      <c r="D27" s="80"/>
      <c r="E27" s="80"/>
      <c r="F27" s="80"/>
      <c r="G27" s="80"/>
      <c r="H27" s="80"/>
      <c r="I27" s="80"/>
      <c r="J27" s="80"/>
      <c r="K27" s="80"/>
      <c r="L27" s="81"/>
    </row>
    <row r="28" spans="1:12" ht="12.75" hidden="1" customHeight="1">
      <c r="A28" s="82"/>
      <c r="B28" s="82"/>
      <c r="C28" s="63" t="s">
        <v>303</v>
      </c>
      <c r="D28" s="80">
        <v>1201.2</v>
      </c>
      <c r="E28" s="80">
        <v>307.2</v>
      </c>
      <c r="F28" s="80">
        <f>1050.9-645.4</f>
        <v>405.50000000000011</v>
      </c>
      <c r="G28" s="80">
        <v>3018.4</v>
      </c>
      <c r="H28" s="80">
        <v>434.4</v>
      </c>
      <c r="I28" s="80">
        <v>303.89999999999998</v>
      </c>
      <c r="J28" s="80">
        <v>31.1</v>
      </c>
      <c r="K28" s="80">
        <f>J28+I28+H28+G28+F28+E28</f>
        <v>4500.5</v>
      </c>
      <c r="L28" s="81">
        <v>5701.7</v>
      </c>
    </row>
    <row r="29" spans="1:12" ht="12.75" hidden="1" customHeight="1">
      <c r="A29" s="82"/>
      <c r="B29" s="82"/>
      <c r="C29" s="63"/>
      <c r="D29" s="80"/>
      <c r="E29" s="80"/>
      <c r="F29" s="80"/>
      <c r="G29" s="80"/>
      <c r="H29" s="80"/>
      <c r="I29" s="80"/>
      <c r="J29" s="80"/>
      <c r="K29" s="80"/>
      <c r="L29" s="81"/>
    </row>
    <row r="30" spans="1:12" ht="12.75" hidden="1" customHeight="1">
      <c r="A30" s="82"/>
      <c r="B30" s="82"/>
      <c r="C30" s="63" t="s">
        <v>304</v>
      </c>
      <c r="D30" s="80">
        <v>1311.4</v>
      </c>
      <c r="E30" s="80">
        <v>255.7</v>
      </c>
      <c r="F30" s="80">
        <f>817.6-398.9</f>
        <v>418.70000000000005</v>
      </c>
      <c r="G30" s="80">
        <v>3386.7</v>
      </c>
      <c r="H30" s="80">
        <v>570.29999999999995</v>
      </c>
      <c r="I30" s="80">
        <v>315.89999999999998</v>
      </c>
      <c r="J30" s="80">
        <v>38.4</v>
      </c>
      <c r="K30" s="80">
        <f>J30+I30+H30+G30+F30+E30</f>
        <v>4985.6999999999989</v>
      </c>
      <c r="L30" s="81">
        <v>6297.1</v>
      </c>
    </row>
    <row r="31" spans="1:12" ht="12.75" hidden="1" customHeight="1">
      <c r="A31" s="82"/>
      <c r="B31" s="82"/>
      <c r="C31" s="63"/>
      <c r="D31" s="80"/>
      <c r="E31" s="80"/>
      <c r="F31" s="80"/>
      <c r="G31" s="80"/>
      <c r="H31" s="80"/>
      <c r="I31" s="80"/>
      <c r="J31" s="80"/>
      <c r="K31" s="80"/>
      <c r="L31" s="81"/>
    </row>
    <row r="32" spans="1:12" ht="12.75" hidden="1" customHeight="1">
      <c r="A32" s="82"/>
      <c r="B32" s="82"/>
      <c r="C32" s="63" t="s">
        <v>305</v>
      </c>
      <c r="D32" s="80">
        <v>1388.9</v>
      </c>
      <c r="E32" s="80">
        <v>54.6</v>
      </c>
      <c r="F32" s="80">
        <f>1032.3-469</f>
        <v>563.29999999999995</v>
      </c>
      <c r="G32" s="80">
        <v>3401.3</v>
      </c>
      <c r="H32" s="80">
        <v>550.1</v>
      </c>
      <c r="I32" s="80">
        <v>317</v>
      </c>
      <c r="J32" s="80">
        <v>41.2</v>
      </c>
      <c r="K32" s="80">
        <f>J32+I32+H32+G32+F32+E32</f>
        <v>4927.5000000000009</v>
      </c>
      <c r="L32" s="81">
        <v>6316.5</v>
      </c>
    </row>
    <row r="33" spans="1:12" ht="12.75" hidden="1" customHeight="1">
      <c r="A33" s="82"/>
      <c r="B33" s="82"/>
      <c r="C33" s="63"/>
      <c r="D33" s="80"/>
      <c r="E33" s="80"/>
      <c r="F33" s="80"/>
      <c r="G33" s="80"/>
      <c r="H33" s="80"/>
      <c r="I33" s="80"/>
      <c r="J33" s="80"/>
      <c r="K33" s="80"/>
      <c r="L33" s="81"/>
    </row>
    <row r="34" spans="1:12" ht="12.75" hidden="1" customHeight="1">
      <c r="A34" s="82"/>
      <c r="B34" s="82"/>
      <c r="C34" s="63" t="s">
        <v>306</v>
      </c>
      <c r="D34" s="80">
        <v>1466.2</v>
      </c>
      <c r="E34" s="80">
        <v>100.2</v>
      </c>
      <c r="F34" s="80">
        <f>975.5-384.8</f>
        <v>590.70000000000005</v>
      </c>
      <c r="G34" s="80">
        <v>3616.4</v>
      </c>
      <c r="H34" s="80">
        <v>603.70000000000005</v>
      </c>
      <c r="I34" s="80">
        <v>270.2</v>
      </c>
      <c r="J34" s="80">
        <v>44</v>
      </c>
      <c r="K34" s="80">
        <f>J34+I34+H34+G34+F34+E34</f>
        <v>5225.2</v>
      </c>
      <c r="L34" s="81">
        <v>6691.4</v>
      </c>
    </row>
    <row r="35" spans="1:12" ht="12.75" hidden="1" customHeight="1">
      <c r="A35" s="82"/>
      <c r="B35" s="82"/>
      <c r="C35" s="63"/>
      <c r="D35" s="80"/>
      <c r="E35" s="80"/>
      <c r="F35" s="80"/>
      <c r="G35" s="80"/>
      <c r="H35" s="80"/>
      <c r="I35" s="80"/>
      <c r="J35" s="80"/>
      <c r="K35" s="80"/>
      <c r="L35" s="81"/>
    </row>
    <row r="36" spans="1:12" ht="12.75" hidden="1" customHeight="1">
      <c r="A36" s="82"/>
      <c r="B36" s="82"/>
      <c r="C36" s="63" t="s">
        <v>307</v>
      </c>
      <c r="D36" s="80">
        <v>1392</v>
      </c>
      <c r="E36" s="80">
        <v>27.5</v>
      </c>
      <c r="F36" s="80">
        <f>929-268.3</f>
        <v>660.7</v>
      </c>
      <c r="G36" s="80">
        <v>3491.4</v>
      </c>
      <c r="H36" s="80">
        <v>750.6</v>
      </c>
      <c r="I36" s="80">
        <v>305.60000000000002</v>
      </c>
      <c r="J36" s="80">
        <v>87.6</v>
      </c>
      <c r="K36" s="80">
        <f>J36+I36+H36+G36+F36+E36</f>
        <v>5323.4000000000005</v>
      </c>
      <c r="L36" s="81">
        <v>6715.4</v>
      </c>
    </row>
    <row r="37" spans="1:12" ht="12.75" hidden="1" customHeight="1">
      <c r="A37" s="82"/>
      <c r="B37" s="82"/>
      <c r="C37" s="63"/>
      <c r="D37" s="80"/>
      <c r="E37" s="80"/>
      <c r="F37" s="80"/>
      <c r="G37" s="80"/>
      <c r="H37" s="80"/>
      <c r="I37" s="80"/>
      <c r="J37" s="80"/>
      <c r="K37" s="80"/>
      <c r="L37" s="81"/>
    </row>
    <row r="38" spans="1:12" ht="12.75" hidden="1" customHeight="1">
      <c r="A38" s="82"/>
      <c r="B38" s="82"/>
      <c r="C38" s="63" t="s">
        <v>308</v>
      </c>
      <c r="D38" s="80">
        <v>1487</v>
      </c>
      <c r="E38" s="80">
        <v>630.6</v>
      </c>
      <c r="F38" s="80">
        <f>1260.1-426.6</f>
        <v>833.49999999999989</v>
      </c>
      <c r="G38" s="80">
        <v>3659.5</v>
      </c>
      <c r="H38" s="80">
        <v>767.1</v>
      </c>
      <c r="I38" s="80">
        <v>313.60000000000002</v>
      </c>
      <c r="J38" s="80">
        <v>192.1</v>
      </c>
      <c r="K38" s="80">
        <f>J38+I38+H38+G38+F38+E38</f>
        <v>6396.4000000000005</v>
      </c>
      <c r="L38" s="81">
        <v>7883.4</v>
      </c>
    </row>
    <row r="39" spans="1:12" ht="12.75" hidden="1" customHeight="1">
      <c r="A39" s="82"/>
      <c r="B39" s="82"/>
      <c r="C39" s="63"/>
      <c r="D39" s="80"/>
      <c r="E39" s="80"/>
      <c r="F39" s="80"/>
      <c r="G39" s="80"/>
      <c r="H39" s="80"/>
      <c r="I39" s="80"/>
      <c r="J39" s="80"/>
      <c r="K39" s="80"/>
      <c r="L39" s="81"/>
    </row>
    <row r="40" spans="1:12" ht="12.75" hidden="1" customHeight="1">
      <c r="A40" s="82"/>
      <c r="B40" s="82"/>
      <c r="C40" s="63" t="s">
        <v>311</v>
      </c>
      <c r="D40" s="80">
        <v>1432.4</v>
      </c>
      <c r="E40" s="80">
        <v>83.4</v>
      </c>
      <c r="F40" s="80">
        <f>868.9-398.7</f>
        <v>470.2</v>
      </c>
      <c r="G40" s="80">
        <v>3754.3</v>
      </c>
      <c r="H40" s="80">
        <v>654.70000000000005</v>
      </c>
      <c r="I40" s="80">
        <v>289.7</v>
      </c>
      <c r="J40" s="80">
        <v>181.5</v>
      </c>
      <c r="K40" s="80">
        <f>J40+I40+H40+G40+F40+E40</f>
        <v>5433.8</v>
      </c>
      <c r="L40" s="81">
        <v>6866.2</v>
      </c>
    </row>
    <row r="41" spans="1:12" ht="12.75" hidden="1" customHeight="1">
      <c r="A41" s="82"/>
      <c r="B41" s="82"/>
      <c r="C41" s="59"/>
      <c r="D41" s="80"/>
      <c r="E41" s="80"/>
      <c r="F41" s="80"/>
      <c r="G41" s="80"/>
      <c r="H41" s="80"/>
      <c r="I41" s="80"/>
      <c r="J41" s="80"/>
      <c r="K41" s="80"/>
      <c r="L41" s="81"/>
    </row>
    <row r="42" spans="1:12" ht="12.75" hidden="1" customHeight="1">
      <c r="A42" s="82"/>
      <c r="B42" s="82"/>
      <c r="C42" s="75" t="s">
        <v>312</v>
      </c>
      <c r="D42" s="80"/>
      <c r="E42" s="80"/>
      <c r="F42" s="80"/>
      <c r="G42" s="80"/>
      <c r="H42" s="80"/>
      <c r="I42" s="80"/>
      <c r="J42" s="80"/>
      <c r="K42" s="80"/>
      <c r="L42" s="81"/>
    </row>
    <row r="43" spans="1:12" ht="12.75" hidden="1" customHeight="1">
      <c r="A43" s="82"/>
      <c r="B43" s="82"/>
      <c r="C43" s="59"/>
      <c r="D43" s="80"/>
      <c r="E43" s="80"/>
      <c r="F43" s="80"/>
      <c r="G43" s="80"/>
      <c r="H43" s="80"/>
      <c r="I43" s="80"/>
      <c r="J43" s="80"/>
      <c r="K43" s="80"/>
      <c r="L43" s="81"/>
    </row>
    <row r="44" spans="1:12" ht="12.75" hidden="1" customHeight="1">
      <c r="A44" s="82"/>
      <c r="B44" s="82"/>
      <c r="C44" s="63" t="s">
        <v>298</v>
      </c>
      <c r="D44" s="80">
        <v>1319.8</v>
      </c>
      <c r="E44" s="80">
        <v>15.9</v>
      </c>
      <c r="F44" s="80">
        <f>1208.7-371.1</f>
        <v>837.6</v>
      </c>
      <c r="G44" s="80">
        <v>3587</v>
      </c>
      <c r="H44" s="80">
        <v>785.7</v>
      </c>
      <c r="I44" s="80">
        <v>317.2</v>
      </c>
      <c r="J44" s="80">
        <v>144.6</v>
      </c>
      <c r="K44" s="80">
        <f>J44+I44+H44+G44+F44+E44</f>
        <v>5688</v>
      </c>
      <c r="L44" s="81">
        <v>7007.8</v>
      </c>
    </row>
    <row r="45" spans="1:12" ht="12.75" hidden="1" customHeight="1">
      <c r="A45" s="82"/>
      <c r="B45" s="82"/>
      <c r="C45" s="63"/>
      <c r="D45" s="80"/>
      <c r="E45" s="80"/>
      <c r="F45" s="80"/>
      <c r="G45" s="80"/>
      <c r="H45" s="80"/>
      <c r="I45" s="80"/>
      <c r="J45" s="80"/>
      <c r="K45" s="80"/>
      <c r="L45" s="81"/>
    </row>
    <row r="46" spans="1:12" ht="12.75" hidden="1" customHeight="1">
      <c r="A46" s="82"/>
      <c r="B46" s="82"/>
      <c r="C46" s="63" t="s">
        <v>299</v>
      </c>
      <c r="D46" s="80">
        <v>1374.1</v>
      </c>
      <c r="E46" s="80">
        <v>9.9</v>
      </c>
      <c r="F46" s="80">
        <f>1120.1-373.3</f>
        <v>746.8</v>
      </c>
      <c r="G46" s="80">
        <v>3490.1</v>
      </c>
      <c r="H46" s="80">
        <v>848</v>
      </c>
      <c r="I46" s="80">
        <v>277.5</v>
      </c>
      <c r="J46" s="80">
        <v>126</v>
      </c>
      <c r="K46" s="80">
        <f>J46+I46+H46+G46+F46+E46</f>
        <v>5498.3</v>
      </c>
      <c r="L46" s="81">
        <v>6872.5</v>
      </c>
    </row>
    <row r="47" spans="1:12" ht="12.75" hidden="1" customHeight="1">
      <c r="A47" s="82"/>
      <c r="B47" s="82"/>
      <c r="C47" s="63"/>
      <c r="D47" s="80"/>
      <c r="E47" s="80"/>
      <c r="F47" s="80"/>
      <c r="G47" s="80"/>
      <c r="H47" s="80"/>
      <c r="I47" s="80"/>
      <c r="J47" s="80"/>
      <c r="K47" s="80"/>
      <c r="L47" s="81"/>
    </row>
    <row r="48" spans="1:12" ht="12.75" hidden="1" customHeight="1">
      <c r="A48" s="82"/>
      <c r="B48" s="82"/>
      <c r="C48" s="63" t="s">
        <v>300</v>
      </c>
      <c r="D48" s="80">
        <v>1390.5</v>
      </c>
      <c r="E48" s="80">
        <v>9.9</v>
      </c>
      <c r="F48" s="80">
        <f>932-245.3</f>
        <v>686.7</v>
      </c>
      <c r="G48" s="80">
        <v>3968.5</v>
      </c>
      <c r="H48" s="80">
        <v>867.8</v>
      </c>
      <c r="I48" s="80">
        <v>259.89999999999998</v>
      </c>
      <c r="J48" s="80">
        <v>123.8</v>
      </c>
      <c r="K48" s="80">
        <f>J48+I48+H48+G48+F48+E48</f>
        <v>5916.5999999999995</v>
      </c>
      <c r="L48" s="81">
        <v>7307.1</v>
      </c>
    </row>
    <row r="49" spans="1:12" ht="12.75" hidden="1" customHeight="1">
      <c r="A49" s="82"/>
      <c r="B49" s="82"/>
      <c r="C49" s="63"/>
      <c r="D49" s="80"/>
      <c r="E49" s="80"/>
      <c r="F49" s="80"/>
      <c r="G49" s="80"/>
      <c r="H49" s="80"/>
      <c r="I49" s="80"/>
      <c r="J49" s="80"/>
      <c r="K49" s="80"/>
      <c r="L49" s="81"/>
    </row>
    <row r="50" spans="1:12" ht="12.75" hidden="1" customHeight="1">
      <c r="A50" s="82"/>
      <c r="B50" s="82"/>
      <c r="C50" s="63" t="s">
        <v>301</v>
      </c>
      <c r="D50" s="80">
        <v>1512.6</v>
      </c>
      <c r="E50" s="80">
        <v>2.6</v>
      </c>
      <c r="F50" s="80">
        <f>895.1-261.8</f>
        <v>633.29999999999995</v>
      </c>
      <c r="G50" s="80">
        <v>3649.5</v>
      </c>
      <c r="H50" s="80">
        <v>849.2</v>
      </c>
      <c r="I50" s="80">
        <v>246.4</v>
      </c>
      <c r="J50" s="80">
        <v>100.3</v>
      </c>
      <c r="K50" s="80">
        <f>J50+I50+H50+G50+F50+E50</f>
        <v>5481.3</v>
      </c>
      <c r="L50" s="81">
        <v>6993.9</v>
      </c>
    </row>
    <row r="51" spans="1:12" ht="12.75" hidden="1" customHeight="1">
      <c r="A51" s="82"/>
      <c r="B51" s="82"/>
      <c r="C51" s="63"/>
      <c r="D51" s="80"/>
      <c r="E51" s="80"/>
      <c r="F51" s="80"/>
      <c r="G51" s="80"/>
      <c r="H51" s="80"/>
      <c r="I51" s="80"/>
      <c r="J51" s="80"/>
      <c r="K51" s="80"/>
      <c r="L51" s="81"/>
    </row>
    <row r="52" spans="1:12" ht="12.75" hidden="1" customHeight="1">
      <c r="A52" s="82"/>
      <c r="B52" s="82"/>
      <c r="C52" s="63" t="s">
        <v>302</v>
      </c>
      <c r="D52" s="80">
        <v>1427.2</v>
      </c>
      <c r="E52" s="80">
        <v>159.80000000000001</v>
      </c>
      <c r="F52" s="80">
        <f>783.5-207</f>
        <v>576.5</v>
      </c>
      <c r="G52" s="80">
        <v>4128.3999999999996</v>
      </c>
      <c r="H52" s="80">
        <v>829.8</v>
      </c>
      <c r="I52" s="80">
        <v>680.2</v>
      </c>
      <c r="J52" s="80">
        <v>117.4</v>
      </c>
      <c r="K52" s="80">
        <f>J52+I52+H52+G52+F52+E52</f>
        <v>6492.0999999999995</v>
      </c>
      <c r="L52" s="81">
        <v>7919.4</v>
      </c>
    </row>
    <row r="53" spans="1:12" ht="12.75" hidden="1" customHeight="1">
      <c r="A53" s="82"/>
      <c r="B53" s="82"/>
      <c r="C53" s="63"/>
      <c r="D53" s="80"/>
      <c r="E53" s="80"/>
      <c r="F53" s="80"/>
      <c r="G53" s="80"/>
      <c r="H53" s="80"/>
      <c r="I53" s="80"/>
      <c r="J53" s="80"/>
      <c r="K53" s="80"/>
      <c r="L53" s="81"/>
    </row>
    <row r="54" spans="1:12" ht="12.75" hidden="1" customHeight="1">
      <c r="A54" s="82"/>
      <c r="B54" s="82"/>
      <c r="C54" s="63" t="s">
        <v>303</v>
      </c>
      <c r="D54" s="80">
        <v>1518.1</v>
      </c>
      <c r="E54" s="80">
        <v>14</v>
      </c>
      <c r="F54" s="80">
        <f>820.5-168.2</f>
        <v>652.29999999999995</v>
      </c>
      <c r="G54" s="80">
        <v>4297</v>
      </c>
      <c r="H54" s="80">
        <v>877</v>
      </c>
      <c r="I54" s="80">
        <v>479.3</v>
      </c>
      <c r="J54" s="80">
        <v>221.5</v>
      </c>
      <c r="K54" s="80">
        <f>J54+I54+H54+G54+F54+E54</f>
        <v>6541.1</v>
      </c>
      <c r="L54" s="81">
        <v>8059.3</v>
      </c>
    </row>
    <row r="55" spans="1:12" ht="12.75" hidden="1" customHeight="1">
      <c r="A55" s="82"/>
      <c r="B55" s="82"/>
      <c r="C55" s="63"/>
      <c r="D55" s="80"/>
      <c r="E55" s="80"/>
      <c r="F55" s="80"/>
      <c r="G55" s="80"/>
      <c r="H55" s="80"/>
      <c r="I55" s="80"/>
      <c r="J55" s="80"/>
      <c r="K55" s="80"/>
      <c r="L55" s="81"/>
    </row>
    <row r="56" spans="1:12" ht="12.75" hidden="1" customHeight="1">
      <c r="A56" s="82"/>
      <c r="B56" s="82"/>
      <c r="C56" s="63" t="s">
        <v>304</v>
      </c>
      <c r="D56" s="80">
        <v>1586.9</v>
      </c>
      <c r="E56" s="80">
        <v>7.8</v>
      </c>
      <c r="F56" s="80">
        <f>886.7-178.9</f>
        <v>707.80000000000007</v>
      </c>
      <c r="G56" s="80">
        <v>4434.5</v>
      </c>
      <c r="H56" s="80">
        <v>1235.2</v>
      </c>
      <c r="I56" s="80">
        <v>410.2</v>
      </c>
      <c r="J56" s="80">
        <v>260.7</v>
      </c>
      <c r="K56" s="80">
        <f>J56+I56+H56+G56+F56+E56</f>
        <v>7056.2000000000007</v>
      </c>
      <c r="L56" s="81">
        <v>8643.1</v>
      </c>
    </row>
    <row r="57" spans="1:12" ht="12.75" hidden="1" customHeight="1">
      <c r="A57" s="82"/>
      <c r="B57" s="82"/>
      <c r="C57" s="63"/>
      <c r="D57" s="80"/>
      <c r="E57" s="80"/>
      <c r="F57" s="80"/>
      <c r="G57" s="80"/>
      <c r="H57" s="80"/>
      <c r="I57" s="80"/>
      <c r="J57" s="80"/>
      <c r="K57" s="80"/>
      <c r="L57" s="81"/>
    </row>
    <row r="58" spans="1:12" ht="12.75" hidden="1" customHeight="1">
      <c r="A58" s="82"/>
      <c r="B58" s="82"/>
      <c r="C58" s="63" t="s">
        <v>305</v>
      </c>
      <c r="D58" s="80">
        <v>1612.7</v>
      </c>
      <c r="E58" s="80">
        <v>6.6</v>
      </c>
      <c r="F58" s="80">
        <f>848.8-236.1</f>
        <v>612.69999999999993</v>
      </c>
      <c r="G58" s="80">
        <v>4683.1000000000004</v>
      </c>
      <c r="H58" s="80">
        <v>1377.6</v>
      </c>
      <c r="I58" s="80">
        <v>1338.5</v>
      </c>
      <c r="J58" s="80">
        <v>254.2</v>
      </c>
      <c r="K58" s="80">
        <f>J58+I58+H58+G58+F58+E58</f>
        <v>8272.7000000000007</v>
      </c>
      <c r="L58" s="81">
        <v>9885.5</v>
      </c>
    </row>
    <row r="59" spans="1:12" ht="12.75" hidden="1" customHeight="1">
      <c r="A59" s="82"/>
      <c r="B59" s="82"/>
      <c r="C59" s="63"/>
      <c r="D59" s="80"/>
      <c r="E59" s="80"/>
      <c r="F59" s="80"/>
      <c r="G59" s="80"/>
      <c r="H59" s="80"/>
      <c r="I59" s="80"/>
      <c r="J59" s="80"/>
      <c r="K59" s="80"/>
      <c r="L59" s="81"/>
    </row>
    <row r="60" spans="1:12" ht="12.75" hidden="1" customHeight="1">
      <c r="A60" s="82"/>
      <c r="B60" s="82"/>
      <c r="C60" s="63" t="s">
        <v>306</v>
      </c>
      <c r="D60" s="80">
        <v>1662.5</v>
      </c>
      <c r="E60" s="80">
        <v>0.7</v>
      </c>
      <c r="F60" s="80">
        <f>1102.1-494.6</f>
        <v>607.49999999999989</v>
      </c>
      <c r="G60" s="80">
        <v>4470.2</v>
      </c>
      <c r="H60" s="80">
        <v>1269.5999999999999</v>
      </c>
      <c r="I60" s="80">
        <v>1026.7</v>
      </c>
      <c r="J60" s="80">
        <v>307.7</v>
      </c>
      <c r="K60" s="80">
        <f>J60+I60+H60+G60+F60+E60</f>
        <v>7682.4</v>
      </c>
      <c r="L60" s="81">
        <v>9344.9</v>
      </c>
    </row>
    <row r="61" spans="1:12" ht="12.75" hidden="1" customHeight="1">
      <c r="A61" s="82"/>
      <c r="B61" s="82"/>
      <c r="C61" s="63"/>
      <c r="D61" s="80"/>
      <c r="E61" s="80"/>
      <c r="F61" s="80"/>
      <c r="G61" s="80"/>
      <c r="H61" s="80"/>
      <c r="I61" s="80"/>
      <c r="J61" s="80"/>
      <c r="K61" s="80"/>
      <c r="L61" s="81"/>
    </row>
    <row r="62" spans="1:12" ht="12.75" hidden="1" customHeight="1">
      <c r="A62" s="82"/>
      <c r="B62" s="82"/>
      <c r="C62" s="63" t="s">
        <v>307</v>
      </c>
      <c r="D62" s="80">
        <v>1676.1</v>
      </c>
      <c r="E62" s="80">
        <v>4.8</v>
      </c>
      <c r="F62" s="80">
        <f>1513.3-590.6</f>
        <v>922.69999999999993</v>
      </c>
      <c r="G62" s="80">
        <v>4496.5</v>
      </c>
      <c r="H62" s="80">
        <v>1253.8</v>
      </c>
      <c r="I62" s="80">
        <v>1713.9</v>
      </c>
      <c r="J62" s="80">
        <v>475.9</v>
      </c>
      <c r="K62" s="80">
        <f>J62+I62+H62+G62+F62+E62</f>
        <v>8867.6</v>
      </c>
      <c r="L62" s="81">
        <v>10543.7</v>
      </c>
    </row>
    <row r="63" spans="1:12" ht="12.75" hidden="1" customHeight="1">
      <c r="A63" s="82"/>
      <c r="B63" s="82"/>
      <c r="C63" s="63"/>
      <c r="D63" s="80"/>
      <c r="E63" s="80"/>
      <c r="F63" s="80"/>
      <c r="G63" s="80"/>
      <c r="H63" s="80"/>
      <c r="I63" s="80"/>
      <c r="J63" s="80"/>
      <c r="K63" s="80"/>
      <c r="L63" s="81"/>
    </row>
    <row r="64" spans="1:12" ht="12.75" hidden="1" customHeight="1">
      <c r="A64" s="82"/>
      <c r="B64" s="82"/>
      <c r="C64" s="63" t="s">
        <v>308</v>
      </c>
      <c r="D64" s="80">
        <v>1795.9</v>
      </c>
      <c r="E64" s="80">
        <v>2.8</v>
      </c>
      <c r="F64" s="80">
        <f>1584.6-477.2</f>
        <v>1107.3999999999999</v>
      </c>
      <c r="G64" s="80">
        <v>4780</v>
      </c>
      <c r="H64" s="80">
        <v>1248.7</v>
      </c>
      <c r="I64" s="80">
        <v>1810.9</v>
      </c>
      <c r="J64" s="80">
        <v>334</v>
      </c>
      <c r="K64" s="80">
        <f>J64+I64+H64+G64+F64+E64</f>
        <v>9283.7999999999993</v>
      </c>
      <c r="L64" s="81">
        <v>11079.8</v>
      </c>
    </row>
    <row r="65" spans="1:12" ht="12.75" hidden="1" customHeight="1">
      <c r="A65" s="82"/>
      <c r="B65" s="82"/>
      <c r="C65" s="63"/>
      <c r="D65" s="80"/>
      <c r="E65" s="80"/>
      <c r="F65" s="80"/>
      <c r="G65" s="80"/>
      <c r="H65" s="80"/>
      <c r="I65" s="80"/>
      <c r="J65" s="80"/>
      <c r="K65" s="80"/>
      <c r="L65" s="81"/>
    </row>
    <row r="66" spans="1:12" ht="12.75" hidden="1" customHeight="1">
      <c r="A66" s="82"/>
      <c r="B66" s="82"/>
      <c r="C66" s="63" t="s">
        <v>311</v>
      </c>
      <c r="D66" s="80">
        <v>1750.6</v>
      </c>
      <c r="E66" s="80">
        <v>9.5</v>
      </c>
      <c r="F66" s="80">
        <f>1720.6-968.5</f>
        <v>752.09999999999991</v>
      </c>
      <c r="G66" s="80">
        <v>4645.8</v>
      </c>
      <c r="H66" s="80">
        <v>1261.5999999999999</v>
      </c>
      <c r="I66" s="80">
        <v>1341.4</v>
      </c>
      <c r="J66" s="80">
        <v>320.2</v>
      </c>
      <c r="K66" s="80">
        <f>J66+I66+H66+G66+F66+E66</f>
        <v>8330.6</v>
      </c>
      <c r="L66" s="81">
        <v>10081.200000000001</v>
      </c>
    </row>
    <row r="67" spans="1:12" ht="12.75" hidden="1" customHeight="1">
      <c r="A67" s="82"/>
      <c r="B67" s="82"/>
      <c r="C67" s="59"/>
      <c r="D67" s="80"/>
      <c r="E67" s="80"/>
      <c r="F67" s="80"/>
      <c r="G67" s="80"/>
      <c r="H67" s="80"/>
      <c r="I67" s="80"/>
      <c r="J67" s="80"/>
      <c r="K67" s="80"/>
      <c r="L67" s="81"/>
    </row>
    <row r="68" spans="1:12" ht="12.75" hidden="1" customHeight="1">
      <c r="A68" s="82"/>
      <c r="B68" s="82"/>
      <c r="C68" s="75" t="s">
        <v>313</v>
      </c>
      <c r="D68" s="80"/>
      <c r="E68" s="80"/>
      <c r="F68" s="80"/>
      <c r="G68" s="80"/>
      <c r="H68" s="80"/>
      <c r="I68" s="80"/>
      <c r="J68" s="80"/>
      <c r="K68" s="80"/>
      <c r="L68" s="81"/>
    </row>
    <row r="69" spans="1:12" ht="12.75" hidden="1" customHeight="1">
      <c r="A69" s="82"/>
      <c r="B69" s="82"/>
      <c r="C69" s="59"/>
      <c r="D69" s="80"/>
      <c r="E69" s="80"/>
      <c r="F69" s="80"/>
      <c r="G69" s="80"/>
      <c r="H69" s="80"/>
      <c r="I69" s="80"/>
      <c r="J69" s="80"/>
      <c r="K69" s="80"/>
      <c r="L69" s="81"/>
    </row>
    <row r="70" spans="1:12" ht="12.75" hidden="1" customHeight="1">
      <c r="A70" s="82"/>
      <c r="B70" s="82"/>
      <c r="C70" s="63" t="s">
        <v>298</v>
      </c>
      <c r="D70" s="83">
        <v>1625</v>
      </c>
      <c r="E70" s="83">
        <v>4.9000000000000004</v>
      </c>
      <c r="F70" s="83">
        <f>1676.5-725.2</f>
        <v>951.3</v>
      </c>
      <c r="G70" s="83">
        <v>5109</v>
      </c>
      <c r="H70" s="83">
        <v>1314.5</v>
      </c>
      <c r="I70" s="83">
        <v>1355.3</v>
      </c>
      <c r="J70" s="83">
        <v>374</v>
      </c>
      <c r="K70" s="83">
        <f>J70+I70+H70+G70+F70+E70</f>
        <v>9109</v>
      </c>
      <c r="L70" s="84">
        <v>10734</v>
      </c>
    </row>
    <row r="71" spans="1:12" ht="12.75" hidden="1" customHeight="1">
      <c r="A71" s="82"/>
      <c r="B71" s="82"/>
      <c r="C71" s="63"/>
      <c r="D71" s="83"/>
      <c r="E71" s="83"/>
      <c r="F71" s="83"/>
      <c r="G71" s="83"/>
      <c r="H71" s="83"/>
      <c r="I71" s="83"/>
      <c r="J71" s="83"/>
      <c r="K71" s="83"/>
      <c r="L71" s="84"/>
    </row>
    <row r="72" spans="1:12" ht="12.75" hidden="1" customHeight="1">
      <c r="A72" s="82"/>
      <c r="B72" s="82"/>
      <c r="C72" s="63" t="s">
        <v>299</v>
      </c>
      <c r="D72" s="83">
        <v>1668</v>
      </c>
      <c r="E72" s="83">
        <v>5.0999999999999996</v>
      </c>
      <c r="F72" s="83">
        <f>1220.9-573.2</f>
        <v>647.70000000000005</v>
      </c>
      <c r="G72" s="83">
        <v>4565.8999999999996</v>
      </c>
      <c r="H72" s="83">
        <v>1466.5</v>
      </c>
      <c r="I72" s="83">
        <v>827.7</v>
      </c>
      <c r="J72" s="83">
        <v>412.8</v>
      </c>
      <c r="K72" s="83">
        <f>J72+I72+H72+G72+F72+E72</f>
        <v>7925.7</v>
      </c>
      <c r="L72" s="84">
        <v>9593.7000000000007</v>
      </c>
    </row>
    <row r="73" spans="1:12" ht="12.75" hidden="1" customHeight="1">
      <c r="A73" s="82"/>
      <c r="B73" s="82"/>
      <c r="C73" s="63"/>
      <c r="D73" s="83"/>
      <c r="E73" s="83"/>
      <c r="F73" s="83"/>
      <c r="G73" s="83"/>
      <c r="H73" s="83"/>
      <c r="I73" s="83"/>
      <c r="J73" s="83"/>
      <c r="K73" s="83"/>
      <c r="L73" s="84"/>
    </row>
    <row r="74" spans="1:12" ht="12.75" hidden="1" customHeight="1">
      <c r="A74" s="82"/>
      <c r="B74" s="82"/>
      <c r="C74" s="63" t="s">
        <v>300</v>
      </c>
      <c r="D74" s="83">
        <v>1718.1</v>
      </c>
      <c r="E74" s="83">
        <v>0.5</v>
      </c>
      <c r="F74" s="83">
        <f>1630.5-673</f>
        <v>957.5</v>
      </c>
      <c r="G74" s="83">
        <v>4220.6000000000004</v>
      </c>
      <c r="H74" s="83">
        <v>1446.5</v>
      </c>
      <c r="I74" s="83">
        <v>746.1</v>
      </c>
      <c r="J74" s="83">
        <v>332.4</v>
      </c>
      <c r="K74" s="83">
        <f>J74+I74+H74+G74+F74+E74</f>
        <v>7703.6</v>
      </c>
      <c r="L74" s="84">
        <v>9421.6</v>
      </c>
    </row>
    <row r="75" spans="1:12" ht="12.75" hidden="1" customHeight="1">
      <c r="A75" s="82"/>
      <c r="B75" s="82"/>
      <c r="C75" s="63"/>
      <c r="D75" s="83"/>
      <c r="E75" s="83"/>
      <c r="F75" s="83"/>
      <c r="G75" s="83"/>
      <c r="H75" s="83"/>
      <c r="I75" s="83"/>
      <c r="J75" s="83"/>
      <c r="K75" s="83"/>
      <c r="L75" s="84"/>
    </row>
    <row r="76" spans="1:12" ht="12.75" hidden="1" customHeight="1">
      <c r="A76" s="82"/>
      <c r="B76" s="82"/>
      <c r="C76" s="63" t="s">
        <v>301</v>
      </c>
      <c r="D76" s="83">
        <v>1766.9</v>
      </c>
      <c r="E76" s="83">
        <v>0.7</v>
      </c>
      <c r="F76" s="83">
        <f>1580.5-528.3</f>
        <v>1052.2</v>
      </c>
      <c r="G76" s="83">
        <v>5073.3999999999996</v>
      </c>
      <c r="H76" s="83">
        <v>1486.4</v>
      </c>
      <c r="I76" s="83">
        <v>1061</v>
      </c>
      <c r="J76" s="83">
        <v>323.39999999999998</v>
      </c>
      <c r="K76" s="83">
        <f>J76+I76+H76+G76+F76+E76</f>
        <v>8997.1</v>
      </c>
      <c r="L76" s="84">
        <v>10764</v>
      </c>
    </row>
    <row r="77" spans="1:12" ht="12.75" hidden="1" customHeight="1">
      <c r="A77" s="82"/>
      <c r="B77" s="82"/>
      <c r="C77" s="63"/>
      <c r="D77" s="83"/>
      <c r="E77" s="83"/>
      <c r="F77" s="83"/>
      <c r="G77" s="83"/>
      <c r="H77" s="83"/>
      <c r="I77" s="83"/>
      <c r="J77" s="83"/>
      <c r="K77" s="83"/>
      <c r="L77" s="84"/>
    </row>
    <row r="78" spans="1:12" ht="12.75" hidden="1" customHeight="1">
      <c r="A78" s="82"/>
      <c r="B78" s="82"/>
      <c r="C78" s="63" t="s">
        <v>302</v>
      </c>
      <c r="D78" s="83">
        <v>1813.9</v>
      </c>
      <c r="E78" s="83">
        <v>10.3</v>
      </c>
      <c r="F78" s="83">
        <f>1469.9-485.7</f>
        <v>984.2</v>
      </c>
      <c r="G78" s="83">
        <v>5501</v>
      </c>
      <c r="H78" s="83">
        <v>1298.3</v>
      </c>
      <c r="I78" s="83">
        <v>1023.1</v>
      </c>
      <c r="J78" s="83">
        <v>393.4</v>
      </c>
      <c r="K78" s="83">
        <f>J78+I78+H78+G78+F78+E78</f>
        <v>9210.2999999999993</v>
      </c>
      <c r="L78" s="84">
        <v>11024.2</v>
      </c>
    </row>
    <row r="79" spans="1:12" ht="12.75" hidden="1" customHeight="1">
      <c r="A79" s="82"/>
      <c r="B79" s="82"/>
      <c r="C79" s="63"/>
      <c r="D79" s="83"/>
      <c r="E79" s="83"/>
      <c r="F79" s="83"/>
      <c r="G79" s="83"/>
      <c r="H79" s="83"/>
      <c r="I79" s="83"/>
      <c r="J79" s="83"/>
      <c r="K79" s="83"/>
      <c r="L79" s="84"/>
    </row>
    <row r="80" spans="1:12" ht="12.75" hidden="1" customHeight="1">
      <c r="A80" s="82"/>
      <c r="B80" s="82"/>
      <c r="C80" s="63" t="s">
        <v>303</v>
      </c>
      <c r="D80" s="83">
        <v>2010.6</v>
      </c>
      <c r="E80" s="83">
        <v>3.2</v>
      </c>
      <c r="F80" s="83">
        <f>1507.6-388</f>
        <v>1119.5999999999999</v>
      </c>
      <c r="G80" s="83">
        <v>4930</v>
      </c>
      <c r="H80" s="83">
        <v>1306.0999999999999</v>
      </c>
      <c r="I80" s="83">
        <v>1762.9</v>
      </c>
      <c r="J80" s="83">
        <v>465.2</v>
      </c>
      <c r="K80" s="83">
        <f>J80+I80+H80+G80+F80+E80</f>
        <v>9587.0000000000018</v>
      </c>
      <c r="L80" s="84">
        <v>11597.6</v>
      </c>
    </row>
    <row r="81" spans="1:12" ht="12.75" hidden="1" customHeight="1">
      <c r="A81" s="82"/>
      <c r="B81" s="82"/>
      <c r="C81" s="63"/>
      <c r="D81" s="83"/>
      <c r="E81" s="83"/>
      <c r="F81" s="83"/>
      <c r="G81" s="83"/>
      <c r="H81" s="83"/>
      <c r="I81" s="83"/>
      <c r="J81" s="83"/>
      <c r="K81" s="83"/>
      <c r="L81" s="84"/>
    </row>
    <row r="82" spans="1:12" ht="12.75" hidden="1" customHeight="1">
      <c r="A82" s="82"/>
      <c r="B82" s="82"/>
      <c r="C82" s="63" t="s">
        <v>304</v>
      </c>
      <c r="D82" s="83">
        <v>2046.3</v>
      </c>
      <c r="E82" s="83">
        <v>10.6</v>
      </c>
      <c r="F82" s="83">
        <f>2304.3-530.3</f>
        <v>1774.0000000000002</v>
      </c>
      <c r="G82" s="83">
        <v>5841.4</v>
      </c>
      <c r="H82" s="83">
        <v>1269.5</v>
      </c>
      <c r="I82" s="83">
        <v>1613.7</v>
      </c>
      <c r="J82" s="83">
        <v>510.6</v>
      </c>
      <c r="K82" s="83">
        <f>J82+I82+H82+G82+F82+E82</f>
        <v>11019.800000000001</v>
      </c>
      <c r="L82" s="84">
        <v>13066.1</v>
      </c>
    </row>
    <row r="83" spans="1:12" ht="12.75" hidden="1" customHeight="1">
      <c r="A83" s="82"/>
      <c r="B83" s="82"/>
      <c r="C83" s="63"/>
      <c r="D83" s="83"/>
      <c r="E83" s="83"/>
      <c r="F83" s="83"/>
      <c r="G83" s="83"/>
      <c r="H83" s="83"/>
      <c r="I83" s="83"/>
      <c r="J83" s="83"/>
      <c r="K83" s="83"/>
      <c r="L83" s="84"/>
    </row>
    <row r="84" spans="1:12" ht="12.75" hidden="1" customHeight="1">
      <c r="A84" s="82"/>
      <c r="B84" s="82"/>
      <c r="C84" s="63" t="s">
        <v>305</v>
      </c>
      <c r="D84" s="83">
        <v>2182</v>
      </c>
      <c r="E84" s="83">
        <v>5.2</v>
      </c>
      <c r="F84" s="83">
        <f>2184.1-828.4</f>
        <v>1355.6999999999998</v>
      </c>
      <c r="G84" s="83">
        <v>5506.5</v>
      </c>
      <c r="H84" s="83">
        <v>1443.7</v>
      </c>
      <c r="I84" s="83">
        <v>1715.2</v>
      </c>
      <c r="J84" s="83">
        <f>522.6+6.7</f>
        <v>529.30000000000007</v>
      </c>
      <c r="K84" s="83">
        <f>J84+I84+H84+G84+F84+E84</f>
        <v>10555.600000000002</v>
      </c>
      <c r="L84" s="84">
        <v>12737.6</v>
      </c>
    </row>
    <row r="85" spans="1:12" ht="12.75" hidden="1" customHeight="1">
      <c r="A85" s="82"/>
      <c r="B85" s="82"/>
      <c r="C85" s="63"/>
      <c r="D85" s="83"/>
      <c r="E85" s="83"/>
      <c r="F85" s="83"/>
      <c r="G85" s="83"/>
      <c r="H85" s="83"/>
      <c r="I85" s="83"/>
      <c r="J85" s="83"/>
      <c r="K85" s="83"/>
      <c r="L85" s="84"/>
    </row>
    <row r="86" spans="1:12" ht="12.75" hidden="1" customHeight="1">
      <c r="A86" s="82"/>
      <c r="B86" s="82"/>
      <c r="C86" s="63" t="s">
        <v>306</v>
      </c>
      <c r="D86" s="83">
        <v>2182.6999999999998</v>
      </c>
      <c r="E86" s="83">
        <v>16.100000000000001</v>
      </c>
      <c r="F86" s="83">
        <f>1573.8-590.4</f>
        <v>983.4</v>
      </c>
      <c r="G86" s="83">
        <v>6330.6</v>
      </c>
      <c r="H86" s="83">
        <v>1551.1</v>
      </c>
      <c r="I86" s="83">
        <v>1851.1</v>
      </c>
      <c r="J86" s="83">
        <f>500.3+3.8</f>
        <v>504.1</v>
      </c>
      <c r="K86" s="83">
        <f>J86+I86+H86+G86+F86+E86</f>
        <v>11236.4</v>
      </c>
      <c r="L86" s="84">
        <v>13419</v>
      </c>
    </row>
    <row r="87" spans="1:12" ht="12.75" hidden="1" customHeight="1">
      <c r="A87" s="82"/>
      <c r="B87" s="82"/>
      <c r="C87" s="63"/>
      <c r="D87" s="83"/>
      <c r="E87" s="83"/>
      <c r="F87" s="83"/>
      <c r="G87" s="83"/>
      <c r="H87" s="83"/>
      <c r="I87" s="83"/>
      <c r="J87" s="83"/>
      <c r="K87" s="83"/>
      <c r="L87" s="84"/>
    </row>
    <row r="88" spans="1:12" ht="12.75" hidden="1" customHeight="1">
      <c r="A88" s="82"/>
      <c r="B88" s="82"/>
      <c r="C88" s="63" t="s">
        <v>307</v>
      </c>
      <c r="D88" s="83">
        <v>2198.6</v>
      </c>
      <c r="E88" s="83">
        <v>3.9</v>
      </c>
      <c r="F88" s="83">
        <v>167.4</v>
      </c>
      <c r="G88" s="83">
        <v>5884.4</v>
      </c>
      <c r="H88" s="83">
        <v>1578.8</v>
      </c>
      <c r="I88" s="83">
        <v>1467.5</v>
      </c>
      <c r="J88" s="83">
        <f>459.8+20</f>
        <v>479.8</v>
      </c>
      <c r="K88" s="83">
        <f>J88+I88+H88+G88+F88+E88</f>
        <v>9581.7999999999993</v>
      </c>
      <c r="L88" s="84">
        <v>11780.4</v>
      </c>
    </row>
    <row r="89" spans="1:12" ht="12.75" hidden="1" customHeight="1">
      <c r="A89" s="82"/>
      <c r="B89" s="82"/>
      <c r="C89" s="63"/>
      <c r="D89" s="83"/>
      <c r="E89" s="83"/>
      <c r="F89" s="83"/>
      <c r="G89" s="83"/>
      <c r="H89" s="83"/>
      <c r="I89" s="83"/>
      <c r="J89" s="83"/>
      <c r="K89" s="83"/>
      <c r="L89" s="84"/>
    </row>
    <row r="90" spans="1:12" ht="12.75" hidden="1" customHeight="1">
      <c r="A90" s="82"/>
      <c r="B90" s="82"/>
      <c r="C90" s="63" t="s">
        <v>308</v>
      </c>
      <c r="D90" s="83">
        <v>2467</v>
      </c>
      <c r="E90" s="83">
        <v>23.1</v>
      </c>
      <c r="F90" s="83">
        <v>0</v>
      </c>
      <c r="G90" s="83">
        <v>6119.6</v>
      </c>
      <c r="H90" s="83">
        <v>1333</v>
      </c>
      <c r="I90" s="83">
        <v>1339.6</v>
      </c>
      <c r="J90" s="83">
        <f>450.8+8.4</f>
        <v>459.2</v>
      </c>
      <c r="K90" s="83">
        <f>J90+I90+H90+G90+F90+E90</f>
        <v>9274.5000000000018</v>
      </c>
      <c r="L90" s="84">
        <v>11741.6</v>
      </c>
    </row>
    <row r="91" spans="1:12" ht="12.75" hidden="1" customHeight="1">
      <c r="A91" s="82"/>
      <c r="B91" s="82"/>
      <c r="C91" s="63"/>
      <c r="D91" s="83"/>
      <c r="E91" s="83"/>
      <c r="F91" s="83"/>
      <c r="G91" s="83"/>
      <c r="H91" s="83"/>
      <c r="I91" s="83"/>
      <c r="J91" s="83"/>
      <c r="K91" s="83"/>
      <c r="L91" s="84"/>
    </row>
    <row r="92" spans="1:12" ht="12.75" hidden="1" customHeight="1">
      <c r="A92" s="82"/>
      <c r="B92" s="82"/>
      <c r="C92" s="63" t="s">
        <v>311</v>
      </c>
      <c r="D92" s="83">
        <v>2342.4</v>
      </c>
      <c r="E92" s="83">
        <v>20.8</v>
      </c>
      <c r="F92" s="83">
        <v>0</v>
      </c>
      <c r="G92" s="83">
        <v>7242.6</v>
      </c>
      <c r="H92" s="83">
        <v>1305</v>
      </c>
      <c r="I92" s="83">
        <v>1842.6</v>
      </c>
      <c r="J92" s="83">
        <f>24.9+494.8</f>
        <v>519.70000000000005</v>
      </c>
      <c r="K92" s="83">
        <f>J92+I92+H92+G92+F92+E92</f>
        <v>10930.7</v>
      </c>
      <c r="L92" s="84">
        <v>13273.1</v>
      </c>
    </row>
    <row r="93" spans="1:12" ht="12.75" hidden="1" customHeight="1">
      <c r="A93" s="82"/>
      <c r="B93" s="82"/>
      <c r="C93" s="63"/>
      <c r="D93" s="83"/>
      <c r="E93" s="83"/>
      <c r="F93" s="83"/>
      <c r="G93" s="83"/>
      <c r="H93" s="83"/>
      <c r="I93" s="83"/>
      <c r="J93" s="83"/>
      <c r="K93" s="83"/>
      <c r="L93" s="84"/>
    </row>
    <row r="94" spans="1:12" ht="12.75" hidden="1" customHeight="1">
      <c r="A94" s="82"/>
      <c r="B94" s="82"/>
      <c r="C94" s="75" t="s">
        <v>314</v>
      </c>
      <c r="D94" s="83"/>
      <c r="E94" s="83"/>
      <c r="F94" s="83"/>
      <c r="G94" s="83"/>
      <c r="H94" s="83"/>
      <c r="I94" s="83"/>
      <c r="J94" s="83"/>
      <c r="K94" s="83"/>
      <c r="L94" s="84"/>
    </row>
    <row r="95" spans="1:12" ht="12.75" hidden="1" customHeight="1">
      <c r="A95" s="82"/>
      <c r="B95" s="82"/>
      <c r="C95" s="59"/>
      <c r="D95" s="83"/>
      <c r="E95" s="83"/>
      <c r="F95" s="83"/>
      <c r="G95" s="83"/>
      <c r="H95" s="83"/>
      <c r="I95" s="83"/>
      <c r="J95" s="83"/>
      <c r="K95" s="83"/>
      <c r="L95" s="84"/>
    </row>
    <row r="96" spans="1:12" ht="12.75" hidden="1" customHeight="1">
      <c r="A96" s="82"/>
      <c r="B96" s="82"/>
      <c r="C96" s="63" t="s">
        <v>298</v>
      </c>
      <c r="D96" s="83">
        <v>2233.1</v>
      </c>
      <c r="E96" s="83">
        <v>14.2</v>
      </c>
      <c r="F96" s="83">
        <v>0</v>
      </c>
      <c r="G96" s="83">
        <v>6654.8</v>
      </c>
      <c r="H96" s="83">
        <v>1426.2</v>
      </c>
      <c r="I96" s="83">
        <v>1498.2</v>
      </c>
      <c r="J96" s="83">
        <v>560.4</v>
      </c>
      <c r="K96" s="83">
        <f>J96+I96+H96+G96+F96+E96</f>
        <v>10153.800000000001</v>
      </c>
      <c r="L96" s="84">
        <v>12386.9</v>
      </c>
    </row>
    <row r="97" spans="1:12" ht="12.75" hidden="1" customHeight="1">
      <c r="A97" s="82"/>
      <c r="B97" s="82"/>
      <c r="C97" s="63"/>
      <c r="D97" s="83"/>
      <c r="E97" s="83"/>
      <c r="F97" s="83"/>
      <c r="G97" s="83"/>
      <c r="H97" s="83"/>
      <c r="I97" s="83"/>
      <c r="J97" s="83"/>
      <c r="K97" s="83"/>
      <c r="L97" s="84"/>
    </row>
    <row r="98" spans="1:12" ht="12.75" hidden="1" customHeight="1">
      <c r="A98" s="82"/>
      <c r="B98" s="82"/>
      <c r="C98" s="63" t="s">
        <v>299</v>
      </c>
      <c r="D98" s="83">
        <v>2345.1</v>
      </c>
      <c r="E98" s="83">
        <v>16.100000000000001</v>
      </c>
      <c r="F98" s="83">
        <f>922.7-44</f>
        <v>878.7</v>
      </c>
      <c r="G98" s="83">
        <v>7144.5</v>
      </c>
      <c r="H98" s="83">
        <v>1069.9000000000001</v>
      </c>
      <c r="I98" s="83">
        <v>1317.2</v>
      </c>
      <c r="J98" s="83">
        <f>401+112.4</f>
        <v>513.4</v>
      </c>
      <c r="K98" s="83">
        <f>J98+I98+H98+G98+F98+E98</f>
        <v>10939.800000000001</v>
      </c>
      <c r="L98" s="84">
        <v>13284.9</v>
      </c>
    </row>
    <row r="99" spans="1:12" ht="12.75" hidden="1" customHeight="1">
      <c r="A99" s="82"/>
      <c r="B99" s="82"/>
      <c r="C99" s="63"/>
      <c r="D99" s="83"/>
      <c r="E99" s="83"/>
      <c r="F99" s="83"/>
      <c r="G99" s="83"/>
      <c r="H99" s="83"/>
      <c r="I99" s="83"/>
      <c r="J99" s="83"/>
      <c r="K99" s="83"/>
      <c r="L99" s="84"/>
    </row>
    <row r="100" spans="1:12" ht="12.75" hidden="1" customHeight="1">
      <c r="A100" s="82"/>
      <c r="B100" s="82"/>
      <c r="C100" s="63" t="s">
        <v>300</v>
      </c>
      <c r="D100" s="83">
        <v>2474</v>
      </c>
      <c r="E100" s="83">
        <v>14.8</v>
      </c>
      <c r="F100" s="83">
        <f>1012.3-128.9</f>
        <v>883.4</v>
      </c>
      <c r="G100" s="83">
        <v>7382.5</v>
      </c>
      <c r="H100" s="83">
        <v>1404.2</v>
      </c>
      <c r="I100" s="83">
        <v>1301.8</v>
      </c>
      <c r="J100" s="83">
        <f>421+116.4</f>
        <v>537.4</v>
      </c>
      <c r="K100" s="83">
        <f>J100+I100+H100+G100+F100+E100</f>
        <v>11524.099999999999</v>
      </c>
      <c r="L100" s="84">
        <v>13998.2</v>
      </c>
    </row>
    <row r="101" spans="1:12" ht="12.75" hidden="1" customHeight="1">
      <c r="A101" s="82"/>
      <c r="B101" s="82"/>
      <c r="C101" s="63"/>
      <c r="D101" s="83"/>
      <c r="E101" s="83"/>
      <c r="F101" s="83"/>
      <c r="G101" s="83"/>
      <c r="H101" s="83"/>
      <c r="I101" s="83"/>
      <c r="J101" s="83"/>
      <c r="K101" s="83"/>
      <c r="L101" s="84"/>
    </row>
    <row r="102" spans="1:12" ht="12.75" hidden="1" customHeight="1">
      <c r="A102" s="82"/>
      <c r="B102" s="82"/>
      <c r="C102" s="63" t="s">
        <v>301</v>
      </c>
      <c r="D102" s="83">
        <v>2407.1</v>
      </c>
      <c r="E102" s="83">
        <v>5.6</v>
      </c>
      <c r="F102" s="83">
        <f>1595.2-213.4</f>
        <v>1381.8</v>
      </c>
      <c r="G102" s="83">
        <v>7370.9</v>
      </c>
      <c r="H102" s="83">
        <v>1660</v>
      </c>
      <c r="I102" s="83">
        <v>1582.3</v>
      </c>
      <c r="J102" s="83">
        <f>434.3+15.1</f>
        <v>449.40000000000003</v>
      </c>
      <c r="K102" s="83">
        <f>J102+I102+H102+G102+F102+E102</f>
        <v>12449.999999999998</v>
      </c>
      <c r="L102" s="84">
        <v>14857.1</v>
      </c>
    </row>
    <row r="103" spans="1:12" ht="12.75" hidden="1" customHeight="1">
      <c r="A103" s="82"/>
      <c r="B103" s="82"/>
      <c r="C103" s="63"/>
      <c r="D103" s="83"/>
      <c r="E103" s="83"/>
      <c r="F103" s="83"/>
      <c r="G103" s="83"/>
      <c r="H103" s="83"/>
      <c r="I103" s="83"/>
      <c r="J103" s="83"/>
      <c r="K103" s="83"/>
      <c r="L103" s="84"/>
    </row>
    <row r="104" spans="1:12" ht="12.75" hidden="1" customHeight="1">
      <c r="A104" s="82"/>
      <c r="B104" s="82"/>
      <c r="C104" s="63" t="s">
        <v>302</v>
      </c>
      <c r="D104" s="83">
        <v>2521.1999999999998</v>
      </c>
      <c r="E104" s="83">
        <v>7.3</v>
      </c>
      <c r="F104" s="83">
        <f>1515.8-238.2</f>
        <v>1277.5999999999999</v>
      </c>
      <c r="G104" s="83">
        <v>7733</v>
      </c>
      <c r="H104" s="83">
        <v>2076.9</v>
      </c>
      <c r="I104" s="83">
        <v>1519.1</v>
      </c>
      <c r="J104" s="83">
        <f>400.6+15.1</f>
        <v>415.70000000000005</v>
      </c>
      <c r="K104" s="83">
        <f>J104+I104+H104+G104+F104+E104</f>
        <v>13029.6</v>
      </c>
      <c r="L104" s="84">
        <v>15550.8</v>
      </c>
    </row>
    <row r="105" spans="1:12" ht="12.75" hidden="1" customHeight="1">
      <c r="A105" s="82"/>
      <c r="B105" s="82"/>
      <c r="C105" s="63"/>
      <c r="D105" s="83"/>
      <c r="E105" s="83"/>
      <c r="F105" s="83"/>
      <c r="G105" s="83"/>
      <c r="H105" s="83"/>
      <c r="I105" s="83"/>
      <c r="J105" s="83"/>
      <c r="K105" s="83"/>
      <c r="L105" s="84"/>
    </row>
    <row r="106" spans="1:12" ht="12.75" hidden="1" customHeight="1">
      <c r="A106" s="82"/>
      <c r="B106" s="82"/>
      <c r="C106" s="63" t="s">
        <v>303</v>
      </c>
      <c r="D106" s="83">
        <v>2565.1999999999998</v>
      </c>
      <c r="E106" s="83">
        <v>5.5</v>
      </c>
      <c r="F106" s="83">
        <f>1072.5-356.5</f>
        <v>716</v>
      </c>
      <c r="G106" s="83">
        <v>8166.9</v>
      </c>
      <c r="H106" s="83">
        <v>1640.2</v>
      </c>
      <c r="I106" s="83">
        <v>1201.3</v>
      </c>
      <c r="J106" s="83">
        <f>433.2+7.3</f>
        <v>440.5</v>
      </c>
      <c r="K106" s="83">
        <f>J106+I106+H106+G106+F106+E106</f>
        <v>12170.4</v>
      </c>
      <c r="L106" s="84">
        <v>14735.6</v>
      </c>
    </row>
    <row r="107" spans="1:12" ht="12.75" hidden="1" customHeight="1">
      <c r="A107" s="82"/>
      <c r="B107" s="82"/>
      <c r="C107" s="63"/>
      <c r="D107" s="83"/>
      <c r="E107" s="83"/>
      <c r="F107" s="83"/>
      <c r="G107" s="83"/>
      <c r="H107" s="83"/>
      <c r="I107" s="83"/>
      <c r="J107" s="83"/>
      <c r="K107" s="83"/>
      <c r="L107" s="84"/>
    </row>
    <row r="108" spans="1:12" ht="12.75" hidden="1" customHeight="1">
      <c r="C108" s="63" t="s">
        <v>304</v>
      </c>
      <c r="D108" s="83">
        <v>2738.1</v>
      </c>
      <c r="E108" s="83">
        <v>8.6</v>
      </c>
      <c r="F108" s="83">
        <v>839.8</v>
      </c>
      <c r="G108" s="83">
        <f>9299.5-1675.1</f>
        <v>7624.4</v>
      </c>
      <c r="H108" s="83">
        <v>1675.1</v>
      </c>
      <c r="I108" s="83">
        <f>1672.1-441.5</f>
        <v>1230.5999999999999</v>
      </c>
      <c r="J108" s="83">
        <f>434.5+7</f>
        <v>441.5</v>
      </c>
      <c r="K108" s="83">
        <f>J108+I108+H108+G108+F108+E108</f>
        <v>11819.999999999998</v>
      </c>
      <c r="L108" s="84">
        <v>14558.1</v>
      </c>
    </row>
    <row r="109" spans="1:12" ht="12.75" hidden="1" customHeight="1">
      <c r="C109" s="63"/>
      <c r="D109" s="83"/>
      <c r="E109" s="83"/>
      <c r="F109" s="83"/>
      <c r="G109" s="83"/>
      <c r="H109" s="83"/>
      <c r="I109" s="83"/>
      <c r="J109" s="83"/>
      <c r="K109" s="83"/>
      <c r="L109" s="84"/>
    </row>
    <row r="110" spans="1:12" ht="12.75" hidden="1" customHeight="1">
      <c r="C110" s="63" t="s">
        <v>305</v>
      </c>
      <c r="D110" s="83">
        <v>2922.7</v>
      </c>
      <c r="E110" s="83">
        <v>7.8</v>
      </c>
      <c r="F110" s="83">
        <v>1197.5</v>
      </c>
      <c r="G110" s="83">
        <f>9776.9-1822.4</f>
        <v>7954.5</v>
      </c>
      <c r="H110" s="83">
        <v>1822.4</v>
      </c>
      <c r="I110" s="83">
        <f>1901.8-577.3</f>
        <v>1324.5</v>
      </c>
      <c r="J110" s="83">
        <f>550.1+27.2</f>
        <v>577.30000000000007</v>
      </c>
      <c r="K110" s="83">
        <f>J110+I110+H110+G110+F110+E110</f>
        <v>12884</v>
      </c>
      <c r="L110" s="84">
        <v>15806.7</v>
      </c>
    </row>
    <row r="111" spans="1:12" ht="12.75" hidden="1" customHeight="1">
      <c r="C111" s="63"/>
      <c r="D111" s="83"/>
      <c r="E111" s="83"/>
      <c r="F111" s="83"/>
      <c r="G111" s="83"/>
      <c r="H111" s="83"/>
      <c r="I111" s="83"/>
      <c r="J111" s="83"/>
      <c r="K111" s="83"/>
      <c r="L111" s="84"/>
    </row>
    <row r="112" spans="1:12" ht="12.75" hidden="1" customHeight="1">
      <c r="C112" s="63" t="s">
        <v>306</v>
      </c>
      <c r="D112" s="83">
        <v>2819</v>
      </c>
      <c r="E112" s="83">
        <v>10.8</v>
      </c>
      <c r="F112" s="83">
        <v>1434.1</v>
      </c>
      <c r="G112" s="83">
        <f>10049.1-2039.1</f>
        <v>8010</v>
      </c>
      <c r="H112" s="83">
        <v>2039.1</v>
      </c>
      <c r="I112" s="83">
        <f>1977.7-693</f>
        <v>1284.7</v>
      </c>
      <c r="J112" s="83">
        <f>661.2+31.8</f>
        <v>693</v>
      </c>
      <c r="K112" s="83">
        <f>J112+I112+H112+G112+F112+E112</f>
        <v>13471.699999999999</v>
      </c>
      <c r="L112" s="84">
        <v>16290.7</v>
      </c>
    </row>
    <row r="113" spans="3:12" ht="12.75" hidden="1" customHeight="1">
      <c r="C113" s="63"/>
      <c r="D113" s="83"/>
      <c r="E113" s="83"/>
      <c r="F113" s="83"/>
      <c r="G113" s="83"/>
      <c r="H113" s="83"/>
      <c r="I113" s="83"/>
      <c r="J113" s="83"/>
      <c r="K113" s="83"/>
      <c r="L113" s="84"/>
    </row>
    <row r="114" spans="3:12" ht="12.75" hidden="1" customHeight="1">
      <c r="C114" s="63" t="s">
        <v>307</v>
      </c>
      <c r="D114" s="83">
        <v>2871.1</v>
      </c>
      <c r="E114" s="83">
        <v>22.1</v>
      </c>
      <c r="F114" s="83">
        <v>1459.5</v>
      </c>
      <c r="G114" s="83">
        <f>10821-1885.4</f>
        <v>8935.6</v>
      </c>
      <c r="H114" s="83">
        <v>1885.4</v>
      </c>
      <c r="I114" s="83">
        <f>2132.9-587</f>
        <v>1545.9</v>
      </c>
      <c r="J114" s="83">
        <f>577.6+9.4</f>
        <v>587</v>
      </c>
      <c r="K114" s="83">
        <f>J114+I114+H114+G114+F114+E114</f>
        <v>14435.500000000002</v>
      </c>
      <c r="L114" s="84">
        <v>17306.7</v>
      </c>
    </row>
    <row r="115" spans="3:12" ht="12.75" hidden="1" customHeight="1">
      <c r="C115" s="63"/>
      <c r="D115" s="83"/>
      <c r="E115" s="83"/>
      <c r="F115" s="83"/>
      <c r="G115" s="83"/>
      <c r="H115" s="83"/>
      <c r="I115" s="83"/>
      <c r="J115" s="83"/>
      <c r="K115" s="83"/>
      <c r="L115" s="84"/>
    </row>
    <row r="116" spans="3:12" ht="12.75" hidden="1" customHeight="1">
      <c r="C116" s="63" t="s">
        <v>308</v>
      </c>
      <c r="D116" s="83">
        <v>3167.2</v>
      </c>
      <c r="E116" s="83">
        <v>32.299999999999997</v>
      </c>
      <c r="F116" s="83">
        <v>1747.1</v>
      </c>
      <c r="G116" s="83">
        <f>9732.6-1219.7</f>
        <v>8512.9</v>
      </c>
      <c r="H116" s="83">
        <v>1219.7</v>
      </c>
      <c r="I116" s="83">
        <f>2541.6-317.4</f>
        <v>2224.1999999999998</v>
      </c>
      <c r="J116" s="83">
        <f>3.3+314.1</f>
        <v>317.40000000000003</v>
      </c>
      <c r="K116" s="83">
        <f>J116+I116+H116+G116+F116+E116</f>
        <v>14053.6</v>
      </c>
      <c r="L116" s="84">
        <v>17220.8</v>
      </c>
    </row>
    <row r="117" spans="3:12" ht="12.75" hidden="1" customHeight="1">
      <c r="C117" s="63"/>
      <c r="D117" s="83"/>
      <c r="E117" s="83"/>
      <c r="F117" s="83"/>
      <c r="G117" s="83"/>
      <c r="H117" s="83"/>
      <c r="I117" s="83"/>
      <c r="J117" s="83"/>
      <c r="K117" s="83"/>
      <c r="L117" s="84"/>
    </row>
    <row r="118" spans="3:12" ht="12.75" hidden="1" customHeight="1">
      <c r="C118" s="63" t="s">
        <v>311</v>
      </c>
      <c r="D118" s="83">
        <v>3395.9</v>
      </c>
      <c r="E118" s="83">
        <v>37</v>
      </c>
      <c r="F118" s="83">
        <v>1534.4</v>
      </c>
      <c r="G118" s="83">
        <f>12164.8-1888.6</f>
        <v>10276.199999999999</v>
      </c>
      <c r="H118" s="83">
        <v>1888.6</v>
      </c>
      <c r="I118" s="83">
        <f>2468.5-259.5</f>
        <v>2209</v>
      </c>
      <c r="J118" s="83">
        <v>259.5</v>
      </c>
      <c r="K118" s="83">
        <f>J118+I118+H118+G118+F118+E118</f>
        <v>16204.699999999999</v>
      </c>
      <c r="L118" s="84">
        <v>19600.599999999999</v>
      </c>
    </row>
    <row r="119" spans="3:12" ht="12.75" hidden="1" customHeight="1">
      <c r="C119" s="63"/>
      <c r="D119" s="83"/>
      <c r="E119" s="83"/>
      <c r="F119" s="83"/>
      <c r="G119" s="83"/>
      <c r="H119" s="83"/>
      <c r="I119" s="83"/>
      <c r="J119" s="83"/>
      <c r="K119" s="83"/>
      <c r="L119" s="84"/>
    </row>
    <row r="120" spans="3:12" ht="12.75" hidden="1" customHeight="1">
      <c r="C120" s="75" t="s">
        <v>315</v>
      </c>
      <c r="D120" s="83"/>
      <c r="E120" s="83"/>
      <c r="F120" s="83"/>
      <c r="G120" s="83"/>
      <c r="H120" s="83"/>
      <c r="I120" s="83"/>
      <c r="J120" s="83"/>
      <c r="K120" s="83"/>
      <c r="L120" s="84"/>
    </row>
    <row r="121" spans="3:12" ht="12.75" hidden="1" customHeight="1">
      <c r="C121" s="59"/>
      <c r="D121" s="83"/>
      <c r="E121" s="83"/>
      <c r="F121" s="83"/>
      <c r="G121" s="83"/>
      <c r="H121" s="83"/>
      <c r="I121" s="83"/>
      <c r="J121" s="83"/>
      <c r="K121" s="83"/>
      <c r="L121" s="84"/>
    </row>
    <row r="122" spans="3:12" ht="12.75" hidden="1" customHeight="1">
      <c r="C122" s="63" t="s">
        <v>298</v>
      </c>
      <c r="D122" s="83">
        <v>3207.5</v>
      </c>
      <c r="E122" s="83">
        <v>34.799999999999997</v>
      </c>
      <c r="F122" s="83">
        <v>1761.5</v>
      </c>
      <c r="G122" s="83">
        <f>11106.9-1133.6</f>
        <v>9973.2999999999993</v>
      </c>
      <c r="H122" s="83">
        <v>1133.5999999999999</v>
      </c>
      <c r="I122" s="83">
        <f>1751.9-67.1</f>
        <v>1684.8000000000002</v>
      </c>
      <c r="J122" s="83">
        <v>67.099999999999994</v>
      </c>
      <c r="K122" s="83">
        <f>J122+I122+H122+G122+F122+E122</f>
        <v>14655.099999999999</v>
      </c>
      <c r="L122" s="84">
        <v>17862.599999999999</v>
      </c>
    </row>
    <row r="123" spans="3:12" ht="12.75" hidden="1" customHeight="1">
      <c r="C123" s="63"/>
      <c r="D123" s="83"/>
      <c r="E123" s="83"/>
      <c r="F123" s="83"/>
      <c r="G123" s="83"/>
      <c r="H123" s="83"/>
      <c r="I123" s="83"/>
      <c r="J123" s="83"/>
      <c r="K123" s="83"/>
      <c r="L123" s="84"/>
    </row>
    <row r="124" spans="3:12" ht="12.75" hidden="1" customHeight="1">
      <c r="C124" s="63" t="s">
        <v>299</v>
      </c>
      <c r="D124" s="83">
        <v>3237.2</v>
      </c>
      <c r="E124" s="83">
        <v>52.2</v>
      </c>
      <c r="F124" s="83">
        <v>1210.3</v>
      </c>
      <c r="G124" s="83">
        <f>10256.5-922.7</f>
        <v>9333.7999999999993</v>
      </c>
      <c r="H124" s="83">
        <v>922.7</v>
      </c>
      <c r="I124" s="83">
        <f>1713.4-79.3</f>
        <v>1634.1000000000001</v>
      </c>
      <c r="J124" s="83">
        <v>79.3</v>
      </c>
      <c r="K124" s="83">
        <f>J124+I124+H124+G124+F124+E124</f>
        <v>13232.4</v>
      </c>
      <c r="L124" s="84">
        <v>16469.599999999999</v>
      </c>
    </row>
    <row r="125" spans="3:12" ht="12.75" hidden="1" customHeight="1">
      <c r="C125" s="63"/>
      <c r="D125" s="83"/>
      <c r="E125" s="83"/>
      <c r="F125" s="83"/>
      <c r="G125" s="83"/>
      <c r="H125" s="83"/>
      <c r="I125" s="83"/>
      <c r="J125" s="83"/>
      <c r="K125" s="83"/>
      <c r="L125" s="84"/>
    </row>
    <row r="126" spans="3:12" ht="12.75" hidden="1" customHeight="1">
      <c r="C126" s="63" t="s">
        <v>300</v>
      </c>
      <c r="D126" s="83">
        <v>3043.6</v>
      </c>
      <c r="E126" s="83">
        <v>39.6</v>
      </c>
      <c r="F126" s="83">
        <v>1190.9000000000001</v>
      </c>
      <c r="G126" s="83">
        <f>11219.7-882.4</f>
        <v>10337.300000000001</v>
      </c>
      <c r="H126" s="83">
        <v>882.4</v>
      </c>
      <c r="I126" s="83">
        <f>1865.8-67.9</f>
        <v>1797.8999999999999</v>
      </c>
      <c r="J126" s="83">
        <v>67.900000000000006</v>
      </c>
      <c r="K126" s="83">
        <f>J126+I126+H126+G126+F126+E126</f>
        <v>14316</v>
      </c>
      <c r="L126" s="84">
        <v>17359.599999999999</v>
      </c>
    </row>
    <row r="127" spans="3:12" ht="12.75" hidden="1" customHeight="1">
      <c r="C127" s="63"/>
      <c r="D127" s="83"/>
      <c r="E127" s="83"/>
      <c r="F127" s="83"/>
      <c r="G127" s="83"/>
      <c r="H127" s="83"/>
      <c r="I127" s="83"/>
      <c r="J127" s="83"/>
      <c r="K127" s="83"/>
      <c r="L127" s="84"/>
    </row>
    <row r="128" spans="3:12" ht="12.75" hidden="1" customHeight="1">
      <c r="C128" s="63" t="s">
        <v>301</v>
      </c>
      <c r="D128" s="83">
        <v>3370</v>
      </c>
      <c r="E128" s="83">
        <v>40.9</v>
      </c>
      <c r="F128" s="83">
        <v>1053.7</v>
      </c>
      <c r="G128" s="83">
        <f>11632.2-915.5</f>
        <v>10716.7</v>
      </c>
      <c r="H128" s="83">
        <v>915.5</v>
      </c>
      <c r="I128" s="83">
        <f>2038.8-107.6</f>
        <v>1931.2</v>
      </c>
      <c r="J128" s="83">
        <v>107.6</v>
      </c>
      <c r="K128" s="83">
        <f>J128+I128+H128+G128+F128+E128</f>
        <v>14765.6</v>
      </c>
      <c r="L128" s="84">
        <v>18135.599999999999</v>
      </c>
    </row>
    <row r="129" spans="3:12" ht="12.75" hidden="1" customHeight="1">
      <c r="C129" s="63"/>
      <c r="D129" s="83"/>
      <c r="E129" s="83"/>
      <c r="F129" s="83"/>
      <c r="G129" s="83"/>
      <c r="H129" s="83"/>
      <c r="I129" s="83"/>
      <c r="J129" s="83"/>
      <c r="K129" s="83"/>
      <c r="L129" s="84"/>
    </row>
    <row r="130" spans="3:12" ht="12.75" hidden="1" customHeight="1">
      <c r="C130" s="63" t="s">
        <v>302</v>
      </c>
      <c r="D130" s="83">
        <v>3497.5</v>
      </c>
      <c r="E130" s="83">
        <v>39.6</v>
      </c>
      <c r="F130" s="83">
        <v>876.9</v>
      </c>
      <c r="G130" s="83">
        <f>10223.9-1022.8</f>
        <v>9201.1</v>
      </c>
      <c r="H130" s="83">
        <v>1022.8</v>
      </c>
      <c r="I130" s="83">
        <f>2400.3-83.1</f>
        <v>2317.2000000000003</v>
      </c>
      <c r="J130" s="83">
        <v>83.1</v>
      </c>
      <c r="K130" s="83">
        <f>J130+I130+H130+G130+F130+E130</f>
        <v>13540.7</v>
      </c>
      <c r="L130" s="84">
        <v>17038.099999999999</v>
      </c>
    </row>
    <row r="131" spans="3:12" ht="12.75" hidden="1" customHeight="1">
      <c r="C131" s="63"/>
      <c r="D131" s="83"/>
      <c r="E131" s="83"/>
      <c r="F131" s="83"/>
      <c r="G131" s="83"/>
      <c r="H131" s="83"/>
      <c r="I131" s="83"/>
      <c r="J131" s="83"/>
      <c r="K131" s="83"/>
      <c r="L131" s="84"/>
    </row>
    <row r="132" spans="3:12" ht="12.75" hidden="1" customHeight="1">
      <c r="C132" s="63" t="s">
        <v>303</v>
      </c>
      <c r="D132" s="83">
        <v>3457.6</v>
      </c>
      <c r="E132" s="83">
        <v>49.5</v>
      </c>
      <c r="F132" s="83">
        <v>772.7</v>
      </c>
      <c r="G132" s="83">
        <f>11197.9-992.5</f>
        <v>10205.4</v>
      </c>
      <c r="H132" s="83">
        <v>992.5</v>
      </c>
      <c r="I132" s="83">
        <f>2350.7-97.5</f>
        <v>2253.1999999999998</v>
      </c>
      <c r="J132" s="83">
        <v>97.5</v>
      </c>
      <c r="K132" s="83">
        <f>J132+I132+H132+G132+F132+E132</f>
        <v>14370.8</v>
      </c>
      <c r="L132" s="84">
        <v>17828.5</v>
      </c>
    </row>
    <row r="133" spans="3:12" ht="12.75" hidden="1" customHeight="1">
      <c r="C133" s="63"/>
      <c r="D133" s="83"/>
      <c r="E133" s="83"/>
      <c r="F133" s="83"/>
      <c r="G133" s="83"/>
      <c r="H133" s="83"/>
      <c r="I133" s="83"/>
      <c r="J133" s="83"/>
      <c r="K133" s="83"/>
      <c r="L133" s="84"/>
    </row>
    <row r="134" spans="3:12" ht="12.75" hidden="1" customHeight="1">
      <c r="C134" s="63" t="s">
        <v>304</v>
      </c>
      <c r="D134" s="83">
        <v>3616</v>
      </c>
      <c r="E134" s="83">
        <v>52.6</v>
      </c>
      <c r="F134" s="83">
        <v>963.7</v>
      </c>
      <c r="G134" s="83">
        <f>11321.9-1073.3</f>
        <v>10248.6</v>
      </c>
      <c r="H134" s="83">
        <v>1073.3</v>
      </c>
      <c r="I134" s="83">
        <f>2186.2-281.4</f>
        <v>1904.7999999999997</v>
      </c>
      <c r="J134" s="83">
        <v>281.39999999999998</v>
      </c>
      <c r="K134" s="83">
        <f>J134+I134+H134+G134+F134+E134</f>
        <v>14524.400000000001</v>
      </c>
      <c r="L134" s="84">
        <v>18140.400000000001</v>
      </c>
    </row>
    <row r="135" spans="3:12" ht="12.75" hidden="1" customHeight="1">
      <c r="C135" s="63"/>
      <c r="D135" s="83"/>
      <c r="E135" s="83"/>
      <c r="F135" s="83"/>
      <c r="G135" s="83"/>
      <c r="H135" s="83"/>
      <c r="I135" s="83"/>
      <c r="J135" s="83"/>
      <c r="K135" s="83"/>
      <c r="L135" s="84"/>
    </row>
    <row r="136" spans="3:12" ht="12.75" hidden="1" customHeight="1">
      <c r="C136" s="63" t="s">
        <v>305</v>
      </c>
      <c r="D136" s="83">
        <v>3650.5</v>
      </c>
      <c r="E136" s="83">
        <v>62.4</v>
      </c>
      <c r="F136" s="83">
        <v>756.9</v>
      </c>
      <c r="G136" s="83">
        <f>11645.1-1450</f>
        <v>10195.1</v>
      </c>
      <c r="H136" s="83">
        <v>1450</v>
      </c>
      <c r="I136" s="83">
        <f>2241.3-187.4</f>
        <v>2053.9</v>
      </c>
      <c r="J136" s="83">
        <v>187.4</v>
      </c>
      <c r="K136" s="83">
        <f>J136+I136+H136+G136+F136+E136</f>
        <v>14705.7</v>
      </c>
      <c r="L136" s="84">
        <v>18356.2</v>
      </c>
    </row>
    <row r="137" spans="3:12" ht="12.75" hidden="1" customHeight="1">
      <c r="C137" s="63"/>
      <c r="D137" s="83"/>
      <c r="E137" s="83"/>
      <c r="F137" s="83"/>
      <c r="G137" s="83"/>
      <c r="H137" s="83"/>
      <c r="I137" s="83"/>
      <c r="J137" s="83"/>
      <c r="K137" s="83"/>
      <c r="L137" s="84"/>
    </row>
    <row r="138" spans="3:12" ht="12.75" hidden="1" customHeight="1">
      <c r="C138" s="63" t="s">
        <v>306</v>
      </c>
      <c r="D138" s="83">
        <v>3599.4</v>
      </c>
      <c r="E138" s="83">
        <v>83.3</v>
      </c>
      <c r="F138" s="83">
        <v>737</v>
      </c>
      <c r="G138" s="83">
        <v>9830.5</v>
      </c>
      <c r="H138" s="83">
        <v>2183</v>
      </c>
      <c r="I138" s="83">
        <v>2619</v>
      </c>
      <c r="J138" s="83">
        <v>258.7</v>
      </c>
      <c r="K138" s="83">
        <f>J138+I138+H138+G138+F138+E138</f>
        <v>15711.5</v>
      </c>
      <c r="L138" s="84">
        <v>19310.900000000001</v>
      </c>
    </row>
    <row r="139" spans="3:12" ht="12.75" hidden="1" customHeight="1">
      <c r="C139" s="63"/>
      <c r="D139" s="83"/>
      <c r="E139" s="83"/>
      <c r="F139" s="83"/>
      <c r="G139" s="83"/>
      <c r="H139" s="83"/>
      <c r="I139" s="83"/>
      <c r="J139" s="83"/>
      <c r="K139" s="83"/>
      <c r="L139" s="84"/>
    </row>
    <row r="140" spans="3:12" ht="12.75" hidden="1" customHeight="1">
      <c r="C140" s="63" t="s">
        <v>307</v>
      </c>
      <c r="D140" s="83">
        <v>3781.3</v>
      </c>
      <c r="E140" s="83">
        <v>139.30000000000001</v>
      </c>
      <c r="F140" s="83">
        <v>757</v>
      </c>
      <c r="G140" s="83">
        <f>13799.2-2605</f>
        <v>11194.2</v>
      </c>
      <c r="H140" s="83">
        <v>2605</v>
      </c>
      <c r="I140" s="83">
        <f>1738.8-309.8</f>
        <v>1429</v>
      </c>
      <c r="J140" s="83">
        <v>309.8</v>
      </c>
      <c r="K140" s="83">
        <f>J140+I140+H140+G140+F140+E140</f>
        <v>16434.3</v>
      </c>
      <c r="L140" s="84">
        <v>20215.599999999999</v>
      </c>
    </row>
    <row r="141" spans="3:12" ht="12.75" hidden="1" customHeight="1">
      <c r="C141" s="63"/>
      <c r="D141" s="83"/>
      <c r="E141" s="83"/>
      <c r="F141" s="83"/>
      <c r="G141" s="83"/>
      <c r="H141" s="83"/>
      <c r="I141" s="83"/>
      <c r="J141" s="83"/>
      <c r="K141" s="83"/>
      <c r="L141" s="84"/>
    </row>
    <row r="142" spans="3:12" ht="12.75" hidden="1" customHeight="1">
      <c r="C142" s="63" t="s">
        <v>308</v>
      </c>
      <c r="D142" s="83">
        <v>4117.3</v>
      </c>
      <c r="E142" s="83">
        <v>94.9</v>
      </c>
      <c r="F142" s="83">
        <v>944.5</v>
      </c>
      <c r="G142" s="83">
        <f>15350.4-2663.4</f>
        <v>12687</v>
      </c>
      <c r="H142" s="83">
        <v>2663.4</v>
      </c>
      <c r="I142" s="83">
        <f>2160.3-192.6</f>
        <v>1967.7000000000003</v>
      </c>
      <c r="J142" s="83">
        <v>192.6</v>
      </c>
      <c r="K142" s="83">
        <f>J142+I142+H142+G142+F142+E142</f>
        <v>18550.100000000002</v>
      </c>
      <c r="L142" s="84">
        <v>22667.5</v>
      </c>
    </row>
    <row r="143" spans="3:12" ht="12.75" hidden="1" customHeight="1">
      <c r="C143" s="63"/>
      <c r="D143" s="83"/>
      <c r="E143" s="83"/>
      <c r="F143" s="83"/>
      <c r="G143" s="83"/>
      <c r="H143" s="83"/>
      <c r="I143" s="83"/>
      <c r="J143" s="83"/>
      <c r="K143" s="83"/>
      <c r="L143" s="84"/>
    </row>
    <row r="144" spans="3:12" ht="12.75" hidden="1" customHeight="1">
      <c r="C144" s="63" t="s">
        <v>311</v>
      </c>
      <c r="D144" s="83">
        <v>4265.2</v>
      </c>
      <c r="E144" s="83">
        <v>178.1</v>
      </c>
      <c r="F144" s="83">
        <v>984.6</v>
      </c>
      <c r="G144" s="75">
        <f>17311.2-2776.8</f>
        <v>14534.400000000001</v>
      </c>
      <c r="H144" s="83">
        <v>2776.8</v>
      </c>
      <c r="I144" s="75">
        <f>1930.3-137.7</f>
        <v>1792.6</v>
      </c>
      <c r="J144" s="83">
        <v>137.69999999999999</v>
      </c>
      <c r="K144" s="83">
        <f>J144+I144+H144+G144+F144+E144</f>
        <v>20404.199999999997</v>
      </c>
      <c r="L144" s="84">
        <f>4265.2+20404.2</f>
        <v>24669.4</v>
      </c>
    </row>
    <row r="145" spans="3:12" ht="12.75" hidden="1" customHeight="1">
      <c r="C145" s="63"/>
      <c r="D145" s="83"/>
      <c r="E145" s="83"/>
      <c r="F145" s="83"/>
      <c r="G145" s="75"/>
      <c r="H145" s="83"/>
      <c r="I145" s="75"/>
      <c r="J145" s="83"/>
      <c r="K145" s="83"/>
      <c r="L145" s="84"/>
    </row>
    <row r="146" spans="3:12" ht="12.75" hidden="1" customHeight="1">
      <c r="C146" s="75">
        <v>1999</v>
      </c>
      <c r="D146" s="83"/>
      <c r="E146" s="83"/>
      <c r="F146" s="83"/>
      <c r="G146" s="75"/>
      <c r="H146" s="83"/>
      <c r="I146" s="75"/>
      <c r="J146" s="83"/>
      <c r="K146" s="83"/>
      <c r="L146" s="84"/>
    </row>
    <row r="147" spans="3:12" ht="12.75" hidden="1" customHeight="1">
      <c r="C147" s="63"/>
      <c r="D147" s="83"/>
      <c r="E147" s="83"/>
      <c r="F147" s="83"/>
      <c r="G147" s="75"/>
      <c r="H147" s="83"/>
      <c r="I147" s="75"/>
      <c r="J147" s="83"/>
      <c r="K147" s="83"/>
      <c r="L147" s="84"/>
    </row>
    <row r="148" spans="3:12" ht="12.75" hidden="1" customHeight="1">
      <c r="C148" s="63" t="s">
        <v>298</v>
      </c>
      <c r="D148" s="83">
        <v>4246.1000000000004</v>
      </c>
      <c r="E148" s="83">
        <v>132.9</v>
      </c>
      <c r="F148" s="83">
        <v>1409.1</v>
      </c>
      <c r="G148" s="75">
        <f>16010.5-3029.4</f>
        <v>12981.1</v>
      </c>
      <c r="H148" s="83">
        <v>3029.4</v>
      </c>
      <c r="I148" s="75">
        <f>1967-193.4</f>
        <v>1773.6</v>
      </c>
      <c r="J148" s="83">
        <v>193.4</v>
      </c>
      <c r="K148" s="83">
        <f>J148+I148+H148+G148+F148+E148</f>
        <v>19519.5</v>
      </c>
      <c r="L148" s="84">
        <v>23765.599999999999</v>
      </c>
    </row>
    <row r="149" spans="3:12" ht="12.75" hidden="1" customHeight="1">
      <c r="C149" s="63"/>
      <c r="D149" s="83"/>
      <c r="E149" s="83"/>
      <c r="F149" s="83"/>
      <c r="G149" s="75"/>
      <c r="H149" s="83"/>
      <c r="I149" s="75"/>
      <c r="J149" s="83"/>
      <c r="K149" s="83"/>
      <c r="L149" s="84"/>
    </row>
    <row r="150" spans="3:12" ht="12.75" hidden="1" customHeight="1">
      <c r="C150" s="63" t="s">
        <v>299</v>
      </c>
      <c r="D150" s="83">
        <v>4481.3</v>
      </c>
      <c r="E150" s="83">
        <v>122.6</v>
      </c>
      <c r="F150" s="83">
        <v>985.5</v>
      </c>
      <c r="G150" s="75">
        <f>16301.4-H150</f>
        <v>13491.8</v>
      </c>
      <c r="H150" s="83">
        <v>2809.6</v>
      </c>
      <c r="I150" s="75">
        <f>2165.7-J150</f>
        <v>2016.1</v>
      </c>
      <c r="J150" s="83">
        <v>149.6</v>
      </c>
      <c r="K150" s="83">
        <f>J150+I150+H150+G150+F150+E150</f>
        <v>19575.199999999997</v>
      </c>
      <c r="L150" s="84">
        <v>24056.5</v>
      </c>
    </row>
    <row r="151" spans="3:12" ht="12.75" hidden="1" customHeight="1">
      <c r="C151" s="63"/>
      <c r="D151" s="83"/>
      <c r="E151" s="83"/>
      <c r="F151" s="83"/>
      <c r="G151" s="75"/>
      <c r="H151" s="83"/>
      <c r="I151" s="75"/>
      <c r="J151" s="83"/>
      <c r="K151" s="83"/>
      <c r="L151" s="84"/>
    </row>
    <row r="152" spans="3:12" ht="12.75" hidden="1" customHeight="1">
      <c r="C152" s="63" t="s">
        <v>300</v>
      </c>
      <c r="D152" s="83">
        <v>4482.1000000000004</v>
      </c>
      <c r="E152" s="83">
        <v>62.9</v>
      </c>
      <c r="F152" s="83">
        <v>1105.9000000000001</v>
      </c>
      <c r="G152" s="75">
        <f>17689.4-3000.6</f>
        <v>14688.800000000001</v>
      </c>
      <c r="H152" s="83">
        <v>3000.6</v>
      </c>
      <c r="I152" s="75">
        <f>2135.6-164.2</f>
        <v>1971.3999999999999</v>
      </c>
      <c r="J152" s="83">
        <v>164.2</v>
      </c>
      <c r="K152" s="83">
        <f>J152+I152+H152+G152+F152+E152</f>
        <v>20993.800000000003</v>
      </c>
      <c r="L152" s="84">
        <v>25475.8</v>
      </c>
    </row>
    <row r="153" spans="3:12" ht="12.75" hidden="1" customHeight="1">
      <c r="C153" s="63"/>
      <c r="D153" s="83"/>
      <c r="E153" s="83"/>
      <c r="F153" s="83"/>
      <c r="G153" s="75"/>
      <c r="H153" s="83"/>
      <c r="I153" s="75"/>
      <c r="J153" s="83"/>
      <c r="K153" s="83"/>
      <c r="L153" s="84"/>
    </row>
    <row r="154" spans="3:12" ht="12.75" hidden="1" customHeight="1">
      <c r="C154" s="63" t="s">
        <v>301</v>
      </c>
      <c r="D154" s="83">
        <v>4949.2</v>
      </c>
      <c r="E154" s="83">
        <v>46.6</v>
      </c>
      <c r="F154" s="83">
        <v>1252.2</v>
      </c>
      <c r="G154" s="83">
        <f>19242.7-3281.7</f>
        <v>15961</v>
      </c>
      <c r="H154" s="83">
        <v>3281.7</v>
      </c>
      <c r="I154" s="83">
        <f>2657.5-233.5</f>
        <v>2424</v>
      </c>
      <c r="J154" s="83">
        <v>233.5</v>
      </c>
      <c r="K154" s="83">
        <f>J154+I154+H154+G154+F154+E154</f>
        <v>23199</v>
      </c>
      <c r="L154" s="84">
        <v>28148.2</v>
      </c>
    </row>
    <row r="155" spans="3:12" ht="12.75" hidden="1" customHeight="1">
      <c r="C155" s="63"/>
      <c r="D155" s="83"/>
      <c r="E155" s="83"/>
      <c r="F155" s="83"/>
      <c r="G155" s="83"/>
      <c r="H155" s="83"/>
      <c r="I155" s="83"/>
      <c r="J155" s="83"/>
      <c r="K155" s="83"/>
      <c r="L155" s="84"/>
    </row>
    <row r="156" spans="3:12" ht="12.75" hidden="1" customHeight="1">
      <c r="C156" s="63" t="s">
        <v>302</v>
      </c>
      <c r="D156" s="83">
        <v>5147.3</v>
      </c>
      <c r="E156" s="83">
        <v>147.1</v>
      </c>
      <c r="F156" s="83">
        <v>1141</v>
      </c>
      <c r="G156" s="83">
        <f>20884-3005.5</f>
        <v>17878.5</v>
      </c>
      <c r="H156" s="83">
        <v>3005.5</v>
      </c>
      <c r="I156" s="83">
        <f>2571-341.8</f>
        <v>2229.1999999999998</v>
      </c>
      <c r="J156" s="83">
        <v>341.8</v>
      </c>
      <c r="K156" s="83">
        <f>J156+I156+H156+G156+F156+E156</f>
        <v>24743.1</v>
      </c>
      <c r="L156" s="84">
        <v>29890.400000000001</v>
      </c>
    </row>
    <row r="157" spans="3:12" ht="12.75" hidden="1" customHeight="1">
      <c r="C157" s="63"/>
      <c r="D157" s="83"/>
      <c r="E157" s="83"/>
      <c r="F157" s="83"/>
      <c r="G157" s="83"/>
      <c r="H157" s="83"/>
      <c r="I157" s="83"/>
      <c r="J157" s="83"/>
      <c r="K157" s="83"/>
      <c r="L157" s="84"/>
    </row>
    <row r="158" spans="3:12" ht="12.75" hidden="1" customHeight="1">
      <c r="C158" s="63" t="s">
        <v>303</v>
      </c>
      <c r="D158" s="83">
        <v>5621.1</v>
      </c>
      <c r="E158" s="83">
        <v>145.1</v>
      </c>
      <c r="F158" s="83">
        <f>1055.9+104</f>
        <v>1159.9000000000001</v>
      </c>
      <c r="G158" s="83">
        <f>21282.6-2416.5</f>
        <v>18866.099999999999</v>
      </c>
      <c r="H158" s="83">
        <v>2416.5</v>
      </c>
      <c r="I158" s="83">
        <f>2749.2-502.1</f>
        <v>2247.1</v>
      </c>
      <c r="J158" s="83">
        <v>502.1</v>
      </c>
      <c r="K158" s="83">
        <f>J158+I158+H158+G158+F158+E158</f>
        <v>25336.799999999999</v>
      </c>
      <c r="L158" s="84">
        <v>30957.9</v>
      </c>
    </row>
    <row r="159" spans="3:12" ht="12.75" hidden="1" customHeight="1">
      <c r="C159" s="63"/>
      <c r="D159" s="83"/>
      <c r="E159" s="83"/>
      <c r="F159" s="83"/>
      <c r="G159" s="83"/>
      <c r="H159" s="83"/>
      <c r="I159" s="83"/>
      <c r="J159" s="83"/>
      <c r="K159" s="83"/>
      <c r="L159" s="84"/>
    </row>
    <row r="160" spans="3:12" ht="12.75" hidden="1" customHeight="1">
      <c r="C160" s="63" t="s">
        <v>304</v>
      </c>
      <c r="D160" s="83">
        <v>6314.3</v>
      </c>
      <c r="E160" s="83">
        <v>171.9</v>
      </c>
      <c r="F160" s="83">
        <v>1413.5</v>
      </c>
      <c r="G160" s="83">
        <f>22084.3-3191.5</f>
        <v>18892.8</v>
      </c>
      <c r="H160" s="83">
        <v>3191.5</v>
      </c>
      <c r="I160" s="83">
        <f>2815.6-453.7</f>
        <v>2361.9</v>
      </c>
      <c r="J160" s="83">
        <v>453.7</v>
      </c>
      <c r="K160" s="83">
        <f>J160+I160+H160+G160+F160+E160</f>
        <v>26485.300000000003</v>
      </c>
      <c r="L160" s="84">
        <v>32799.599999999999</v>
      </c>
    </row>
    <row r="161" spans="3:12" ht="12.75" hidden="1" customHeight="1">
      <c r="C161" s="63"/>
      <c r="D161" s="83"/>
      <c r="E161" s="83"/>
      <c r="F161" s="83"/>
      <c r="G161" s="83"/>
      <c r="H161" s="83"/>
      <c r="I161" s="83"/>
      <c r="J161" s="83"/>
      <c r="K161" s="83"/>
      <c r="L161" s="84"/>
    </row>
    <row r="162" spans="3:12" ht="12.75" hidden="1" customHeight="1">
      <c r="C162" s="63" t="s">
        <v>305</v>
      </c>
      <c r="D162" s="83">
        <v>6151.3</v>
      </c>
      <c r="E162" s="83">
        <v>201.3</v>
      </c>
      <c r="F162" s="83">
        <v>1313.1</v>
      </c>
      <c r="G162" s="83">
        <f>23762.3-3311.8</f>
        <v>20450.5</v>
      </c>
      <c r="H162" s="83">
        <v>3311.8</v>
      </c>
      <c r="I162" s="83">
        <f>2780.1-440.6</f>
        <v>2339.5</v>
      </c>
      <c r="J162" s="83">
        <v>440.6</v>
      </c>
      <c r="K162" s="83">
        <f>J162+I162+H162+G162+F162+E162</f>
        <v>28056.799999999999</v>
      </c>
      <c r="L162" s="84">
        <v>34208.1</v>
      </c>
    </row>
    <row r="163" spans="3:12" ht="12.75" hidden="1" customHeight="1">
      <c r="C163" s="63"/>
      <c r="D163" s="83"/>
      <c r="E163" s="83"/>
      <c r="F163" s="83"/>
      <c r="G163" s="83"/>
      <c r="H163" s="83"/>
      <c r="I163" s="83"/>
      <c r="J163" s="83"/>
      <c r="K163" s="83"/>
      <c r="L163" s="84"/>
    </row>
    <row r="164" spans="3:12" ht="12.75" hidden="1" customHeight="1">
      <c r="C164" s="63" t="s">
        <v>306</v>
      </c>
      <c r="D164" s="83">
        <v>5959.8</v>
      </c>
      <c r="E164" s="83">
        <v>105.3</v>
      </c>
      <c r="F164" s="83">
        <v>1140</v>
      </c>
      <c r="G164" s="83">
        <f>23836.4-3766.7</f>
        <v>20069.7</v>
      </c>
      <c r="H164" s="83">
        <v>3766.7</v>
      </c>
      <c r="I164" s="83">
        <f>2848.2-612.6</f>
        <v>2235.6</v>
      </c>
      <c r="J164" s="83">
        <v>612.6</v>
      </c>
      <c r="K164" s="83">
        <f>J164+I164+H164+G164+F164+E164</f>
        <v>27929.899999999998</v>
      </c>
      <c r="L164" s="84">
        <v>33889.699999999997</v>
      </c>
    </row>
    <row r="165" spans="3:12" ht="12.75" hidden="1" customHeight="1">
      <c r="C165" s="63"/>
      <c r="D165" s="83"/>
      <c r="E165" s="83"/>
      <c r="F165" s="83"/>
      <c r="G165" s="83"/>
      <c r="H165" s="83"/>
      <c r="I165" s="83"/>
      <c r="J165" s="83"/>
      <c r="K165" s="83"/>
      <c r="L165" s="84"/>
    </row>
    <row r="166" spans="3:12" ht="12.75" hidden="1" customHeight="1">
      <c r="C166" s="63" t="s">
        <v>307</v>
      </c>
      <c r="D166" s="83">
        <v>5955.2</v>
      </c>
      <c r="E166" s="83">
        <v>96.5</v>
      </c>
      <c r="F166" s="83">
        <v>1404.3</v>
      </c>
      <c r="G166" s="83">
        <f>23241.3-4578.3</f>
        <v>18663</v>
      </c>
      <c r="H166" s="83">
        <v>4578.3</v>
      </c>
      <c r="I166" s="83">
        <f>2416.3-647</f>
        <v>1769.3000000000002</v>
      </c>
      <c r="J166" s="83">
        <v>647</v>
      </c>
      <c r="K166" s="83">
        <f>J166+I166+H166+G166+F166+E166</f>
        <v>27158.399999999998</v>
      </c>
      <c r="L166" s="84">
        <v>33113.5</v>
      </c>
    </row>
    <row r="167" spans="3:12" ht="12.75" hidden="1" customHeight="1">
      <c r="C167" s="63"/>
      <c r="D167" s="83"/>
      <c r="E167" s="83"/>
      <c r="F167" s="83"/>
      <c r="G167" s="83"/>
      <c r="H167" s="83"/>
      <c r="I167" s="83"/>
      <c r="J167" s="83"/>
      <c r="K167" s="83"/>
      <c r="L167" s="84"/>
    </row>
    <row r="168" spans="3:12" ht="12.75" hidden="1" customHeight="1">
      <c r="C168" s="63" t="s">
        <v>308</v>
      </c>
      <c r="D168" s="83">
        <v>6163</v>
      </c>
      <c r="E168" s="83">
        <v>156</v>
      </c>
      <c r="F168" s="83">
        <v>1475.1</v>
      </c>
      <c r="G168" s="83">
        <f>25326.2-4264.7</f>
        <v>21061.5</v>
      </c>
      <c r="H168" s="83">
        <v>4264.7</v>
      </c>
      <c r="I168" s="83">
        <f>2606.2-783.2</f>
        <v>1822.9999999999998</v>
      </c>
      <c r="J168" s="83">
        <v>783.2</v>
      </c>
      <c r="K168" s="83">
        <f>J168+I168+H168+G168+F168+E168</f>
        <v>29563.5</v>
      </c>
      <c r="L168" s="84">
        <v>35726.5</v>
      </c>
    </row>
    <row r="169" spans="3:12" ht="12.75" hidden="1" customHeight="1">
      <c r="C169" s="63"/>
      <c r="D169" s="83"/>
      <c r="E169" s="83"/>
      <c r="F169" s="83"/>
      <c r="G169" s="83"/>
      <c r="H169" s="83"/>
      <c r="I169" s="83"/>
      <c r="J169" s="83"/>
      <c r="K169" s="83"/>
      <c r="L169" s="84"/>
    </row>
    <row r="170" spans="3:12" ht="12.75" hidden="1" customHeight="1">
      <c r="C170" s="63" t="s">
        <v>311</v>
      </c>
      <c r="D170" s="83">
        <v>6884.1</v>
      </c>
      <c r="E170" s="83">
        <v>202.4</v>
      </c>
      <c r="F170" s="83">
        <v>1250.7</v>
      </c>
      <c r="G170" s="83">
        <f>24250.6-4548.9</f>
        <v>19701.699999999997</v>
      </c>
      <c r="H170" s="83">
        <v>4548.8999999999996</v>
      </c>
      <c r="I170" s="83">
        <f>1728.5-617</f>
        <v>1111.5</v>
      </c>
      <c r="J170" s="83">
        <v>617</v>
      </c>
      <c r="K170" s="83">
        <f>J170+I170+H170+G170+F170+E170</f>
        <v>27432.2</v>
      </c>
      <c r="L170" s="84">
        <v>34316.400000000001</v>
      </c>
    </row>
    <row r="171" spans="3:12" ht="12.75" hidden="1" customHeight="1">
      <c r="C171" s="63"/>
      <c r="D171" s="83"/>
      <c r="E171" s="83"/>
      <c r="F171" s="83"/>
      <c r="G171" s="83"/>
      <c r="H171" s="83"/>
      <c r="I171" s="83"/>
      <c r="J171" s="83"/>
      <c r="K171" s="83"/>
      <c r="L171" s="84"/>
    </row>
    <row r="172" spans="3:12" ht="15.6" hidden="1">
      <c r="C172" s="75">
        <v>2000</v>
      </c>
      <c r="D172" s="83"/>
      <c r="E172" s="83"/>
      <c r="F172" s="83"/>
      <c r="G172" s="83"/>
      <c r="H172" s="83"/>
      <c r="I172" s="83"/>
      <c r="J172" s="83"/>
      <c r="K172" s="83"/>
      <c r="L172" s="84"/>
    </row>
    <row r="173" spans="3:12" ht="15.6" hidden="1">
      <c r="C173" s="75"/>
      <c r="D173" s="83"/>
      <c r="E173" s="83"/>
      <c r="F173" s="83"/>
      <c r="G173" s="83"/>
      <c r="H173" s="83"/>
      <c r="I173" s="83"/>
      <c r="J173" s="83"/>
      <c r="K173" s="83"/>
      <c r="L173" s="84"/>
    </row>
    <row r="174" spans="3:12" ht="15.6" hidden="1">
      <c r="C174" s="59" t="s">
        <v>298</v>
      </c>
      <c r="D174" s="83">
        <v>5949.4</v>
      </c>
      <c r="E174" s="83">
        <v>73.400000000000006</v>
      </c>
      <c r="F174" s="83">
        <v>1708.6</v>
      </c>
      <c r="G174" s="83">
        <f>27102.9-4787.3</f>
        <v>22315.600000000002</v>
      </c>
      <c r="H174" s="83">
        <v>4787.3</v>
      </c>
      <c r="I174" s="83">
        <f>2632-858</f>
        <v>1774</v>
      </c>
      <c r="J174" s="83">
        <v>858</v>
      </c>
      <c r="K174" s="83">
        <f>J174+I174+H174+G174+F174+E174</f>
        <v>31516.9</v>
      </c>
      <c r="L174" s="84">
        <v>37466.400000000001</v>
      </c>
    </row>
    <row r="175" spans="3:12" ht="15.6" hidden="1">
      <c r="C175" s="59"/>
      <c r="D175" s="83"/>
      <c r="E175" s="83"/>
      <c r="F175" s="83"/>
      <c r="G175" s="83"/>
      <c r="H175" s="83"/>
      <c r="I175" s="83"/>
      <c r="J175" s="83"/>
      <c r="K175" s="83"/>
      <c r="L175" s="84"/>
    </row>
    <row r="176" spans="3:12" ht="15.6" hidden="1">
      <c r="C176" s="59" t="s">
        <v>299</v>
      </c>
      <c r="D176" s="83">
        <v>6371.2</v>
      </c>
      <c r="E176" s="83">
        <v>11.4</v>
      </c>
      <c r="F176" s="83">
        <v>1742.6</v>
      </c>
      <c r="G176" s="83">
        <f>25526.4-4560.3</f>
        <v>20966.100000000002</v>
      </c>
      <c r="H176" s="83">
        <v>4560.3</v>
      </c>
      <c r="I176" s="83">
        <f>3225-1133.1</f>
        <v>2091.9</v>
      </c>
      <c r="J176" s="83">
        <v>1133.0999999999999</v>
      </c>
      <c r="K176" s="83">
        <f>J176+I176+H176+G176+F176+E176</f>
        <v>30505.4</v>
      </c>
      <c r="L176" s="84">
        <v>36876.6</v>
      </c>
    </row>
    <row r="177" spans="3:12" ht="15.6" hidden="1">
      <c r="C177" s="59"/>
      <c r="D177" s="83"/>
      <c r="E177" s="83"/>
      <c r="F177" s="83"/>
      <c r="G177" s="83"/>
      <c r="H177" s="83"/>
      <c r="I177" s="83"/>
      <c r="J177" s="83"/>
      <c r="K177" s="83"/>
      <c r="L177" s="84"/>
    </row>
    <row r="178" spans="3:12" ht="15.6" hidden="1">
      <c r="C178" s="59" t="s">
        <v>300</v>
      </c>
      <c r="D178" s="83">
        <v>6701.8</v>
      </c>
      <c r="E178" s="83">
        <v>74.2</v>
      </c>
      <c r="F178" s="83">
        <v>1769.1</v>
      </c>
      <c r="G178" s="83">
        <f>26385.3-4382.5</f>
        <v>22002.799999999999</v>
      </c>
      <c r="H178" s="83">
        <v>4382.5</v>
      </c>
      <c r="I178" s="83">
        <f>2089.1-934.8</f>
        <v>1154.3</v>
      </c>
      <c r="J178" s="83">
        <v>934.8</v>
      </c>
      <c r="K178" s="83">
        <f>J178+I178+H178+G178+F178+E178</f>
        <v>30317.7</v>
      </c>
      <c r="L178" s="84">
        <v>37019.5</v>
      </c>
    </row>
    <row r="179" spans="3:12" ht="15.6" hidden="1">
      <c r="C179" s="59"/>
      <c r="D179" s="83"/>
      <c r="E179" s="83"/>
      <c r="F179" s="83"/>
      <c r="G179" s="83"/>
      <c r="H179" s="83"/>
      <c r="I179" s="83"/>
      <c r="J179" s="83"/>
      <c r="K179" s="83"/>
      <c r="L179" s="84"/>
    </row>
    <row r="180" spans="3:12" ht="15.6" hidden="1">
      <c r="C180" s="59" t="s">
        <v>301</v>
      </c>
      <c r="D180" s="83">
        <v>7101.3</v>
      </c>
      <c r="E180" s="83">
        <v>111</v>
      </c>
      <c r="F180" s="83">
        <v>1980.1</v>
      </c>
      <c r="G180" s="83">
        <f>27393.9-4486.9</f>
        <v>22907</v>
      </c>
      <c r="H180" s="83">
        <v>4486.8999999999996</v>
      </c>
      <c r="I180" s="83">
        <f>3044.5-809.4</f>
        <v>2235.1</v>
      </c>
      <c r="J180" s="83">
        <v>809.4</v>
      </c>
      <c r="K180" s="83">
        <f>J180+I180+H180+G180+F180+E180</f>
        <v>32529.5</v>
      </c>
      <c r="L180" s="84">
        <v>39630.800000000003</v>
      </c>
    </row>
    <row r="181" spans="3:12" ht="15.6" hidden="1">
      <c r="C181" s="59"/>
      <c r="D181" s="83"/>
      <c r="E181" s="83"/>
      <c r="F181" s="83"/>
      <c r="G181" s="83"/>
      <c r="H181" s="83"/>
      <c r="I181" s="83"/>
      <c r="J181" s="83"/>
      <c r="K181" s="83"/>
      <c r="L181" s="84"/>
    </row>
    <row r="182" spans="3:12" ht="15.6" hidden="1">
      <c r="C182" s="59" t="s">
        <v>302</v>
      </c>
      <c r="D182" s="83">
        <v>7178.9</v>
      </c>
      <c r="E182" s="83">
        <v>65.099999999999994</v>
      </c>
      <c r="F182" s="83">
        <v>1638.4</v>
      </c>
      <c r="G182" s="83">
        <f>28527.9-4886.2</f>
        <v>23641.7</v>
      </c>
      <c r="H182" s="83">
        <v>4886.2</v>
      </c>
      <c r="I182" s="83">
        <f>3096.5-702.2</f>
        <v>2394.3000000000002</v>
      </c>
      <c r="J182" s="83">
        <v>702.2</v>
      </c>
      <c r="K182" s="83">
        <f>J182+I182+H182+G182+F182+E182</f>
        <v>33327.9</v>
      </c>
      <c r="L182" s="84">
        <v>40506.800000000003</v>
      </c>
    </row>
    <row r="183" spans="3:12" ht="15.6" hidden="1">
      <c r="C183" s="59"/>
      <c r="D183" s="83"/>
      <c r="E183" s="83"/>
      <c r="F183" s="83"/>
      <c r="G183" s="83"/>
      <c r="H183" s="83"/>
      <c r="I183" s="83"/>
      <c r="J183" s="83"/>
      <c r="K183" s="83"/>
      <c r="L183" s="84"/>
    </row>
    <row r="184" spans="3:12" ht="15.6" hidden="1">
      <c r="C184" s="59" t="s">
        <v>303</v>
      </c>
      <c r="D184" s="83">
        <v>8142.5</v>
      </c>
      <c r="E184" s="83">
        <v>58.8</v>
      </c>
      <c r="F184" s="83">
        <v>2110.6999999999998</v>
      </c>
      <c r="G184" s="83">
        <f>29135.7-4615.5</f>
        <v>24520.2</v>
      </c>
      <c r="H184" s="83">
        <v>4615.5</v>
      </c>
      <c r="I184" s="83">
        <f>2709.5-653.6</f>
        <v>2055.9</v>
      </c>
      <c r="J184" s="83">
        <v>653.6</v>
      </c>
      <c r="K184" s="83">
        <f>J184+I184+H184+G184+F184+E184</f>
        <v>34014.700000000004</v>
      </c>
      <c r="L184" s="84">
        <v>42157.3</v>
      </c>
    </row>
    <row r="185" spans="3:12" ht="15.6" hidden="1">
      <c r="C185" s="59"/>
      <c r="D185" s="83"/>
      <c r="E185" s="83"/>
      <c r="F185" s="83"/>
      <c r="G185" s="83"/>
      <c r="H185" s="83"/>
      <c r="I185" s="83"/>
      <c r="J185" s="83"/>
      <c r="K185" s="83"/>
      <c r="L185" s="84"/>
    </row>
    <row r="186" spans="3:12" ht="15.6" hidden="1">
      <c r="C186" s="59" t="s">
        <v>304</v>
      </c>
      <c r="D186" s="83">
        <v>8209</v>
      </c>
      <c r="E186" s="83">
        <v>32.1</v>
      </c>
      <c r="F186" s="83">
        <v>2384.9</v>
      </c>
      <c r="G186" s="83">
        <f>29066.1-4818.1</f>
        <v>24248</v>
      </c>
      <c r="H186" s="83">
        <v>4818.1000000000004</v>
      </c>
      <c r="I186" s="83">
        <f>2919.5-629</f>
        <v>2290.5</v>
      </c>
      <c r="J186" s="83">
        <v>629</v>
      </c>
      <c r="K186" s="83">
        <f>J186+I186+H186+G186+F186+E186</f>
        <v>34402.6</v>
      </c>
      <c r="L186" s="84">
        <v>42611.7</v>
      </c>
    </row>
    <row r="187" spans="3:12" ht="15.6" hidden="1">
      <c r="C187" s="59"/>
      <c r="D187" s="83"/>
      <c r="E187" s="83"/>
      <c r="F187" s="83"/>
      <c r="G187" s="83"/>
      <c r="H187" s="83"/>
      <c r="I187" s="83"/>
      <c r="J187" s="83"/>
      <c r="K187" s="83"/>
      <c r="L187" s="84"/>
    </row>
    <row r="188" spans="3:12" ht="15.6" hidden="1">
      <c r="C188" s="59" t="s">
        <v>305</v>
      </c>
      <c r="D188" s="83">
        <v>8374.2999999999993</v>
      </c>
      <c r="E188" s="83">
        <v>78</v>
      </c>
      <c r="F188" s="83">
        <v>1943.9</v>
      </c>
      <c r="G188" s="83">
        <f>32436.1-6603.2</f>
        <v>25832.899999999998</v>
      </c>
      <c r="H188" s="83">
        <v>6603.2</v>
      </c>
      <c r="I188" s="83">
        <f>2851-1036.6</f>
        <v>1814.4</v>
      </c>
      <c r="J188" s="83">
        <v>1036.5999999999999</v>
      </c>
      <c r="K188" s="83">
        <f>J188+I188+H188+G188+F188+E188</f>
        <v>37309</v>
      </c>
      <c r="L188" s="84">
        <v>45683.199999999997</v>
      </c>
    </row>
    <row r="189" spans="3:12" ht="15.6" hidden="1">
      <c r="C189" s="59"/>
      <c r="D189" s="83"/>
      <c r="E189" s="83"/>
      <c r="F189" s="83"/>
      <c r="G189" s="83"/>
      <c r="H189" s="83"/>
      <c r="I189" s="83"/>
      <c r="J189" s="83"/>
      <c r="K189" s="83"/>
      <c r="L189" s="84"/>
    </row>
    <row r="190" spans="3:12" ht="15.6" hidden="1">
      <c r="C190" s="59" t="s">
        <v>306</v>
      </c>
      <c r="D190" s="83">
        <v>8313.2000000000007</v>
      </c>
      <c r="E190" s="83">
        <v>206.6</v>
      </c>
      <c r="F190" s="83">
        <v>1903.6</v>
      </c>
      <c r="G190" s="83">
        <f>32298.6-6435.5</f>
        <v>25863.1</v>
      </c>
      <c r="H190" s="83">
        <v>6435.5</v>
      </c>
      <c r="I190" s="83">
        <f>3005.7-994.3</f>
        <v>2011.3999999999999</v>
      </c>
      <c r="J190" s="83">
        <v>994.3</v>
      </c>
      <c r="K190" s="83">
        <f>J190+I190+H190+G190+F190+E190</f>
        <v>37414.5</v>
      </c>
      <c r="L190" s="84">
        <v>45727.7</v>
      </c>
    </row>
    <row r="191" spans="3:12" ht="15.6" hidden="1">
      <c r="C191" s="59"/>
      <c r="D191" s="83"/>
      <c r="E191" s="83"/>
      <c r="F191" s="83"/>
      <c r="G191" s="83"/>
      <c r="H191" s="83"/>
      <c r="I191" s="83"/>
      <c r="J191" s="83"/>
      <c r="K191" s="83"/>
      <c r="L191" s="84"/>
    </row>
    <row r="192" spans="3:12" ht="15.6" hidden="1">
      <c r="C192" s="59" t="s">
        <v>307</v>
      </c>
      <c r="D192" s="83">
        <v>8107.3</v>
      </c>
      <c r="E192" s="83">
        <v>125.2</v>
      </c>
      <c r="F192" s="83">
        <v>3092.2</v>
      </c>
      <c r="G192" s="83">
        <f>38399.7-7385.2</f>
        <v>31014.499999999996</v>
      </c>
      <c r="H192" s="83">
        <v>7385.2</v>
      </c>
      <c r="I192" s="83">
        <f>3494.7-1089.2</f>
        <v>2405.5</v>
      </c>
      <c r="J192" s="83">
        <v>1089.2</v>
      </c>
      <c r="K192" s="83">
        <f>J192+I192+H192+G192+F192+E192</f>
        <v>45111.799999999988</v>
      </c>
      <c r="L192" s="84">
        <v>53219.1</v>
      </c>
    </row>
    <row r="193" spans="3:12" ht="15.6" hidden="1">
      <c r="C193" s="59"/>
      <c r="D193" s="83"/>
      <c r="E193" s="83"/>
      <c r="F193" s="83"/>
      <c r="G193" s="83"/>
      <c r="H193" s="83"/>
      <c r="I193" s="83"/>
      <c r="J193" s="83"/>
      <c r="K193" s="83"/>
      <c r="L193" s="84"/>
    </row>
    <row r="194" spans="3:12" ht="15.6" hidden="1">
      <c r="C194" s="59" t="s">
        <v>308</v>
      </c>
      <c r="D194" s="83">
        <v>9047.1</v>
      </c>
      <c r="E194" s="83">
        <v>78.2</v>
      </c>
      <c r="F194" s="83">
        <v>2724</v>
      </c>
      <c r="G194" s="83">
        <f>38324.9-6803.2</f>
        <v>31521.7</v>
      </c>
      <c r="H194" s="83">
        <v>6803.2</v>
      </c>
      <c r="I194" s="83">
        <f>3558.3-1361.9</f>
        <v>2196.4</v>
      </c>
      <c r="J194" s="83">
        <v>1361.9</v>
      </c>
      <c r="K194" s="83">
        <f>J194+I194+H194+G194+F194+E194</f>
        <v>44685.399999999994</v>
      </c>
      <c r="L194" s="84">
        <v>53732.5</v>
      </c>
    </row>
    <row r="195" spans="3:12" ht="15.6" hidden="1">
      <c r="C195" s="59"/>
      <c r="D195" s="83"/>
      <c r="E195" s="83"/>
      <c r="F195" s="83"/>
      <c r="G195" s="83"/>
      <c r="H195" s="83"/>
      <c r="I195" s="83"/>
      <c r="J195" s="83"/>
      <c r="K195" s="83"/>
      <c r="L195" s="84"/>
    </row>
    <row r="196" spans="3:12" ht="15.6" hidden="1">
      <c r="C196" s="59" t="s">
        <v>311</v>
      </c>
      <c r="D196" s="83">
        <v>9451.4</v>
      </c>
      <c r="E196" s="83">
        <v>110</v>
      </c>
      <c r="F196" s="83">
        <v>3031</v>
      </c>
      <c r="G196" s="83">
        <f>37474-7044.5</f>
        <v>30429.5</v>
      </c>
      <c r="H196" s="83">
        <v>7044.5</v>
      </c>
      <c r="I196" s="83">
        <f>2533.5-1169.8</f>
        <v>1363.7</v>
      </c>
      <c r="J196" s="83">
        <v>1169.8</v>
      </c>
      <c r="K196" s="83">
        <f>J196+I196+H196+G196+F196+E196</f>
        <v>43148.5</v>
      </c>
      <c r="L196" s="84">
        <v>52599.8</v>
      </c>
    </row>
    <row r="197" spans="3:12" ht="15.6" hidden="1">
      <c r="C197" s="59"/>
      <c r="D197" s="80"/>
      <c r="E197" s="80"/>
      <c r="F197" s="80"/>
      <c r="G197" s="85"/>
      <c r="H197" s="80"/>
      <c r="I197" s="85"/>
      <c r="J197" s="80"/>
      <c r="K197" s="83"/>
      <c r="L197" s="81"/>
    </row>
    <row r="198" spans="3:12" ht="19.5" hidden="1" customHeight="1">
      <c r="C198" s="75">
        <v>2001</v>
      </c>
      <c r="D198" s="80"/>
      <c r="E198" s="80"/>
      <c r="F198" s="80"/>
      <c r="G198" s="85"/>
      <c r="H198" s="80"/>
      <c r="I198" s="85"/>
      <c r="J198" s="80"/>
      <c r="K198" s="83"/>
      <c r="L198" s="81"/>
    </row>
    <row r="199" spans="3:12" ht="19.5" hidden="1" customHeight="1">
      <c r="C199" s="59"/>
      <c r="D199" s="80"/>
      <c r="E199" s="80"/>
      <c r="F199" s="80"/>
      <c r="G199" s="85"/>
      <c r="H199" s="80"/>
      <c r="I199" s="85"/>
      <c r="J199" s="80"/>
      <c r="K199" s="83"/>
      <c r="L199" s="81"/>
    </row>
    <row r="200" spans="3:12" ht="19.5" hidden="1" customHeight="1">
      <c r="C200" s="59" t="s">
        <v>298</v>
      </c>
      <c r="D200" s="83">
        <v>8622.7999999999993</v>
      </c>
      <c r="E200" s="83">
        <v>146.9</v>
      </c>
      <c r="F200" s="83">
        <v>5387.8</v>
      </c>
      <c r="G200" s="75">
        <f>43607.8-6605.2</f>
        <v>37002.600000000006</v>
      </c>
      <c r="H200" s="83">
        <v>6605.2</v>
      </c>
      <c r="I200" s="75">
        <f>4062.4-1302.1</f>
        <v>2760.3</v>
      </c>
      <c r="J200" s="83">
        <v>1302.0999999999999</v>
      </c>
      <c r="K200" s="83">
        <f>J200+I200+H200+G200+F200+E200</f>
        <v>53204.900000000009</v>
      </c>
      <c r="L200" s="84">
        <v>61827.7</v>
      </c>
    </row>
    <row r="201" spans="3:12" ht="19.5" hidden="1" customHeight="1">
      <c r="C201" s="59"/>
      <c r="D201" s="83"/>
      <c r="E201" s="83"/>
      <c r="F201" s="83"/>
      <c r="G201" s="75"/>
      <c r="H201" s="83"/>
      <c r="I201" s="75"/>
      <c r="J201" s="83"/>
      <c r="K201" s="83"/>
      <c r="L201" s="84"/>
    </row>
    <row r="202" spans="3:12" ht="19.5" hidden="1" customHeight="1">
      <c r="C202" s="59" t="s">
        <v>299</v>
      </c>
      <c r="D202" s="83">
        <v>9094.5</v>
      </c>
      <c r="E202" s="83">
        <v>144.5</v>
      </c>
      <c r="F202" s="83">
        <v>4663</v>
      </c>
      <c r="G202" s="75">
        <f>45820.9-6431.6</f>
        <v>39389.300000000003</v>
      </c>
      <c r="H202" s="83">
        <v>6431.6</v>
      </c>
      <c r="I202" s="75">
        <f>4431.4-1546.5</f>
        <v>2884.8999999999996</v>
      </c>
      <c r="J202" s="83">
        <v>1546.5</v>
      </c>
      <c r="K202" s="83">
        <f>J202+I202+H202+G202+F202+E202</f>
        <v>55059.8</v>
      </c>
      <c r="L202" s="84">
        <v>64154.2</v>
      </c>
    </row>
    <row r="203" spans="3:12" ht="19.5" hidden="1" customHeight="1">
      <c r="C203" s="59"/>
      <c r="D203" s="83"/>
      <c r="E203" s="83"/>
      <c r="F203" s="83"/>
      <c r="G203" s="75"/>
      <c r="H203" s="83"/>
      <c r="I203" s="75"/>
      <c r="J203" s="83"/>
      <c r="K203" s="83"/>
      <c r="L203" s="84"/>
    </row>
    <row r="204" spans="3:12" ht="19.5" hidden="1" customHeight="1">
      <c r="C204" s="59" t="s">
        <v>300</v>
      </c>
      <c r="D204" s="83">
        <v>10015.9</v>
      </c>
      <c r="E204" s="83">
        <v>37.4</v>
      </c>
      <c r="F204" s="83">
        <v>4929.1000000000004</v>
      </c>
      <c r="G204" s="75">
        <f>47847.2-6292.4</f>
        <v>41554.799999999996</v>
      </c>
      <c r="H204" s="83">
        <v>6292.4</v>
      </c>
      <c r="I204" s="75">
        <f>2963.7-1428.3</f>
        <v>1535.3999999999999</v>
      </c>
      <c r="J204" s="83">
        <v>1428.3</v>
      </c>
      <c r="K204" s="83">
        <f>J204+I204+H204+G204+F204+E204</f>
        <v>55777.399999999994</v>
      </c>
      <c r="L204" s="84">
        <v>65793.399999999994</v>
      </c>
    </row>
    <row r="205" spans="3:12" ht="19.5" hidden="1" customHeight="1">
      <c r="C205" s="59"/>
      <c r="D205" s="83"/>
      <c r="E205" s="83"/>
      <c r="F205" s="83"/>
      <c r="G205" s="75"/>
      <c r="H205" s="83"/>
      <c r="I205" s="75"/>
      <c r="J205" s="83"/>
      <c r="K205" s="83"/>
      <c r="L205" s="84"/>
    </row>
    <row r="206" spans="3:12" ht="19.5" hidden="1" customHeight="1">
      <c r="C206" s="59" t="s">
        <v>301</v>
      </c>
      <c r="D206" s="83">
        <v>10557</v>
      </c>
      <c r="E206" s="83">
        <v>201.7</v>
      </c>
      <c r="F206" s="83">
        <v>5076.2</v>
      </c>
      <c r="G206" s="75">
        <f>53591.2-H206</f>
        <v>47378.399999999994</v>
      </c>
      <c r="H206" s="83">
        <v>6212.8</v>
      </c>
      <c r="I206" s="75">
        <f>3951.6-J206</f>
        <v>2334.3000000000002</v>
      </c>
      <c r="J206" s="83">
        <v>1617.3</v>
      </c>
      <c r="K206" s="83">
        <f>J206+I206+H206+G206+F206+E206</f>
        <v>62820.69999999999</v>
      </c>
      <c r="L206" s="84">
        <v>73377.600000000006</v>
      </c>
    </row>
    <row r="207" spans="3:12" ht="19.5" hidden="1" customHeight="1">
      <c r="C207" s="59"/>
      <c r="D207" s="83"/>
      <c r="E207" s="83"/>
      <c r="F207" s="83"/>
      <c r="G207" s="75"/>
      <c r="H207" s="83"/>
      <c r="I207" s="75"/>
      <c r="J207" s="83"/>
      <c r="K207" s="83"/>
      <c r="L207" s="84"/>
    </row>
    <row r="208" spans="3:12" ht="19.5" hidden="1" customHeight="1">
      <c r="C208" s="59" t="s">
        <v>302</v>
      </c>
      <c r="D208" s="83">
        <v>11872.5</v>
      </c>
      <c r="E208" s="83">
        <v>235.9</v>
      </c>
      <c r="F208" s="83">
        <v>3828.9</v>
      </c>
      <c r="G208" s="75">
        <f>59528.6-6110.8</f>
        <v>53417.799999999996</v>
      </c>
      <c r="H208" s="83">
        <v>6110.8</v>
      </c>
      <c r="I208" s="83">
        <f>4477-1540.4</f>
        <v>2936.6</v>
      </c>
      <c r="J208" s="83">
        <v>1540.4</v>
      </c>
      <c r="K208" s="83">
        <f>J208+I208+H208+G208+F208+E208</f>
        <v>68070.39999999998</v>
      </c>
      <c r="L208" s="84">
        <v>79942.899999999994</v>
      </c>
    </row>
    <row r="209" spans="3:12" ht="19.5" hidden="1" customHeight="1">
      <c r="C209" s="59"/>
      <c r="D209" s="83"/>
      <c r="E209" s="83"/>
      <c r="F209" s="83"/>
      <c r="G209" s="75"/>
      <c r="H209" s="83"/>
      <c r="I209" s="83"/>
      <c r="J209" s="83"/>
      <c r="K209" s="83"/>
      <c r="L209" s="84"/>
    </row>
    <row r="210" spans="3:12" ht="19.5" hidden="1" customHeight="1">
      <c r="C210" s="59" t="s">
        <v>303</v>
      </c>
      <c r="D210" s="83">
        <v>13584.7</v>
      </c>
      <c r="E210" s="83">
        <v>428.2</v>
      </c>
      <c r="F210" s="83">
        <v>3897.2</v>
      </c>
      <c r="G210" s="75">
        <f>58342.4-6211.4</f>
        <v>52131</v>
      </c>
      <c r="H210" s="83">
        <v>6211.4</v>
      </c>
      <c r="I210" s="83">
        <f>3497.3-1247.8</f>
        <v>2249.5</v>
      </c>
      <c r="J210" s="83">
        <v>1247.8</v>
      </c>
      <c r="K210" s="83">
        <f>J210+I210+H210+G210+F210+E210</f>
        <v>66165.099999999991</v>
      </c>
      <c r="L210" s="84">
        <v>79749.7</v>
      </c>
    </row>
    <row r="211" spans="3:12" ht="19.5" hidden="1" customHeight="1">
      <c r="C211" s="59"/>
      <c r="D211" s="83"/>
      <c r="E211" s="83"/>
      <c r="F211" s="83"/>
      <c r="G211" s="75"/>
      <c r="H211" s="83"/>
      <c r="I211" s="83"/>
      <c r="J211" s="83"/>
      <c r="K211" s="83"/>
      <c r="L211" s="84"/>
    </row>
    <row r="212" spans="3:12" ht="19.5" hidden="1" customHeight="1">
      <c r="C212" s="59" t="s">
        <v>304</v>
      </c>
      <c r="D212" s="83">
        <v>15254.9</v>
      </c>
      <c r="E212" s="83">
        <v>261.10000000000002</v>
      </c>
      <c r="F212" s="83">
        <v>6432.9</v>
      </c>
      <c r="G212" s="75">
        <f>64680.6-5799.3</f>
        <v>58881.299999999996</v>
      </c>
      <c r="H212" s="83">
        <v>5799.3</v>
      </c>
      <c r="I212" s="83">
        <f>3154.4-744.2</f>
        <v>2410.1999999999998</v>
      </c>
      <c r="J212" s="83">
        <v>744.2</v>
      </c>
      <c r="K212" s="83">
        <f>J212+I212+H212+G212+F212+E212</f>
        <v>74529</v>
      </c>
      <c r="L212" s="84">
        <v>89783.9</v>
      </c>
    </row>
    <row r="213" spans="3:12" ht="19.5" hidden="1" customHeight="1">
      <c r="C213" s="59"/>
      <c r="D213" s="83"/>
      <c r="E213" s="83"/>
      <c r="F213" s="83"/>
      <c r="G213" s="75"/>
      <c r="H213" s="83"/>
      <c r="I213" s="83"/>
      <c r="J213" s="83"/>
      <c r="K213" s="83"/>
      <c r="L213" s="84"/>
    </row>
    <row r="214" spans="3:12" ht="19.5" hidden="1" customHeight="1">
      <c r="C214" s="59" t="s">
        <v>305</v>
      </c>
      <c r="D214" s="83">
        <v>18349.7</v>
      </c>
      <c r="E214" s="83">
        <v>196.5</v>
      </c>
      <c r="F214" s="83">
        <v>4488</v>
      </c>
      <c r="G214" s="75">
        <f>75236.9-5862.2</f>
        <v>69374.7</v>
      </c>
      <c r="H214" s="83">
        <v>5862.2</v>
      </c>
      <c r="I214" s="83">
        <f>1284.3-556.8</f>
        <v>727.5</v>
      </c>
      <c r="J214" s="83">
        <v>556.79999999999995</v>
      </c>
      <c r="K214" s="83">
        <f>J214+I214+H214+G214+F214+E214</f>
        <v>81205.7</v>
      </c>
      <c r="L214" s="84">
        <v>99555.4</v>
      </c>
    </row>
    <row r="215" spans="3:12" ht="19.5" hidden="1" customHeight="1">
      <c r="C215" s="59"/>
      <c r="D215" s="83"/>
      <c r="E215" s="83"/>
      <c r="F215" s="83"/>
      <c r="G215" s="75"/>
      <c r="H215" s="83"/>
      <c r="I215" s="83"/>
      <c r="J215" s="83"/>
      <c r="K215" s="83"/>
      <c r="L215" s="84"/>
    </row>
    <row r="216" spans="3:12" ht="19.5" hidden="1" customHeight="1">
      <c r="C216" s="59" t="s">
        <v>306</v>
      </c>
      <c r="D216" s="83">
        <v>20484.099999999999</v>
      </c>
      <c r="E216" s="83">
        <v>183.1</v>
      </c>
      <c r="F216" s="83">
        <v>5162</v>
      </c>
      <c r="G216" s="75">
        <f>74962.9-5754.4</f>
        <v>69208.5</v>
      </c>
      <c r="H216" s="83">
        <v>5754.4</v>
      </c>
      <c r="I216" s="83">
        <f>2549.6-745.1</f>
        <v>1804.5</v>
      </c>
      <c r="J216" s="83">
        <v>745.1</v>
      </c>
      <c r="K216" s="83">
        <f>J216+I216+H216+G216+F216+E216</f>
        <v>82857.600000000006</v>
      </c>
      <c r="L216" s="84">
        <v>103341.8</v>
      </c>
    </row>
    <row r="217" spans="3:12" ht="19.5" hidden="1" customHeight="1">
      <c r="C217" s="59"/>
      <c r="D217" s="83"/>
      <c r="E217" s="83"/>
      <c r="F217" s="83"/>
      <c r="G217" s="75"/>
      <c r="H217" s="83"/>
      <c r="I217" s="83"/>
      <c r="J217" s="83"/>
      <c r="K217" s="83"/>
      <c r="L217" s="84"/>
    </row>
    <row r="218" spans="3:12" ht="19.5" hidden="1" customHeight="1">
      <c r="C218" s="59" t="s">
        <v>307</v>
      </c>
      <c r="D218" s="83">
        <v>20533.099999999999</v>
      </c>
      <c r="E218" s="83">
        <v>436.4</v>
      </c>
      <c r="F218" s="83">
        <v>4911.5</v>
      </c>
      <c r="G218" s="75">
        <f>86770.4-4818.8</f>
        <v>81951.599999999991</v>
      </c>
      <c r="H218" s="83">
        <v>4818.8</v>
      </c>
      <c r="I218" s="83">
        <f>2808.1-490.7</f>
        <v>2317.4</v>
      </c>
      <c r="J218" s="83">
        <v>490.7</v>
      </c>
      <c r="K218" s="83">
        <f>J218+I218+H218+G218+F218+E218</f>
        <v>94926.39999999998</v>
      </c>
      <c r="L218" s="84">
        <v>115459.5</v>
      </c>
    </row>
    <row r="219" spans="3:12" ht="19.5" hidden="1" customHeight="1">
      <c r="C219" s="59"/>
      <c r="D219" s="83"/>
      <c r="E219" s="83"/>
      <c r="F219" s="83"/>
      <c r="G219" s="75"/>
      <c r="H219" s="83"/>
      <c r="I219" s="83"/>
      <c r="J219" s="83"/>
      <c r="K219" s="83"/>
      <c r="L219" s="84"/>
    </row>
    <row r="220" spans="3:12" ht="19.5" hidden="1" customHeight="1">
      <c r="C220" s="59" t="s">
        <v>308</v>
      </c>
      <c r="D220" s="83">
        <v>24281</v>
      </c>
      <c r="E220" s="83">
        <v>159.80000000000001</v>
      </c>
      <c r="F220" s="83">
        <v>5416.7</v>
      </c>
      <c r="G220" s="75">
        <f>92080.5-5828</f>
        <v>86252.5</v>
      </c>
      <c r="H220" s="83">
        <v>5828</v>
      </c>
      <c r="I220" s="75">
        <f>4948.6-1651.8</f>
        <v>3296.8</v>
      </c>
      <c r="J220" s="83">
        <v>1651.8</v>
      </c>
      <c r="K220" s="83">
        <f>J220+I220+H220+G220+F220+E220</f>
        <v>102605.6</v>
      </c>
      <c r="L220" s="84">
        <v>126886.6</v>
      </c>
    </row>
    <row r="221" spans="3:12" ht="19.5" hidden="1" customHeight="1">
      <c r="C221" s="59"/>
      <c r="D221" s="83"/>
      <c r="E221" s="83"/>
      <c r="F221" s="83"/>
      <c r="G221" s="75"/>
      <c r="H221" s="83"/>
      <c r="I221" s="75"/>
      <c r="J221" s="83"/>
      <c r="K221" s="83"/>
      <c r="L221" s="84"/>
    </row>
    <row r="222" spans="3:12" ht="19.5" hidden="1" customHeight="1">
      <c r="C222" s="59" t="s">
        <v>311</v>
      </c>
      <c r="D222" s="83">
        <v>24673.3</v>
      </c>
      <c r="E222" s="83">
        <v>160.80000000000001</v>
      </c>
      <c r="F222" s="83">
        <v>5447.6</v>
      </c>
      <c r="G222" s="75">
        <f>93843.6-5397.5</f>
        <v>88446.1</v>
      </c>
      <c r="H222" s="83">
        <v>5397.5</v>
      </c>
      <c r="I222" s="75">
        <f>4366.9-678.2</f>
        <v>3688.7</v>
      </c>
      <c r="J222" s="83">
        <v>678.2</v>
      </c>
      <c r="K222" s="83">
        <f>J222+I222+H222+G222+F222+E222</f>
        <v>103818.90000000001</v>
      </c>
      <c r="L222" s="84">
        <v>128492.2</v>
      </c>
    </row>
    <row r="223" spans="3:12" ht="19.5" hidden="1" customHeight="1">
      <c r="C223" s="59"/>
      <c r="D223" s="83"/>
      <c r="E223" s="83"/>
      <c r="F223" s="83"/>
      <c r="G223" s="75"/>
      <c r="H223" s="83"/>
      <c r="I223" s="75"/>
      <c r="J223" s="83"/>
      <c r="K223" s="83"/>
      <c r="L223" s="84"/>
    </row>
    <row r="224" spans="3:12" ht="19.5" hidden="1" customHeight="1">
      <c r="C224" s="75">
        <v>2002</v>
      </c>
      <c r="D224" s="83"/>
      <c r="E224" s="83"/>
      <c r="F224" s="83"/>
      <c r="G224" s="75"/>
      <c r="H224" s="83"/>
      <c r="I224" s="75"/>
      <c r="J224" s="83"/>
      <c r="K224" s="83"/>
      <c r="L224" s="84"/>
    </row>
    <row r="225" spans="3:12" ht="19.5" hidden="1" customHeight="1">
      <c r="C225" s="75"/>
      <c r="D225" s="83"/>
      <c r="E225" s="83"/>
      <c r="F225" s="83"/>
      <c r="G225" s="75"/>
      <c r="H225" s="83"/>
      <c r="I225" s="75"/>
      <c r="J225" s="83"/>
      <c r="K225" s="83"/>
      <c r="L225" s="84"/>
    </row>
    <row r="226" spans="3:12" ht="19.5" hidden="1" customHeight="1">
      <c r="C226" s="59" t="s">
        <v>298</v>
      </c>
      <c r="D226" s="83">
        <v>24552.6</v>
      </c>
      <c r="E226" s="83">
        <v>126.1</v>
      </c>
      <c r="F226" s="83">
        <v>8663.2999999999993</v>
      </c>
      <c r="G226" s="83">
        <f>99069.9-6877.9</f>
        <v>92192</v>
      </c>
      <c r="H226" s="83">
        <v>6877.9</v>
      </c>
      <c r="I226" s="75">
        <f>5247.8-810.4</f>
        <v>4437.4000000000005</v>
      </c>
      <c r="J226" s="83">
        <v>810.4</v>
      </c>
      <c r="K226" s="83">
        <f>J226+I226+H226+G226+F226+E226</f>
        <v>113107.1</v>
      </c>
      <c r="L226" s="84">
        <v>137659.6</v>
      </c>
    </row>
    <row r="227" spans="3:12" ht="19.5" hidden="1" customHeight="1">
      <c r="C227" s="59"/>
      <c r="D227" s="83"/>
      <c r="E227" s="83"/>
      <c r="F227" s="83"/>
      <c r="G227" s="75"/>
      <c r="H227" s="83"/>
      <c r="I227" s="75"/>
      <c r="J227" s="83"/>
      <c r="K227" s="83"/>
      <c r="L227" s="84"/>
    </row>
    <row r="228" spans="3:12" ht="19.5" hidden="1" customHeight="1">
      <c r="C228" s="59" t="s">
        <v>299</v>
      </c>
      <c r="D228" s="83">
        <v>26138.6</v>
      </c>
      <c r="E228" s="83">
        <v>135.19999999999999</v>
      </c>
      <c r="F228" s="83">
        <v>9806.2000000000007</v>
      </c>
      <c r="G228" s="75">
        <f>109795.4-6637.2</f>
        <v>103158.2</v>
      </c>
      <c r="H228" s="83">
        <v>6637.2</v>
      </c>
      <c r="I228" s="75">
        <f>7631.6-897.5</f>
        <v>6734.1</v>
      </c>
      <c r="J228" s="83">
        <v>897.5</v>
      </c>
      <c r="K228" s="83">
        <f>J228+I228+H228+G228+F228+E228</f>
        <v>127368.4</v>
      </c>
      <c r="L228" s="84">
        <v>153507</v>
      </c>
    </row>
    <row r="229" spans="3:12" ht="19.5" hidden="1" customHeight="1">
      <c r="C229" s="59"/>
      <c r="D229" s="83"/>
      <c r="E229" s="83"/>
      <c r="F229" s="83"/>
      <c r="G229" s="75"/>
      <c r="H229" s="83"/>
      <c r="I229" s="75"/>
      <c r="J229" s="83"/>
      <c r="K229" s="83"/>
      <c r="L229" s="84"/>
    </row>
    <row r="230" spans="3:12" ht="19.5" hidden="1" customHeight="1">
      <c r="C230" s="59" t="s">
        <v>300</v>
      </c>
      <c r="D230" s="83">
        <v>29921.4</v>
      </c>
      <c r="E230" s="83">
        <v>413.4</v>
      </c>
      <c r="F230" s="83">
        <v>11712.7</v>
      </c>
      <c r="G230" s="75">
        <f>108760.4-5953.1</f>
        <v>102807.29999999999</v>
      </c>
      <c r="H230" s="83">
        <v>5953.1</v>
      </c>
      <c r="I230" s="75">
        <f>4183.1-778.8</f>
        <v>3404.3</v>
      </c>
      <c r="J230" s="83">
        <v>778.8</v>
      </c>
      <c r="K230" s="83">
        <f>J230+I230+H230+G230+F230+E230</f>
        <v>125069.59999999998</v>
      </c>
      <c r="L230" s="84">
        <v>154991.1</v>
      </c>
    </row>
    <row r="231" spans="3:12" ht="19.5" hidden="1" customHeight="1">
      <c r="C231" s="59"/>
      <c r="D231" s="83"/>
      <c r="E231" s="83"/>
      <c r="F231" s="83"/>
      <c r="G231" s="75"/>
      <c r="H231" s="83"/>
      <c r="I231" s="75"/>
      <c r="J231" s="83"/>
      <c r="K231" s="83"/>
      <c r="L231" s="84"/>
    </row>
    <row r="232" spans="3:12" ht="19.5" hidden="1" customHeight="1">
      <c r="C232" s="59" t="s">
        <v>301</v>
      </c>
      <c r="D232" s="83">
        <v>30191.5</v>
      </c>
      <c r="E232" s="83">
        <v>310.10000000000002</v>
      </c>
      <c r="F232" s="83">
        <v>13051.4</v>
      </c>
      <c r="G232" s="75">
        <v>117795.1</v>
      </c>
      <c r="H232" s="83">
        <v>6065.4</v>
      </c>
      <c r="I232" s="75">
        <v>3962.6</v>
      </c>
      <c r="J232" s="83">
        <v>792.5</v>
      </c>
      <c r="K232" s="83">
        <f>J232+I232+H232+G232+F232+E232</f>
        <v>141977.1</v>
      </c>
      <c r="L232" s="84">
        <v>172168.7</v>
      </c>
    </row>
    <row r="233" spans="3:12" ht="19.5" hidden="1" customHeight="1">
      <c r="C233" s="59"/>
      <c r="D233" s="83"/>
      <c r="E233" s="83"/>
      <c r="F233" s="83"/>
      <c r="G233" s="75"/>
      <c r="H233" s="83"/>
      <c r="I233" s="75"/>
      <c r="J233" s="83"/>
      <c r="K233" s="83"/>
      <c r="L233" s="84"/>
    </row>
    <row r="234" spans="3:12" ht="19.5" hidden="1" customHeight="1">
      <c r="C234" s="59" t="s">
        <v>302</v>
      </c>
      <c r="D234" s="83">
        <v>33332.800000000003</v>
      </c>
      <c r="E234" s="83">
        <v>161.6</v>
      </c>
      <c r="F234" s="83">
        <v>14111.8</v>
      </c>
      <c r="G234" s="83">
        <f>127301.3-5709.3</f>
        <v>121592</v>
      </c>
      <c r="H234" s="83">
        <v>5709.3</v>
      </c>
      <c r="I234" s="75">
        <f>4622.8-2583.4</f>
        <v>2039.4</v>
      </c>
      <c r="J234" s="83">
        <v>2583.4</v>
      </c>
      <c r="K234" s="83">
        <f>J234+I234+H234+G234+F234+E234</f>
        <v>146197.5</v>
      </c>
      <c r="L234" s="84">
        <v>179530.3</v>
      </c>
    </row>
    <row r="235" spans="3:12" ht="19.5" hidden="1" customHeight="1">
      <c r="C235" s="59"/>
      <c r="D235" s="83"/>
      <c r="E235" s="83"/>
      <c r="F235" s="83"/>
      <c r="G235" s="83"/>
      <c r="H235" s="83"/>
      <c r="I235" s="75"/>
      <c r="J235" s="83"/>
      <c r="K235" s="83"/>
      <c r="L235" s="84"/>
    </row>
    <row r="236" spans="3:12" ht="19.5" hidden="1" customHeight="1">
      <c r="C236" s="59" t="s">
        <v>303</v>
      </c>
      <c r="D236" s="83">
        <v>39178.5</v>
      </c>
      <c r="E236" s="83">
        <v>476</v>
      </c>
      <c r="F236" s="83">
        <v>18401.2</v>
      </c>
      <c r="G236" s="75">
        <f>117211.9-7035.8</f>
        <v>110176.09999999999</v>
      </c>
      <c r="H236" s="83">
        <v>7035.8</v>
      </c>
      <c r="I236" s="75">
        <f>2988.8-557.3</f>
        <v>2431.5</v>
      </c>
      <c r="J236" s="83">
        <v>557.29999999999995</v>
      </c>
      <c r="K236" s="83">
        <f>J236+I236+H236+G236+F236+E236</f>
        <v>139077.9</v>
      </c>
      <c r="L236" s="84">
        <v>178256.5</v>
      </c>
    </row>
    <row r="237" spans="3:12" ht="19.5" hidden="1" customHeight="1">
      <c r="C237" s="59"/>
      <c r="D237" s="83"/>
      <c r="E237" s="83"/>
      <c r="F237" s="83"/>
      <c r="G237" s="75"/>
      <c r="H237" s="83"/>
      <c r="I237" s="75"/>
      <c r="J237" s="83"/>
      <c r="K237" s="83"/>
      <c r="L237" s="84"/>
    </row>
    <row r="238" spans="3:12" ht="19.5" hidden="1" customHeight="1">
      <c r="C238" s="59" t="s">
        <v>304</v>
      </c>
      <c r="D238" s="83">
        <v>42946.7</v>
      </c>
      <c r="E238" s="83">
        <v>120.7</v>
      </c>
      <c r="F238" s="83">
        <v>17642.900000000001</v>
      </c>
      <c r="G238" s="75">
        <f>134698.8-7134.1</f>
        <v>127564.69999999998</v>
      </c>
      <c r="H238" s="83">
        <v>7134.1</v>
      </c>
      <c r="I238" s="75">
        <f>6821.1-742.8</f>
        <v>6078.3</v>
      </c>
      <c r="J238" s="83">
        <v>742.8</v>
      </c>
      <c r="K238" s="83">
        <f>J238+I238+H238+G238+F238+E238</f>
        <v>159283.5</v>
      </c>
      <c r="L238" s="84">
        <v>202230.2</v>
      </c>
    </row>
    <row r="239" spans="3:12" ht="19.5" hidden="1" customHeight="1">
      <c r="C239" s="63"/>
      <c r="D239" s="83"/>
      <c r="E239" s="83"/>
      <c r="F239" s="83"/>
      <c r="G239" s="75"/>
      <c r="H239" s="83"/>
      <c r="I239" s="75"/>
      <c r="J239" s="83"/>
      <c r="K239" s="83"/>
      <c r="L239" s="84"/>
    </row>
    <row r="240" spans="3:12" ht="19.5" hidden="1" customHeight="1">
      <c r="C240" s="59" t="s">
        <v>305</v>
      </c>
      <c r="D240" s="83">
        <v>45368.5</v>
      </c>
      <c r="E240" s="83">
        <v>2202.6</v>
      </c>
      <c r="F240" s="83">
        <v>15780.7</v>
      </c>
      <c r="G240" s="75">
        <f>150546.7-6927.1</f>
        <v>143619.6</v>
      </c>
      <c r="H240" s="83">
        <v>6927.1</v>
      </c>
      <c r="I240" s="83">
        <f>6575-658.2</f>
        <v>5916.8</v>
      </c>
      <c r="J240" s="83">
        <v>658.2</v>
      </c>
      <c r="K240" s="83">
        <f>J240+I240+H240+G240+F240+E240</f>
        <v>175105.00000000003</v>
      </c>
      <c r="L240" s="84">
        <v>220473.5</v>
      </c>
    </row>
    <row r="241" spans="3:12" ht="19.5" hidden="1" customHeight="1">
      <c r="C241" s="59"/>
      <c r="D241" s="83"/>
      <c r="E241" s="83"/>
      <c r="F241" s="83"/>
      <c r="G241" s="75"/>
      <c r="H241" s="83"/>
      <c r="I241" s="83"/>
      <c r="J241" s="83"/>
      <c r="K241" s="83"/>
      <c r="L241" s="84"/>
    </row>
    <row r="242" spans="3:12" ht="19.5" hidden="1" customHeight="1">
      <c r="C242" s="59" t="s">
        <v>306</v>
      </c>
      <c r="D242" s="83">
        <v>49789.3</v>
      </c>
      <c r="E242" s="83">
        <v>7236.9</v>
      </c>
      <c r="F242" s="83">
        <v>17872.5</v>
      </c>
      <c r="G242" s="75">
        <f>164297.3-3912.2</f>
        <v>160385.09999999998</v>
      </c>
      <c r="H242" s="83">
        <v>3912.2</v>
      </c>
      <c r="I242" s="75">
        <f>6483.7-696.8</f>
        <v>5786.9</v>
      </c>
      <c r="J242" s="83">
        <v>696.8</v>
      </c>
      <c r="K242" s="83">
        <f>J242+I242+H242+G242+F242+E242</f>
        <v>195890.39999999997</v>
      </c>
      <c r="L242" s="84">
        <v>245679.7</v>
      </c>
    </row>
    <row r="243" spans="3:12" ht="19.5" hidden="1" customHeight="1">
      <c r="C243" s="59"/>
      <c r="D243" s="83"/>
      <c r="E243" s="83"/>
      <c r="F243" s="83"/>
      <c r="G243" s="75"/>
      <c r="H243" s="83"/>
      <c r="I243" s="75"/>
      <c r="J243" s="83"/>
      <c r="K243" s="83"/>
      <c r="L243" s="84"/>
    </row>
    <row r="244" spans="3:12" ht="19.5" hidden="1" customHeight="1">
      <c r="C244" s="59" t="s">
        <v>307</v>
      </c>
      <c r="D244" s="83">
        <v>64114.2</v>
      </c>
      <c r="E244" s="83">
        <v>2205.3000000000002</v>
      </c>
      <c r="F244" s="83">
        <v>26389.4</v>
      </c>
      <c r="G244" s="75">
        <f>186305-7945.4</f>
        <v>178359.6</v>
      </c>
      <c r="H244" s="83">
        <v>7945.4</v>
      </c>
      <c r="I244" s="75">
        <f>5296.4-555.8</f>
        <v>4740.5999999999995</v>
      </c>
      <c r="J244" s="83">
        <v>555.79999999999995</v>
      </c>
      <c r="K244" s="83">
        <f>J244+I244+H244+G244+F244+E244</f>
        <v>220196.09999999998</v>
      </c>
      <c r="L244" s="84">
        <v>284310.3</v>
      </c>
    </row>
    <row r="245" spans="3:12" ht="19.5" hidden="1" customHeight="1">
      <c r="C245" s="59"/>
      <c r="D245" s="83"/>
      <c r="E245" s="83"/>
      <c r="F245" s="83"/>
      <c r="G245" s="75"/>
      <c r="H245" s="83"/>
      <c r="I245" s="75"/>
      <c r="J245" s="83"/>
      <c r="K245" s="83"/>
      <c r="L245" s="84"/>
    </row>
    <row r="246" spans="3:12" ht="19.5" hidden="1" customHeight="1">
      <c r="C246" s="59" t="s">
        <v>308</v>
      </c>
      <c r="D246" s="83">
        <v>79076.399999999994</v>
      </c>
      <c r="E246" s="83">
        <v>2371.8000000000002</v>
      </c>
      <c r="F246" s="83">
        <v>33991.300000000003</v>
      </c>
      <c r="G246" s="75">
        <f>199058.2-10831.9</f>
        <v>188226.30000000002</v>
      </c>
      <c r="H246" s="83">
        <v>10831.9</v>
      </c>
      <c r="I246" s="75">
        <f>9635.6-513.4</f>
        <v>9122.2000000000007</v>
      </c>
      <c r="J246" s="83">
        <v>513.4</v>
      </c>
      <c r="K246" s="83">
        <f>J246+I246+H246+G246+F246+E246</f>
        <v>245056.90000000002</v>
      </c>
      <c r="L246" s="84">
        <v>324133.3</v>
      </c>
    </row>
    <row r="247" spans="3:12" ht="19.5" hidden="1" customHeight="1">
      <c r="C247" s="59"/>
      <c r="D247" s="83"/>
      <c r="E247" s="83"/>
      <c r="F247" s="83"/>
      <c r="G247" s="75"/>
      <c r="H247" s="83"/>
      <c r="I247" s="75"/>
      <c r="J247" s="83"/>
      <c r="K247" s="83"/>
      <c r="L247" s="84"/>
    </row>
    <row r="248" spans="3:12" ht="19.5" hidden="1" customHeight="1">
      <c r="C248" s="59" t="s">
        <v>311</v>
      </c>
      <c r="D248" s="83">
        <v>77908.7</v>
      </c>
      <c r="E248" s="83">
        <v>672.8</v>
      </c>
      <c r="F248" s="83">
        <v>27949.1</v>
      </c>
      <c r="G248" s="75">
        <f>226805.3-11942.2</f>
        <v>214863.09999999998</v>
      </c>
      <c r="H248" s="83">
        <v>11942.2</v>
      </c>
      <c r="I248" s="75">
        <f>15146.6-442.3</f>
        <v>14704.300000000001</v>
      </c>
      <c r="J248" s="83">
        <v>442.3</v>
      </c>
      <c r="K248" s="83">
        <f>J248+I248+H248+G248+F248+E248</f>
        <v>270573.79999999993</v>
      </c>
      <c r="L248" s="84">
        <v>348482.5</v>
      </c>
    </row>
    <row r="249" spans="3:12" ht="19.5" hidden="1" customHeight="1">
      <c r="C249" s="59"/>
      <c r="D249" s="83"/>
      <c r="E249" s="83"/>
      <c r="F249" s="83"/>
      <c r="G249" s="75"/>
      <c r="H249" s="83"/>
      <c r="I249" s="75"/>
      <c r="J249" s="83"/>
      <c r="K249" s="83"/>
      <c r="L249" s="84"/>
    </row>
    <row r="250" spans="3:12" ht="19.5" hidden="1" customHeight="1">
      <c r="C250" s="75">
        <v>2003</v>
      </c>
      <c r="D250" s="83"/>
      <c r="E250" s="83"/>
      <c r="F250" s="83"/>
      <c r="G250" s="75"/>
      <c r="H250" s="83"/>
      <c r="I250" s="75"/>
      <c r="J250" s="83"/>
      <c r="K250" s="83"/>
      <c r="L250" s="84"/>
    </row>
    <row r="251" spans="3:12" ht="19.5" hidden="1" customHeight="1">
      <c r="C251" s="75"/>
      <c r="D251" s="83"/>
      <c r="E251" s="83"/>
      <c r="F251" s="83"/>
      <c r="G251" s="75"/>
      <c r="H251" s="83"/>
      <c r="I251" s="75"/>
      <c r="J251" s="83"/>
      <c r="K251" s="83"/>
      <c r="L251" s="84"/>
    </row>
    <row r="252" spans="3:12" ht="19.5" hidden="1" customHeight="1">
      <c r="C252" s="59" t="s">
        <v>298</v>
      </c>
      <c r="D252" s="83">
        <v>82874.399999999994</v>
      </c>
      <c r="E252" s="83">
        <v>3160.3</v>
      </c>
      <c r="F252" s="83">
        <v>36466.699999999997</v>
      </c>
      <c r="G252" s="75">
        <f>244854.8-H252</f>
        <v>233668.3</v>
      </c>
      <c r="H252" s="83">
        <v>11186.5</v>
      </c>
      <c r="I252" s="75">
        <f>10044-J252</f>
        <v>9666.4</v>
      </c>
      <c r="J252" s="83">
        <v>377.6</v>
      </c>
      <c r="K252" s="83">
        <f>J252+I252+H252+G252+F252+E252</f>
        <v>294525.8</v>
      </c>
      <c r="L252" s="84">
        <v>377400.2</v>
      </c>
    </row>
    <row r="253" spans="3:12" ht="19.5" hidden="1" customHeight="1">
      <c r="C253" s="59"/>
      <c r="D253" s="83"/>
      <c r="E253" s="83"/>
      <c r="F253" s="83"/>
      <c r="G253" s="75"/>
      <c r="H253" s="83"/>
      <c r="I253" s="75"/>
      <c r="J253" s="83"/>
      <c r="K253" s="83"/>
      <c r="L253" s="84"/>
    </row>
    <row r="254" spans="3:12" ht="19.5" hidden="1" customHeight="1">
      <c r="C254" s="59" t="s">
        <v>299</v>
      </c>
      <c r="D254" s="83">
        <v>89749.9</v>
      </c>
      <c r="E254" s="83">
        <v>3551</v>
      </c>
      <c r="F254" s="83">
        <v>41657.800000000003</v>
      </c>
      <c r="G254" s="75">
        <f>267086.3-H254</f>
        <v>259918.09999999998</v>
      </c>
      <c r="H254" s="83">
        <v>7168.2</v>
      </c>
      <c r="I254" s="75">
        <f>9267.2-J254</f>
        <v>8922.7000000000007</v>
      </c>
      <c r="J254" s="83">
        <v>344.5</v>
      </c>
      <c r="K254" s="83">
        <f>J254+I254+H254+G254+F254+E254</f>
        <v>321562.3</v>
      </c>
      <c r="L254" s="84">
        <v>411312.2</v>
      </c>
    </row>
    <row r="255" spans="3:12" ht="19.5" hidden="1" customHeight="1">
      <c r="C255" s="59"/>
      <c r="D255" s="83"/>
      <c r="E255" s="83"/>
      <c r="F255" s="83"/>
      <c r="G255" s="75"/>
      <c r="H255" s="83"/>
      <c r="I255" s="75"/>
      <c r="J255" s="83"/>
      <c r="K255" s="83"/>
      <c r="L255" s="84"/>
    </row>
    <row r="256" spans="3:12" ht="19.5" hidden="1" customHeight="1">
      <c r="C256" s="59" t="s">
        <v>300</v>
      </c>
      <c r="D256" s="83">
        <v>94506.5</v>
      </c>
      <c r="E256" s="83">
        <v>3478.5</v>
      </c>
      <c r="F256" s="83">
        <v>40475.599999999999</v>
      </c>
      <c r="G256" s="75">
        <f>367618.5-64228.8</f>
        <v>303389.7</v>
      </c>
      <c r="H256" s="83">
        <v>64228.800000000003</v>
      </c>
      <c r="I256" s="83">
        <f>25892.2-15194.2</f>
        <v>10698</v>
      </c>
      <c r="J256" s="83">
        <v>15194.2</v>
      </c>
      <c r="K256" s="83">
        <f>J256+I256+H256+G256+F256+E256</f>
        <v>437464.8</v>
      </c>
      <c r="L256" s="84">
        <v>531971.30000000005</v>
      </c>
    </row>
    <row r="257" spans="3:12" ht="19.5" hidden="1" customHeight="1">
      <c r="C257" s="59"/>
      <c r="D257" s="83"/>
      <c r="E257" s="83"/>
      <c r="F257" s="83"/>
      <c r="G257" s="75"/>
      <c r="H257" s="83"/>
      <c r="I257" s="75"/>
      <c r="J257" s="83"/>
      <c r="K257" s="83"/>
      <c r="L257" s="84"/>
    </row>
    <row r="258" spans="3:12" ht="19.5" hidden="1" customHeight="1">
      <c r="C258" s="76" t="s">
        <v>301</v>
      </c>
      <c r="D258" s="83">
        <v>110321.2</v>
      </c>
      <c r="E258" s="83">
        <v>4472.2</v>
      </c>
      <c r="F258" s="83">
        <v>56171.1</v>
      </c>
      <c r="G258" s="75">
        <f>400812.2-74852.6</f>
        <v>325959.59999999998</v>
      </c>
      <c r="H258" s="83">
        <v>74852.600000000006</v>
      </c>
      <c r="I258" s="75">
        <f>27611.9-J258</f>
        <v>18625.2</v>
      </c>
      <c r="J258" s="83">
        <v>8986.7000000000007</v>
      </c>
      <c r="K258" s="83">
        <f>J258+I258+H258+G258+F258+E258</f>
        <v>489067.39999999997</v>
      </c>
      <c r="L258" s="84">
        <v>599388.69999999995</v>
      </c>
    </row>
    <row r="259" spans="3:12" ht="19.5" hidden="1" customHeight="1">
      <c r="C259" s="86"/>
      <c r="D259" s="83"/>
      <c r="E259" s="83"/>
      <c r="F259" s="83"/>
      <c r="G259" s="75"/>
      <c r="H259" s="83"/>
      <c r="I259" s="75"/>
      <c r="J259" s="83"/>
      <c r="K259" s="83"/>
      <c r="L259" s="84"/>
    </row>
    <row r="260" spans="3:12" ht="19.5" hidden="1" customHeight="1">
      <c r="C260" s="76" t="s">
        <v>302</v>
      </c>
      <c r="D260" s="83">
        <v>130997.6</v>
      </c>
      <c r="E260" s="83">
        <v>4741.8</v>
      </c>
      <c r="F260" s="83">
        <v>59269.8</v>
      </c>
      <c r="G260" s="83">
        <f>415835.1-H260</f>
        <v>349329.3</v>
      </c>
      <c r="H260" s="83">
        <v>66505.8</v>
      </c>
      <c r="I260" s="83">
        <f>35189-J260</f>
        <v>25295</v>
      </c>
      <c r="J260" s="83">
        <v>9894</v>
      </c>
      <c r="K260" s="83">
        <f>J260+I260+H260+G260+F260+E260</f>
        <v>515035.69999999995</v>
      </c>
      <c r="L260" s="84">
        <v>646033.19999999995</v>
      </c>
    </row>
    <row r="261" spans="3:12" ht="19.5" hidden="1" customHeight="1">
      <c r="C261" s="86"/>
      <c r="D261" s="83"/>
      <c r="E261" s="83"/>
      <c r="F261" s="83"/>
      <c r="G261" s="75"/>
      <c r="H261" s="83"/>
      <c r="I261" s="75"/>
      <c r="J261" s="83"/>
      <c r="K261" s="83"/>
      <c r="L261" s="84"/>
    </row>
    <row r="262" spans="3:12" ht="19.5" hidden="1" customHeight="1">
      <c r="C262" s="76" t="s">
        <v>303</v>
      </c>
      <c r="D262" s="83">
        <v>143202.79999999999</v>
      </c>
      <c r="E262" s="83">
        <v>3439.4</v>
      </c>
      <c r="F262" s="83">
        <v>69197.8</v>
      </c>
      <c r="G262" s="83">
        <f>524181.5-H262</f>
        <v>457701</v>
      </c>
      <c r="H262" s="83">
        <v>66480.5</v>
      </c>
      <c r="I262" s="83">
        <f>40321.8-J262</f>
        <v>28680.000000000004</v>
      </c>
      <c r="J262" s="83">
        <v>11641.8</v>
      </c>
      <c r="K262" s="83">
        <f>J262+I262+H262+G262+F262+E262</f>
        <v>637140.50000000012</v>
      </c>
      <c r="L262" s="84">
        <v>780343.4</v>
      </c>
    </row>
    <row r="263" spans="3:12" ht="19.5" hidden="1" customHeight="1">
      <c r="C263" s="76"/>
      <c r="D263" s="83"/>
      <c r="E263" s="83"/>
      <c r="F263" s="83"/>
      <c r="G263" s="75"/>
      <c r="H263" s="83"/>
      <c r="I263" s="75"/>
      <c r="J263" s="83"/>
      <c r="K263" s="83"/>
      <c r="L263" s="84"/>
    </row>
    <row r="264" spans="3:12" ht="19.5" hidden="1" customHeight="1">
      <c r="C264" s="76" t="s">
        <v>304</v>
      </c>
      <c r="D264" s="83">
        <v>159399.6</v>
      </c>
      <c r="E264" s="83">
        <v>3829.6</v>
      </c>
      <c r="F264" s="83">
        <v>55975.1</v>
      </c>
      <c r="G264" s="83">
        <f>667864.8-H264</f>
        <v>-4252235.4989999998</v>
      </c>
      <c r="H264" s="83">
        <f>4920100299/1000</f>
        <v>4920100.2989999996</v>
      </c>
      <c r="I264" s="83">
        <v>725</v>
      </c>
      <c r="J264" s="83">
        <v>15125.4</v>
      </c>
      <c r="K264" s="83">
        <f>J264+I264+H264+G264+F264+E264</f>
        <v>743519.90000000014</v>
      </c>
      <c r="L264" s="84">
        <v>950430.9</v>
      </c>
    </row>
    <row r="265" spans="3:12" ht="19.5" hidden="1" customHeight="1">
      <c r="C265" s="59"/>
      <c r="D265" s="83"/>
      <c r="E265" s="83"/>
      <c r="F265" s="83"/>
      <c r="G265" s="83"/>
      <c r="H265" s="83">
        <f>4698281252/1000</f>
        <v>4698281.2520000003</v>
      </c>
      <c r="I265" s="83">
        <v>20</v>
      </c>
      <c r="J265" s="83"/>
      <c r="K265" s="83"/>
      <c r="L265" s="84"/>
    </row>
    <row r="266" spans="3:12" ht="19.5" hidden="1" customHeight="1">
      <c r="C266" s="59" t="s">
        <v>305</v>
      </c>
      <c r="D266" s="83">
        <v>183029.7</v>
      </c>
      <c r="E266" s="83">
        <v>4712</v>
      </c>
      <c r="F266" s="83">
        <v>72281.3</v>
      </c>
      <c r="G266" s="83">
        <v>693469.8</v>
      </c>
      <c r="H266" s="83">
        <f>6895867959/1000</f>
        <v>6895867.9589999998</v>
      </c>
      <c r="I266" s="83">
        <v>51577</v>
      </c>
      <c r="J266" s="83">
        <v>6812.1</v>
      </c>
      <c r="K266" s="83">
        <f>J266+I266+H266+G266+F266+E266</f>
        <v>7724720.1589999991</v>
      </c>
      <c r="L266" s="84">
        <v>1088516</v>
      </c>
    </row>
    <row r="267" spans="3:12" ht="19.5" hidden="1" customHeight="1">
      <c r="C267" s="59"/>
      <c r="D267" s="83"/>
      <c r="E267" s="83"/>
      <c r="F267" s="83"/>
      <c r="G267" s="83"/>
      <c r="H267" s="83"/>
      <c r="I267" s="83"/>
      <c r="J267" s="83"/>
      <c r="K267" s="83"/>
      <c r="L267" s="84"/>
    </row>
    <row r="268" spans="3:12" ht="19.5" hidden="1" customHeight="1">
      <c r="C268" s="59" t="s">
        <v>306</v>
      </c>
      <c r="D268" s="83">
        <v>236520.7</v>
      </c>
      <c r="E268" s="83">
        <v>3149</v>
      </c>
      <c r="F268" s="83">
        <v>78645.3</v>
      </c>
      <c r="G268" s="83">
        <f>1125507.3-120127.7</f>
        <v>1005379.6000000001</v>
      </c>
      <c r="H268" s="83">
        <v>120127.7</v>
      </c>
      <c r="I268" s="83">
        <f>82492.4-6800.2</f>
        <v>75692.2</v>
      </c>
      <c r="J268" s="83">
        <v>6800.2</v>
      </c>
      <c r="K268" s="83">
        <f>J268+I268+H268+G268+F268+E268</f>
        <v>1289794.0000000002</v>
      </c>
      <c r="L268" s="84">
        <v>1526314.7</v>
      </c>
    </row>
    <row r="269" spans="3:12" ht="19.5" hidden="1" customHeight="1">
      <c r="C269" s="59"/>
      <c r="D269" s="83"/>
      <c r="E269" s="83"/>
      <c r="F269" s="83"/>
      <c r="G269" s="83"/>
      <c r="H269" s="83"/>
      <c r="I269" s="83"/>
      <c r="J269" s="83"/>
      <c r="K269" s="83"/>
      <c r="L269" s="84"/>
    </row>
    <row r="270" spans="3:12" ht="19.5" hidden="1" customHeight="1">
      <c r="C270" s="59" t="s">
        <v>307</v>
      </c>
      <c r="D270" s="83">
        <v>339960.5</v>
      </c>
      <c r="E270" s="83">
        <v>3651.7</v>
      </c>
      <c r="F270" s="83">
        <v>103454.6</v>
      </c>
      <c r="G270" s="83">
        <f>1235982.8-130609.6</f>
        <v>1105373.2</v>
      </c>
      <c r="H270" s="83">
        <v>130609.60000000001</v>
      </c>
      <c r="I270" s="83">
        <f>84275.3-8127.8</f>
        <v>76147.5</v>
      </c>
      <c r="J270" s="83">
        <v>8127.8</v>
      </c>
      <c r="K270" s="83">
        <f>J270+I270+H270+G270+F270+E270</f>
        <v>1427364.4000000001</v>
      </c>
      <c r="L270" s="84">
        <v>1767324.8</v>
      </c>
    </row>
    <row r="271" spans="3:12" ht="19.5" hidden="1" customHeight="1">
      <c r="C271" s="59"/>
      <c r="D271" s="83"/>
      <c r="E271" s="83"/>
      <c r="F271" s="83"/>
      <c r="G271" s="83"/>
      <c r="H271" s="83"/>
      <c r="I271" s="83"/>
      <c r="J271" s="83"/>
      <c r="K271" s="83"/>
      <c r="L271" s="84"/>
    </row>
    <row r="272" spans="3:12" ht="19.5" hidden="1" customHeight="1">
      <c r="C272" s="59" t="s">
        <v>308</v>
      </c>
      <c r="D272" s="87">
        <v>491393.8</v>
      </c>
      <c r="E272" s="87">
        <v>5596.8</v>
      </c>
      <c r="F272" s="87">
        <v>127287.5</v>
      </c>
      <c r="G272" s="87">
        <f>1405299.2-H272</f>
        <v>1263202.2</v>
      </c>
      <c r="H272" s="87">
        <v>142097</v>
      </c>
      <c r="I272" s="87">
        <f>138676.3-J272</f>
        <v>131669.9</v>
      </c>
      <c r="J272" s="87">
        <v>7006.4</v>
      </c>
      <c r="K272" s="83">
        <f>J272+I272+H272+G272+F272+E272</f>
        <v>1676859.8</v>
      </c>
      <c r="L272" s="88">
        <v>2168253.5</v>
      </c>
    </row>
    <row r="273" spans="3:14" ht="19.5" hidden="1" customHeight="1">
      <c r="C273" s="59"/>
      <c r="D273" s="87"/>
      <c r="E273" s="87"/>
      <c r="F273" s="87"/>
      <c r="G273" s="87"/>
      <c r="H273" s="87"/>
      <c r="I273" s="87"/>
      <c r="J273" s="87"/>
      <c r="K273" s="83"/>
      <c r="L273" s="88"/>
    </row>
    <row r="274" spans="3:14" ht="19.5" hidden="1" customHeight="1">
      <c r="C274" s="59" t="s">
        <v>311</v>
      </c>
      <c r="D274" s="87">
        <v>433167.4</v>
      </c>
      <c r="E274" s="87">
        <v>7218.4</v>
      </c>
      <c r="F274" s="87">
        <v>78370.100000000006</v>
      </c>
      <c r="G274" s="87">
        <v>1414360.2</v>
      </c>
      <c r="H274" s="87">
        <f>129057.6-I274</f>
        <v>11656.700000000012</v>
      </c>
      <c r="I274" s="87">
        <f>126143.4-J274</f>
        <v>117400.9</v>
      </c>
      <c r="J274" s="87">
        <v>8742.5</v>
      </c>
      <c r="K274" s="83">
        <f>J274+I274+H274+G274+F274+E274</f>
        <v>1637748.8</v>
      </c>
      <c r="L274" s="88">
        <v>2059259.6</v>
      </c>
    </row>
    <row r="275" spans="3:14" ht="19.5" hidden="1" customHeight="1">
      <c r="C275" s="59"/>
      <c r="D275" s="87"/>
      <c r="E275" s="87"/>
      <c r="F275" s="87"/>
      <c r="G275" s="87"/>
      <c r="H275" s="87"/>
      <c r="I275" s="87"/>
      <c r="J275" s="87"/>
      <c r="K275" s="83"/>
      <c r="L275" s="88"/>
    </row>
    <row r="276" spans="3:14" ht="19.5" hidden="1" customHeight="1">
      <c r="C276" s="57">
        <v>2004</v>
      </c>
      <c r="D276" s="87"/>
      <c r="E276" s="87"/>
      <c r="F276" s="87"/>
      <c r="G276" s="87"/>
      <c r="H276" s="87"/>
      <c r="I276" s="87"/>
      <c r="J276" s="87"/>
      <c r="K276" s="83"/>
      <c r="L276" s="88"/>
    </row>
    <row r="277" spans="3:14" ht="19.5" hidden="1" customHeight="1">
      <c r="C277" s="59"/>
      <c r="D277" s="87"/>
      <c r="E277" s="87"/>
      <c r="F277" s="87"/>
      <c r="G277" s="87"/>
      <c r="H277" s="87"/>
      <c r="I277" s="87"/>
      <c r="J277" s="87"/>
      <c r="K277" s="83"/>
      <c r="L277" s="88"/>
    </row>
    <row r="278" spans="3:14" ht="19.5" hidden="1" customHeight="1">
      <c r="C278" s="59" t="s">
        <v>298</v>
      </c>
      <c r="D278" s="87">
        <v>484932.3</v>
      </c>
      <c r="E278" s="87">
        <v>5191.6000000000004</v>
      </c>
      <c r="F278" s="87">
        <v>88566.1</v>
      </c>
      <c r="G278" s="87">
        <f>2030226.2-H278</f>
        <v>1697408.9</v>
      </c>
      <c r="H278" s="87">
        <v>332817.3</v>
      </c>
      <c r="I278" s="87">
        <f>152844.2-J278</f>
        <v>115101.70000000001</v>
      </c>
      <c r="J278" s="87">
        <v>37742.5</v>
      </c>
      <c r="K278" s="83">
        <f>J278+I278+H278+G278+F278+E278</f>
        <v>2276828.1</v>
      </c>
      <c r="L278" s="88">
        <v>2761760.4</v>
      </c>
    </row>
    <row r="279" spans="3:14" ht="19.5" hidden="1" customHeight="1">
      <c r="C279" s="59"/>
      <c r="D279" s="87"/>
      <c r="E279" s="87"/>
      <c r="F279" s="87"/>
      <c r="G279" s="87"/>
      <c r="H279" s="87"/>
      <c r="I279" s="87"/>
      <c r="J279" s="87"/>
      <c r="K279" s="83"/>
      <c r="L279" s="88"/>
    </row>
    <row r="280" spans="3:14" ht="19.5" hidden="1" customHeight="1">
      <c r="C280" s="59" t="s">
        <v>299</v>
      </c>
      <c r="D280" s="87">
        <v>531936.9</v>
      </c>
      <c r="E280" s="87">
        <v>3427.7</v>
      </c>
      <c r="F280" s="87">
        <v>109228.8</v>
      </c>
      <c r="G280" s="87">
        <f>2013852.3-H280</f>
        <v>1678973.4</v>
      </c>
      <c r="H280" s="87">
        <v>334878.90000000002</v>
      </c>
      <c r="I280" s="87">
        <f>191661.7-J280</f>
        <v>119306.1</v>
      </c>
      <c r="J280" s="87">
        <v>72355.600000000006</v>
      </c>
      <c r="K280" s="83">
        <f>J280+I280+H280+G280+F280+E280</f>
        <v>2318170.5</v>
      </c>
      <c r="L280" s="88">
        <v>2850107.4</v>
      </c>
    </row>
    <row r="281" spans="3:14" ht="19.5" hidden="1" customHeight="1">
      <c r="C281" s="59"/>
      <c r="D281" s="87"/>
      <c r="E281" s="87"/>
      <c r="F281" s="87"/>
      <c r="G281" s="87"/>
      <c r="H281" s="87"/>
      <c r="I281" s="87"/>
      <c r="J281" s="87"/>
      <c r="K281" s="83"/>
      <c r="L281" s="88"/>
    </row>
    <row r="282" spans="3:14" ht="19.5" hidden="1" customHeight="1">
      <c r="C282" s="59" t="s">
        <v>300</v>
      </c>
      <c r="D282" s="87">
        <v>561269.1</v>
      </c>
      <c r="E282" s="87">
        <v>22316.6</v>
      </c>
      <c r="F282" s="87">
        <v>111285.1</v>
      </c>
      <c r="G282" s="87">
        <f>2416151.4-H282</f>
        <v>2053954.2999999998</v>
      </c>
      <c r="H282" s="87">
        <v>362197.1</v>
      </c>
      <c r="I282" s="87">
        <f>198768.2-J282</f>
        <v>156367.5</v>
      </c>
      <c r="J282" s="87">
        <v>42400.7</v>
      </c>
      <c r="K282" s="83">
        <f>J282+I282+H282+G282+F282+E282</f>
        <v>2748521.3</v>
      </c>
      <c r="L282" s="88">
        <v>3309790.4</v>
      </c>
    </row>
    <row r="283" spans="3:14" ht="19.5" hidden="1" customHeight="1">
      <c r="C283" s="59"/>
      <c r="D283" s="87"/>
      <c r="E283" s="87"/>
      <c r="F283" s="87"/>
      <c r="G283" s="87"/>
      <c r="H283" s="87"/>
      <c r="I283" s="87"/>
      <c r="J283" s="87"/>
      <c r="K283" s="83"/>
      <c r="L283" s="88"/>
    </row>
    <row r="284" spans="3:14" ht="19.5" hidden="1" customHeight="1">
      <c r="C284" s="59" t="s">
        <v>301</v>
      </c>
      <c r="D284" s="87">
        <v>685260.1</v>
      </c>
      <c r="E284" s="87">
        <v>28541.8</v>
      </c>
      <c r="F284" s="87">
        <v>116723.2</v>
      </c>
      <c r="G284" s="87">
        <v>2212354.2000000002</v>
      </c>
      <c r="H284" s="87">
        <v>430338.3</v>
      </c>
      <c r="I284" s="87">
        <v>84785.2</v>
      </c>
      <c r="J284" s="87">
        <v>61754.8</v>
      </c>
      <c r="K284" s="83">
        <f>J284+I284+H284+G284+F284+E284</f>
        <v>2934497.5</v>
      </c>
      <c r="L284" s="88">
        <v>3619757.5</v>
      </c>
    </row>
    <row r="285" spans="3:14" ht="19.5" hidden="1" customHeight="1">
      <c r="C285" s="59"/>
      <c r="D285" s="87"/>
      <c r="E285" s="87"/>
      <c r="F285" s="87"/>
      <c r="G285" s="87"/>
      <c r="H285" s="87"/>
      <c r="I285" s="87"/>
      <c r="J285" s="87"/>
      <c r="K285" s="83"/>
      <c r="L285" s="88"/>
    </row>
    <row r="286" spans="3:14" ht="19.5" hidden="1" customHeight="1">
      <c r="C286" s="59" t="s">
        <v>302</v>
      </c>
      <c r="D286" s="87">
        <v>802067</v>
      </c>
      <c r="E286" s="87">
        <v>12003.9</v>
      </c>
      <c r="F286" s="87">
        <v>97965</v>
      </c>
      <c r="G286" s="87">
        <v>2550969.4</v>
      </c>
      <c r="H286" s="87">
        <v>531697.80000000005</v>
      </c>
      <c r="I286" s="87">
        <v>80029</v>
      </c>
      <c r="J286" s="87">
        <v>111847.7</v>
      </c>
      <c r="K286" s="83">
        <f>J286+I286+H286+G286+F286+E286</f>
        <v>3384512.8</v>
      </c>
      <c r="L286" s="88">
        <v>4186579.8</v>
      </c>
    </row>
    <row r="287" spans="3:14" ht="19.5" hidden="1" customHeight="1">
      <c r="C287" s="59"/>
      <c r="D287" s="87"/>
      <c r="E287" s="87"/>
      <c r="F287" s="87"/>
      <c r="G287" s="87"/>
      <c r="H287" s="87"/>
      <c r="I287" s="87"/>
      <c r="J287" s="87"/>
      <c r="K287" s="83"/>
      <c r="L287" s="88"/>
    </row>
    <row r="288" spans="3:14" ht="19.5" hidden="1" customHeight="1">
      <c r="C288" s="59" t="s">
        <v>303</v>
      </c>
      <c r="D288" s="87">
        <v>990155.5</v>
      </c>
      <c r="E288" s="87">
        <v>14884.8</v>
      </c>
      <c r="F288" s="87">
        <v>113628.7</v>
      </c>
      <c r="G288" s="87">
        <f>3351474.8-H288</f>
        <v>2835195.0999999996</v>
      </c>
      <c r="H288" s="87">
        <v>516279.7</v>
      </c>
      <c r="I288" s="87">
        <f>195825.2-J288</f>
        <v>111795.30000000002</v>
      </c>
      <c r="J288" s="87">
        <v>84029.9</v>
      </c>
      <c r="K288" s="83">
        <f>J288+I288+H288+G288+F288+E288</f>
        <v>3675813.4999999995</v>
      </c>
      <c r="L288" s="88">
        <v>4665969.0999999996</v>
      </c>
      <c r="N288" s="68">
        <f>+L288-SUM(D288:J288)</f>
        <v>9.999999962747097E-2</v>
      </c>
    </row>
    <row r="289" spans="3:14" ht="19.5" hidden="1" customHeight="1">
      <c r="C289" s="59"/>
      <c r="D289" s="87"/>
      <c r="E289" s="87"/>
      <c r="F289" s="87"/>
      <c r="G289" s="87"/>
      <c r="H289" s="87"/>
      <c r="I289" s="87"/>
      <c r="J289" s="87"/>
      <c r="K289" s="83"/>
      <c r="L289" s="88"/>
      <c r="N289" s="68"/>
    </row>
    <row r="290" spans="3:14" ht="19.5" hidden="1" customHeight="1">
      <c r="C290" s="59" t="s">
        <v>304</v>
      </c>
      <c r="D290" s="87">
        <v>1115295.2</v>
      </c>
      <c r="E290" s="87">
        <v>7501.3</v>
      </c>
      <c r="F290" s="87">
        <v>206409.7</v>
      </c>
      <c r="G290" s="87">
        <f>3190362.6-H290</f>
        <v>2715518.2</v>
      </c>
      <c r="H290" s="87">
        <v>474844.4</v>
      </c>
      <c r="I290" s="87">
        <f>147139-J290</f>
        <v>89774</v>
      </c>
      <c r="J290" s="87">
        <v>57365</v>
      </c>
      <c r="K290" s="83">
        <f>J290+I290+H290+G290+F290+E290</f>
        <v>3551412.6</v>
      </c>
      <c r="L290" s="88">
        <v>4666707.7</v>
      </c>
      <c r="N290" s="68">
        <f>+L290-SUM(D290:J290)</f>
        <v>-0.10000000055879354</v>
      </c>
    </row>
    <row r="291" spans="3:14" ht="19.5" hidden="1" customHeight="1">
      <c r="C291" s="59"/>
      <c r="D291" s="87"/>
      <c r="E291" s="87"/>
      <c r="F291" s="87"/>
      <c r="G291" s="87"/>
      <c r="H291" s="87"/>
      <c r="I291" s="87"/>
      <c r="J291" s="87"/>
      <c r="K291" s="83"/>
      <c r="L291" s="88"/>
      <c r="N291" s="68"/>
    </row>
    <row r="292" spans="3:14" ht="19.5" hidden="1" customHeight="1">
      <c r="C292" s="59" t="s">
        <v>305</v>
      </c>
      <c r="D292" s="87">
        <v>1133732.2</v>
      </c>
      <c r="E292" s="87">
        <v>313.60000000000002</v>
      </c>
      <c r="F292" s="87">
        <v>136360.79999999999</v>
      </c>
      <c r="G292" s="87">
        <f>3793062.4-H292</f>
        <v>3249109.8</v>
      </c>
      <c r="H292" s="87">
        <v>543952.6</v>
      </c>
      <c r="I292" s="87">
        <f>154800.2-J292</f>
        <v>104042.50000000001</v>
      </c>
      <c r="J292" s="87">
        <v>50757.7</v>
      </c>
      <c r="K292" s="83">
        <f>J292+I292+H292+G292+F292+E292</f>
        <v>4084536.9999999995</v>
      </c>
      <c r="L292" s="88">
        <v>5218269.3</v>
      </c>
      <c r="N292" s="68">
        <f>+L292-SUM(D292:J292)</f>
        <v>9.999999962747097E-2</v>
      </c>
    </row>
    <row r="293" spans="3:14" ht="19.5" hidden="1" customHeight="1">
      <c r="C293" s="59"/>
      <c r="D293" s="87"/>
      <c r="E293" s="87"/>
      <c r="F293" s="87"/>
      <c r="G293" s="87"/>
      <c r="H293" s="87"/>
      <c r="I293" s="87"/>
      <c r="J293" s="87"/>
      <c r="K293" s="83"/>
      <c r="L293" s="88"/>
      <c r="N293" s="68"/>
    </row>
    <row r="294" spans="3:14" ht="19.5" hidden="1" customHeight="1">
      <c r="C294" s="59" t="s">
        <v>306</v>
      </c>
      <c r="D294" s="87">
        <v>1226535.7</v>
      </c>
      <c r="E294" s="87">
        <v>56555.3</v>
      </c>
      <c r="F294" s="87">
        <v>135829.79999999999</v>
      </c>
      <c r="G294" s="87">
        <f>4019741-H294</f>
        <v>3561972.5</v>
      </c>
      <c r="H294" s="87">
        <v>457768.5</v>
      </c>
      <c r="I294" s="87">
        <f>170807.2-J294</f>
        <v>52566.000000000015</v>
      </c>
      <c r="J294" s="87">
        <v>118241.2</v>
      </c>
      <c r="K294" s="83">
        <f>J294+I294+H294+G294+F294+E294</f>
        <v>4382933.3</v>
      </c>
      <c r="L294" s="88">
        <v>5609469</v>
      </c>
      <c r="N294" s="68">
        <f>+L294-SUM(D294:J294)</f>
        <v>0</v>
      </c>
    </row>
    <row r="295" spans="3:14" ht="19.5" hidden="1" customHeight="1">
      <c r="C295" s="59"/>
      <c r="D295" s="87"/>
      <c r="E295" s="87"/>
      <c r="F295" s="87"/>
      <c r="G295" s="87"/>
      <c r="H295" s="87"/>
      <c r="I295" s="87"/>
      <c r="J295" s="87"/>
      <c r="K295" s="83"/>
      <c r="L295" s="88"/>
      <c r="N295" s="68"/>
    </row>
    <row r="296" spans="3:14" ht="19.5" hidden="1" customHeight="1">
      <c r="C296" s="59" t="s">
        <v>307</v>
      </c>
      <c r="D296" s="87">
        <v>1292982.3</v>
      </c>
      <c r="E296" s="87">
        <v>67779.8</v>
      </c>
      <c r="F296" s="87">
        <v>153559</v>
      </c>
      <c r="G296" s="87">
        <f>3994591.9-H296</f>
        <v>3514693.5</v>
      </c>
      <c r="H296" s="87">
        <v>479898.4</v>
      </c>
      <c r="I296" s="87">
        <f>149782-J296</f>
        <v>47861</v>
      </c>
      <c r="J296" s="87">
        <v>101921</v>
      </c>
      <c r="K296" s="83">
        <f>J296+I296+H296+G296+F296+E296</f>
        <v>4365712.7</v>
      </c>
      <c r="L296" s="88">
        <v>5658694.9000000004</v>
      </c>
      <c r="N296" s="68">
        <f>+L296-SUM(D296:J296)</f>
        <v>-9.999999962747097E-2</v>
      </c>
    </row>
    <row r="297" spans="3:14" ht="19.5" hidden="1" customHeight="1">
      <c r="C297" s="59"/>
      <c r="D297" s="87"/>
      <c r="E297" s="87"/>
      <c r="F297" s="87"/>
      <c r="G297" s="87"/>
      <c r="H297" s="87"/>
      <c r="I297" s="87"/>
      <c r="J297" s="87"/>
      <c r="K297" s="83"/>
      <c r="L297" s="88"/>
      <c r="N297" s="68"/>
    </row>
    <row r="298" spans="3:14" ht="19.5" hidden="1" customHeight="1">
      <c r="C298" s="59" t="s">
        <v>308</v>
      </c>
      <c r="D298" s="87">
        <v>1388960</v>
      </c>
      <c r="E298" s="87">
        <v>62014.5</v>
      </c>
      <c r="F298" s="87">
        <v>187091</v>
      </c>
      <c r="G298" s="87">
        <f>4669726.2-H298</f>
        <v>4108813.7</v>
      </c>
      <c r="H298" s="87">
        <v>560912.5</v>
      </c>
      <c r="I298" s="87">
        <f>222886.5-J298</f>
        <v>125542.5</v>
      </c>
      <c r="J298" s="87">
        <v>97344</v>
      </c>
      <c r="K298" s="83">
        <f>J298+I298+H298+G298+F298+E298</f>
        <v>5141718.2</v>
      </c>
      <c r="L298" s="88">
        <v>6530678.0999999996</v>
      </c>
      <c r="N298" s="68">
        <f>+L298-SUM(D298:J298)</f>
        <v>-0.10000000055879354</v>
      </c>
    </row>
    <row r="299" spans="3:14" ht="19.5" hidden="1" customHeight="1">
      <c r="C299" s="59"/>
      <c r="D299" s="87"/>
      <c r="E299" s="87"/>
      <c r="F299" s="87"/>
      <c r="G299" s="87"/>
      <c r="H299" s="87"/>
      <c r="I299" s="87"/>
      <c r="J299" s="87"/>
      <c r="K299" s="83"/>
      <c r="L299" s="88"/>
      <c r="N299" s="68"/>
    </row>
    <row r="300" spans="3:14" ht="19.5" hidden="1" customHeight="1">
      <c r="C300" s="59" t="s">
        <v>311</v>
      </c>
      <c r="D300" s="87">
        <v>1591166.6</v>
      </c>
      <c r="E300" s="87">
        <v>52548.800000000003</v>
      </c>
      <c r="F300" s="87">
        <v>180681.8</v>
      </c>
      <c r="G300" s="87">
        <f>4830594.8-H300</f>
        <v>4281568</v>
      </c>
      <c r="H300" s="87">
        <v>549026.80000000005</v>
      </c>
      <c r="I300" s="87">
        <f>211985.6-J300</f>
        <v>132863.79999999999</v>
      </c>
      <c r="J300" s="87">
        <v>79121.8</v>
      </c>
      <c r="K300" s="83">
        <f>J300+I300+H300+G300+F300+E300</f>
        <v>5275811</v>
      </c>
      <c r="L300" s="88">
        <v>6866977.7000000002</v>
      </c>
      <c r="N300" s="68">
        <f t="shared" ref="N300:N306" si="0">+L300-SUM(D300:J300)</f>
        <v>0.10000000055879354</v>
      </c>
    </row>
    <row r="301" spans="3:14" ht="19.5" hidden="1" customHeight="1">
      <c r="C301" s="59"/>
      <c r="D301" s="87"/>
      <c r="E301" s="87"/>
      <c r="F301" s="87"/>
      <c r="G301" s="87"/>
      <c r="H301" s="87"/>
      <c r="I301" s="87"/>
      <c r="J301" s="87"/>
      <c r="K301" s="83"/>
      <c r="L301" s="88"/>
      <c r="N301" s="68"/>
    </row>
    <row r="302" spans="3:14" ht="19.5" hidden="1" customHeight="1">
      <c r="C302" s="57">
        <v>2005</v>
      </c>
      <c r="D302" s="87"/>
      <c r="E302" s="87"/>
      <c r="F302" s="87"/>
      <c r="G302" s="87"/>
      <c r="H302" s="87"/>
      <c r="I302" s="87"/>
      <c r="J302" s="87"/>
      <c r="K302" s="83"/>
      <c r="L302" s="88"/>
      <c r="N302" s="70"/>
    </row>
    <row r="303" spans="3:14" ht="19.5" hidden="1" customHeight="1">
      <c r="C303" s="57"/>
      <c r="D303" s="87"/>
      <c r="E303" s="87"/>
      <c r="F303" s="87"/>
      <c r="G303" s="87"/>
      <c r="H303" s="87"/>
      <c r="I303" s="87"/>
      <c r="J303" s="87"/>
      <c r="K303" s="83"/>
      <c r="L303" s="88"/>
      <c r="N303" s="70"/>
    </row>
    <row r="304" spans="3:14" ht="19.5" hidden="1" customHeight="1">
      <c r="C304" s="59" t="s">
        <v>298</v>
      </c>
      <c r="D304" s="87">
        <v>1729420.6</v>
      </c>
      <c r="E304" s="87">
        <v>50214.8</v>
      </c>
      <c r="F304" s="87">
        <v>269629.2</v>
      </c>
      <c r="G304" s="87">
        <f>5135909.7-H304</f>
        <v>4511136.1000000006</v>
      </c>
      <c r="H304" s="87">
        <f>530810.4+93963.2</f>
        <v>624773.6</v>
      </c>
      <c r="I304" s="87">
        <f>66209.5-J304</f>
        <v>36277.5</v>
      </c>
      <c r="J304" s="87">
        <v>29932</v>
      </c>
      <c r="K304" s="83">
        <f>J304+I304+H304+G304+F304+E304</f>
        <v>5521963.2000000002</v>
      </c>
      <c r="L304" s="88">
        <v>7251383.9000000004</v>
      </c>
      <c r="N304" s="70">
        <f t="shared" si="0"/>
        <v>9.999999962747097E-2</v>
      </c>
    </row>
    <row r="305" spans="3:14" ht="19.5" hidden="1" customHeight="1">
      <c r="C305" s="59"/>
      <c r="D305" s="87"/>
      <c r="E305" s="87"/>
      <c r="F305" s="87"/>
      <c r="G305" s="87"/>
      <c r="H305" s="87"/>
      <c r="I305" s="87"/>
      <c r="J305" s="87"/>
      <c r="K305" s="83"/>
      <c r="L305" s="88"/>
      <c r="N305" s="70"/>
    </row>
    <row r="306" spans="3:14" ht="19.5" hidden="1" customHeight="1">
      <c r="C306" s="59" t="s">
        <v>299</v>
      </c>
      <c r="D306" s="87">
        <v>2059418.1</v>
      </c>
      <c r="E306" s="87">
        <v>59575.1</v>
      </c>
      <c r="F306" s="87">
        <v>337065.9</v>
      </c>
      <c r="G306" s="87">
        <f>5930502.8-H306</f>
        <v>5326285.0999999996</v>
      </c>
      <c r="H306" s="87">
        <f>520222.6+83995.1</f>
        <v>604217.69999999995</v>
      </c>
      <c r="I306" s="87">
        <f>73600.9-J306</f>
        <v>42435.899999999994</v>
      </c>
      <c r="J306" s="87">
        <v>31165</v>
      </c>
      <c r="K306" s="83">
        <f>J306+I306+H306+G306+F306+E306</f>
        <v>6400744.6999999993</v>
      </c>
      <c r="L306" s="88">
        <v>8460162.8000000007</v>
      </c>
      <c r="N306" s="70">
        <f t="shared" si="0"/>
        <v>0</v>
      </c>
    </row>
    <row r="307" spans="3:14" ht="19.5" hidden="1" customHeight="1">
      <c r="C307" s="59"/>
      <c r="D307" s="87"/>
      <c r="E307" s="87"/>
      <c r="F307" s="87"/>
      <c r="G307" s="87"/>
      <c r="H307" s="87"/>
      <c r="I307" s="87"/>
      <c r="J307" s="87"/>
      <c r="K307" s="83"/>
      <c r="L307" s="88"/>
      <c r="N307" s="70"/>
    </row>
    <row r="308" spans="3:14" ht="19.5" hidden="1" customHeight="1">
      <c r="C308" s="59" t="s">
        <v>300</v>
      </c>
      <c r="D308" s="87">
        <v>2632202.1</v>
      </c>
      <c r="E308" s="87">
        <v>90577.1</v>
      </c>
      <c r="F308" s="87">
        <v>319603</v>
      </c>
      <c r="G308" s="87">
        <f>6282047.1-H308</f>
        <v>5607108.2999999998</v>
      </c>
      <c r="H308" s="87">
        <f>568615.8+106323</f>
        <v>674938.8</v>
      </c>
      <c r="I308" s="87">
        <f>136330.8-J308</f>
        <v>50251.799999999988</v>
      </c>
      <c r="J308" s="87">
        <v>86079</v>
      </c>
      <c r="K308" s="83">
        <f>J308+I308+H308+G308+F308+E308</f>
        <v>6828558</v>
      </c>
      <c r="L308" s="88">
        <v>9460760</v>
      </c>
      <c r="N308" s="70">
        <f>+L308-SUM(D308:J308)</f>
        <v>-0.10000000149011612</v>
      </c>
    </row>
    <row r="309" spans="3:14" ht="19.5" hidden="1" customHeight="1">
      <c r="C309" s="59"/>
      <c r="D309" s="87"/>
      <c r="E309" s="87"/>
      <c r="F309" s="87"/>
      <c r="G309" s="87"/>
      <c r="H309" s="87"/>
      <c r="I309" s="87"/>
      <c r="J309" s="87"/>
      <c r="K309" s="83"/>
      <c r="L309" s="88"/>
      <c r="N309" s="70"/>
    </row>
    <row r="310" spans="3:14" ht="19.5" hidden="1" customHeight="1">
      <c r="C310" s="59" t="s">
        <v>301</v>
      </c>
      <c r="D310" s="87">
        <v>2830714.4</v>
      </c>
      <c r="E310" s="87">
        <v>83606.100000000006</v>
      </c>
      <c r="F310" s="87">
        <v>310006.40000000002</v>
      </c>
      <c r="G310" s="87">
        <f>7090871.7-H310</f>
        <v>6389322.2999999998</v>
      </c>
      <c r="H310" s="87">
        <f>575429.4+126120</f>
        <v>701549.4</v>
      </c>
      <c r="I310" s="87">
        <f>103979.9-J310</f>
        <v>45027.999999999993</v>
      </c>
      <c r="J310" s="87">
        <v>58951.9</v>
      </c>
      <c r="K310" s="83">
        <f>J310+I310+H310+G310+F310+E310</f>
        <v>7588464.0999999996</v>
      </c>
      <c r="L310" s="88">
        <v>10419178.6</v>
      </c>
      <c r="N310" s="70">
        <f>+L310-SUM(D310:J310)</f>
        <v>9.999999962747097E-2</v>
      </c>
    </row>
    <row r="311" spans="3:14" ht="19.5" hidden="1" customHeight="1">
      <c r="C311" s="59"/>
      <c r="D311" s="87"/>
      <c r="E311" s="87"/>
      <c r="F311" s="87"/>
      <c r="G311" s="87"/>
      <c r="H311" s="87"/>
      <c r="I311" s="87"/>
      <c r="J311" s="87"/>
      <c r="K311" s="83"/>
      <c r="L311" s="88"/>
      <c r="N311" s="70"/>
    </row>
    <row r="312" spans="3:14" ht="19.5" hidden="1" customHeight="1">
      <c r="C312" s="59" t="s">
        <v>302</v>
      </c>
      <c r="D312" s="87">
        <v>3321265.7</v>
      </c>
      <c r="E312" s="87">
        <v>57708.1</v>
      </c>
      <c r="F312" s="87">
        <v>383892.7</v>
      </c>
      <c r="G312" s="87">
        <f>8402578-H312</f>
        <v>7394306.7000000002</v>
      </c>
      <c r="H312" s="87">
        <f>873375.9+134895.4</f>
        <v>1008271.3</v>
      </c>
      <c r="I312" s="87">
        <f>92558.4-J312</f>
        <v>55769.799999999996</v>
      </c>
      <c r="J312" s="87">
        <v>36788.6</v>
      </c>
      <c r="K312" s="83">
        <f>J312+I312+H312+G312+F312+E312</f>
        <v>8936737.1999999993</v>
      </c>
      <c r="L312" s="88">
        <v>12258002.9</v>
      </c>
      <c r="N312" s="70">
        <f>+L312-SUM(D312:J312)</f>
        <v>0</v>
      </c>
    </row>
    <row r="313" spans="3:14" ht="19.5" hidden="1" customHeight="1">
      <c r="C313" s="59"/>
      <c r="D313" s="87"/>
      <c r="E313" s="87"/>
      <c r="F313" s="87"/>
      <c r="G313" s="87"/>
      <c r="H313" s="87"/>
      <c r="I313" s="87"/>
      <c r="J313" s="87"/>
      <c r="K313" s="83"/>
      <c r="L313" s="88"/>
      <c r="N313" s="70"/>
    </row>
    <row r="314" spans="3:14" ht="19.5" hidden="1" customHeight="1">
      <c r="C314" s="59" t="s">
        <v>303</v>
      </c>
      <c r="D314" s="87">
        <f>3914859.8/1000</f>
        <v>3914.8597999999997</v>
      </c>
      <c r="E314" s="87">
        <f>48525.8/1000</f>
        <v>48.525800000000004</v>
      </c>
      <c r="F314" s="87">
        <f>180672.8/1000</f>
        <v>180.6728</v>
      </c>
      <c r="G314" s="87">
        <f>8840.0683-H314</f>
        <v>7813.3533000000007</v>
      </c>
      <c r="H314" s="87">
        <f>896.6008+130.1142</f>
        <v>1026.7150000000001</v>
      </c>
      <c r="I314" s="87">
        <f>124.222-J314</f>
        <v>69.560900000000004</v>
      </c>
      <c r="J314" s="87">
        <v>54.661099999999998</v>
      </c>
      <c r="K314" s="83">
        <f>J314+I314+H314+G314+F314+E314</f>
        <v>9193.4889000000003</v>
      </c>
      <c r="L314" s="88">
        <f>13108348.7/1000</f>
        <v>13108.348699999999</v>
      </c>
      <c r="N314" s="70">
        <f>+L314-SUM(D314:J314)</f>
        <v>0</v>
      </c>
    </row>
    <row r="315" spans="3:14" ht="19.5" hidden="1" customHeight="1">
      <c r="C315" s="59"/>
      <c r="D315" s="87"/>
      <c r="E315" s="87"/>
      <c r="F315" s="87"/>
      <c r="G315" s="87"/>
      <c r="H315" s="87"/>
      <c r="I315" s="87"/>
      <c r="J315" s="87"/>
      <c r="K315" s="83"/>
      <c r="L315" s="88"/>
      <c r="N315" s="70"/>
    </row>
    <row r="316" spans="3:14" ht="19.5" hidden="1" customHeight="1">
      <c r="C316" s="59" t="s">
        <v>304</v>
      </c>
      <c r="D316" s="87">
        <v>4363.0102000000006</v>
      </c>
      <c r="E316" s="87">
        <v>113.5425</v>
      </c>
      <c r="F316" s="87">
        <v>208.11</v>
      </c>
      <c r="G316" s="87">
        <v>8980.8106000000007</v>
      </c>
      <c r="H316" s="87">
        <v>1921.2956999999999</v>
      </c>
      <c r="I316" s="87">
        <v>75.732500000000002</v>
      </c>
      <c r="J316" s="87">
        <v>76.792299999999997</v>
      </c>
      <c r="K316" s="83">
        <v>11376.283600000001</v>
      </c>
      <c r="L316" s="88">
        <v>15739.293800000001</v>
      </c>
      <c r="N316" s="70">
        <f>+L316-SUM(D316:J316)</f>
        <v>0</v>
      </c>
    </row>
    <row r="317" spans="3:14" ht="19.5" hidden="1" customHeight="1">
      <c r="C317" s="59"/>
      <c r="D317" s="87"/>
      <c r="E317" s="87"/>
      <c r="F317" s="87"/>
      <c r="G317" s="87"/>
      <c r="H317" s="87"/>
      <c r="I317" s="87"/>
      <c r="J317" s="87"/>
      <c r="K317" s="87"/>
      <c r="L317" s="88"/>
      <c r="N317" s="70"/>
    </row>
    <row r="318" spans="3:14" ht="19.5" hidden="1" customHeight="1">
      <c r="C318" s="59" t="s">
        <v>305</v>
      </c>
      <c r="D318" s="87">
        <v>4914.7979000000005</v>
      </c>
      <c r="E318" s="87">
        <v>496.49279999999999</v>
      </c>
      <c r="F318" s="87">
        <v>191.49370000000002</v>
      </c>
      <c r="G318" s="87">
        <v>9502.5306</v>
      </c>
      <c r="H318" s="87">
        <v>2345.2934</v>
      </c>
      <c r="I318" s="87">
        <v>59.660700000000013</v>
      </c>
      <c r="J318" s="87">
        <v>97.767499999999998</v>
      </c>
      <c r="K318" s="83">
        <v>12693.2387</v>
      </c>
      <c r="L318" s="88">
        <v>17608.036600000003</v>
      </c>
      <c r="N318" s="70">
        <f>+L318-SUM(D318:J318)</f>
        <v>0</v>
      </c>
    </row>
    <row r="319" spans="3:14" ht="19.5" hidden="1" customHeight="1">
      <c r="C319" s="59"/>
      <c r="D319" s="87"/>
      <c r="E319" s="87"/>
      <c r="F319" s="87"/>
      <c r="G319" s="87"/>
      <c r="H319" s="87"/>
      <c r="I319" s="87"/>
      <c r="J319" s="87"/>
      <c r="K319" s="87"/>
      <c r="L319" s="88"/>
      <c r="N319" s="70"/>
    </row>
    <row r="320" spans="3:14" ht="19.5" hidden="1" customHeight="1">
      <c r="C320" s="59" t="s">
        <v>306</v>
      </c>
      <c r="D320" s="87">
        <v>5933.1408000000001</v>
      </c>
      <c r="E320" s="87">
        <v>555.38199999999995</v>
      </c>
      <c r="F320" s="87">
        <v>139.64079999999998</v>
      </c>
      <c r="G320" s="87">
        <v>11015.563286000001</v>
      </c>
      <c r="H320" s="87">
        <v>2651.0162139999998</v>
      </c>
      <c r="I320" s="87">
        <v>98.339285000000004</v>
      </c>
      <c r="J320" s="87">
        <v>65.978714999999994</v>
      </c>
      <c r="K320" s="83">
        <v>14525.920300000002</v>
      </c>
      <c r="L320" s="88">
        <v>20459.061100000003</v>
      </c>
      <c r="N320" s="70">
        <f>+L320-SUM(D320:J320)</f>
        <v>0</v>
      </c>
    </row>
    <row r="321" spans="1:18" ht="19.5" hidden="1" customHeight="1">
      <c r="C321" s="59"/>
      <c r="D321" s="87"/>
      <c r="E321" s="87"/>
      <c r="F321" s="87"/>
      <c r="G321" s="87"/>
      <c r="H321" s="87"/>
      <c r="I321" s="87"/>
      <c r="J321" s="87"/>
      <c r="K321" s="87"/>
      <c r="L321" s="88"/>
      <c r="N321" s="70"/>
    </row>
    <row r="322" spans="1:18" ht="19.5" hidden="1" customHeight="1">
      <c r="C322" s="59" t="s">
        <v>307</v>
      </c>
      <c r="D322" s="87">
        <v>6728.1747999999998</v>
      </c>
      <c r="E322" s="87">
        <v>512.91650000000004</v>
      </c>
      <c r="F322" s="87">
        <v>464.82380000000001</v>
      </c>
      <c r="G322" s="87">
        <v>15101.404604000003</v>
      </c>
      <c r="H322" s="87">
        <v>6590.0304960000003</v>
      </c>
      <c r="I322" s="87">
        <v>197.39912699999996</v>
      </c>
      <c r="J322" s="87">
        <v>124.328973</v>
      </c>
      <c r="K322" s="83">
        <v>22990.903500000004</v>
      </c>
      <c r="L322" s="88">
        <v>29719.078399999999</v>
      </c>
      <c r="N322" s="70">
        <f>+L322-SUM(D322:J322)</f>
        <v>9.9999997473787516E-5</v>
      </c>
    </row>
    <row r="323" spans="1:18" ht="19.5" hidden="1" customHeight="1">
      <c r="C323" s="59"/>
      <c r="D323" s="87"/>
      <c r="E323" s="87"/>
      <c r="F323" s="87"/>
      <c r="G323" s="87"/>
      <c r="H323" s="87"/>
      <c r="I323" s="87"/>
      <c r="J323" s="87"/>
      <c r="K323" s="87"/>
      <c r="L323" s="88"/>
      <c r="N323" s="70"/>
    </row>
    <row r="324" spans="1:18" ht="19.5" hidden="1" customHeight="1">
      <c r="C324" s="59" t="s">
        <v>308</v>
      </c>
      <c r="D324" s="87">
        <v>8264.5974999999999</v>
      </c>
      <c r="E324" s="87">
        <v>482.55359999999996</v>
      </c>
      <c r="F324" s="87">
        <v>317.83840000000004</v>
      </c>
      <c r="G324" s="87">
        <v>18384.015006999998</v>
      </c>
      <c r="H324" s="87">
        <v>5126.4424929999996</v>
      </c>
      <c r="I324" s="87">
        <v>388.13603599999999</v>
      </c>
      <c r="J324" s="87">
        <v>209.48466399999998</v>
      </c>
      <c r="K324" s="83">
        <v>24908.4702</v>
      </c>
      <c r="L324" s="88">
        <v>33173.067600000002</v>
      </c>
      <c r="N324" s="70">
        <f>+L324-SUM(D324:J324)</f>
        <v>-9.9999997473787516E-5</v>
      </c>
      <c r="O324" s="89"/>
      <c r="P324" s="89"/>
      <c r="Q324" s="89"/>
    </row>
    <row r="325" spans="1:18" ht="19.5" hidden="1" customHeight="1">
      <c r="C325" s="59"/>
      <c r="D325" s="87"/>
      <c r="E325" s="87"/>
      <c r="F325" s="87"/>
      <c r="G325" s="87"/>
      <c r="H325" s="87"/>
      <c r="I325" s="87"/>
      <c r="J325" s="87"/>
      <c r="K325" s="87"/>
      <c r="L325" s="88"/>
      <c r="N325" s="70"/>
      <c r="O325" s="89"/>
      <c r="P325" s="89"/>
      <c r="Q325" s="89"/>
    </row>
    <row r="326" spans="1:18" ht="19.5" hidden="1" customHeight="1">
      <c r="C326" s="59" t="s">
        <v>311</v>
      </c>
      <c r="D326" s="87">
        <v>9615.8835999999992</v>
      </c>
      <c r="E326" s="87">
        <v>822.44209999999998</v>
      </c>
      <c r="F326" s="87">
        <v>569.00959999999998</v>
      </c>
      <c r="G326" s="87">
        <v>23186.975049000004</v>
      </c>
      <c r="H326" s="87">
        <v>9655.0290510000013</v>
      </c>
      <c r="I326" s="87">
        <v>286.30089299999997</v>
      </c>
      <c r="J326" s="87">
        <v>322.44530699999996</v>
      </c>
      <c r="K326" s="83">
        <v>34842.202000000005</v>
      </c>
      <c r="L326" s="88">
        <v>44458.085599999999</v>
      </c>
      <c r="N326" s="70">
        <f>+L326-SUM(D326:J326)</f>
        <v>0</v>
      </c>
      <c r="R326" s="50">
        <v>263358913</v>
      </c>
    </row>
    <row r="327" spans="1:18" ht="19.5" hidden="1" customHeight="1">
      <c r="C327" s="59"/>
      <c r="D327" s="87"/>
      <c r="E327" s="87"/>
      <c r="F327" s="87"/>
      <c r="G327" s="87"/>
      <c r="H327" s="87"/>
      <c r="I327" s="87"/>
      <c r="J327" s="87"/>
      <c r="K327" s="87"/>
      <c r="L327" s="88"/>
      <c r="N327" s="70">
        <f t="shared" ref="N327:N336" si="1">+L327-SUM(D327:J327)</f>
        <v>0</v>
      </c>
      <c r="R327" s="50">
        <v>229923532</v>
      </c>
    </row>
    <row r="328" spans="1:18" ht="19.5" hidden="1" customHeight="1">
      <c r="C328" s="57">
        <v>2006</v>
      </c>
      <c r="D328" s="87"/>
      <c r="E328" s="87"/>
      <c r="F328" s="87"/>
      <c r="G328" s="87"/>
      <c r="H328" s="87"/>
      <c r="I328" s="87"/>
      <c r="J328" s="87"/>
      <c r="K328" s="83"/>
      <c r="L328" s="88"/>
      <c r="N328" s="70">
        <f t="shared" si="1"/>
        <v>0</v>
      </c>
      <c r="R328" s="50">
        <v>351543335</v>
      </c>
    </row>
    <row r="329" spans="1:18" ht="19.5" hidden="1" customHeight="1">
      <c r="C329" s="59"/>
      <c r="D329" s="87"/>
      <c r="E329" s="87"/>
      <c r="F329" s="87"/>
      <c r="G329" s="87"/>
      <c r="H329" s="87"/>
      <c r="I329" s="87"/>
      <c r="J329" s="87"/>
      <c r="K329" s="83"/>
      <c r="L329" s="88"/>
      <c r="N329" s="70">
        <f t="shared" si="1"/>
        <v>0</v>
      </c>
    </row>
    <row r="330" spans="1:18" ht="19.5" hidden="1" customHeight="1">
      <c r="B330" s="90"/>
      <c r="C330" s="54" t="s">
        <v>298</v>
      </c>
      <c r="D330" s="87">
        <v>11046.276486999997</v>
      </c>
      <c r="E330" s="88">
        <v>707.62909999999999</v>
      </c>
      <c r="F330" s="91">
        <v>340.70459999999997</v>
      </c>
      <c r="G330" s="87">
        <v>26915.583573999997</v>
      </c>
      <c r="H330" s="87">
        <v>10979.690939</v>
      </c>
      <c r="I330" s="87">
        <v>667.14342599999998</v>
      </c>
      <c r="J330" s="87">
        <v>263.35891299999997</v>
      </c>
      <c r="K330" s="83">
        <v>39874.110551999998</v>
      </c>
      <c r="L330" s="88">
        <v>50920.387000000002</v>
      </c>
      <c r="N330" s="70">
        <f t="shared" si="1"/>
        <v>-3.8999991375021636E-5</v>
      </c>
      <c r="O330" s="89"/>
    </row>
    <row r="331" spans="1:18" ht="19.5" hidden="1" customHeight="1">
      <c r="B331" s="90"/>
      <c r="D331" s="87"/>
      <c r="E331" s="87"/>
      <c r="F331" s="87"/>
      <c r="G331" s="87"/>
      <c r="H331" s="87"/>
      <c r="I331" s="87"/>
      <c r="J331" s="87"/>
      <c r="K331" s="87"/>
      <c r="L331" s="88"/>
      <c r="M331" s="92"/>
      <c r="N331" s="70">
        <f t="shared" si="1"/>
        <v>0</v>
      </c>
    </row>
    <row r="332" spans="1:18" ht="19.5" hidden="1" customHeight="1">
      <c r="A332" s="54"/>
      <c r="B332" s="93"/>
      <c r="C332" s="94" t="s">
        <v>299</v>
      </c>
      <c r="D332" s="95">
        <v>13804.926744</v>
      </c>
      <c r="E332" s="88">
        <v>460.5616</v>
      </c>
      <c r="F332" s="91">
        <v>484.26892599999996</v>
      </c>
      <c r="G332" s="87">
        <v>27852.235307999999</v>
      </c>
      <c r="H332" s="87">
        <v>11428.154794</v>
      </c>
      <c r="I332" s="87">
        <v>615.53129000000001</v>
      </c>
      <c r="J332" s="87">
        <v>229.92353199999999</v>
      </c>
      <c r="K332" s="83">
        <v>41070.675449999995</v>
      </c>
      <c r="L332" s="88">
        <v>54875.602200000001</v>
      </c>
      <c r="M332" s="92"/>
      <c r="N332" s="70">
        <f t="shared" si="1"/>
        <v>5.9999947552569211E-6</v>
      </c>
    </row>
    <row r="333" spans="1:18" ht="19.5" hidden="1" customHeight="1">
      <c r="A333" s="54"/>
      <c r="B333" s="93"/>
      <c r="C333" s="94"/>
      <c r="D333" s="96"/>
      <c r="E333" s="96"/>
      <c r="F333" s="96"/>
      <c r="G333" s="96"/>
      <c r="H333" s="96"/>
      <c r="I333" s="96"/>
      <c r="J333" s="96"/>
      <c r="K333" s="96"/>
      <c r="L333" s="81"/>
      <c r="M333" s="92"/>
      <c r="N333" s="70">
        <f t="shared" si="1"/>
        <v>0</v>
      </c>
    </row>
    <row r="334" spans="1:18" ht="19.5" hidden="1" customHeight="1">
      <c r="A334" s="54"/>
      <c r="B334" s="93"/>
      <c r="C334" s="94" t="s">
        <v>300</v>
      </c>
      <c r="D334" s="95">
        <v>16288.180215</v>
      </c>
      <c r="E334" s="88">
        <v>493.61240000000004</v>
      </c>
      <c r="F334" s="91">
        <v>1139.6790169999999</v>
      </c>
      <c r="G334" s="87">
        <v>30550.686834000004</v>
      </c>
      <c r="H334" s="87">
        <v>10878.044616000001</v>
      </c>
      <c r="I334" s="87">
        <v>266.46851199999992</v>
      </c>
      <c r="J334" s="87">
        <v>351.54333500000001</v>
      </c>
      <c r="K334" s="83">
        <v>43680.034714000001</v>
      </c>
      <c r="L334" s="88">
        <v>59968.214899999999</v>
      </c>
      <c r="M334" s="92"/>
      <c r="N334" s="70">
        <f t="shared" si="1"/>
        <v>-2.900000981753692E-5</v>
      </c>
      <c r="O334" s="89"/>
    </row>
    <row r="335" spans="1:18" ht="19.5" hidden="1" customHeight="1">
      <c r="A335" s="54"/>
      <c r="B335" s="93"/>
      <c r="C335" s="94"/>
      <c r="D335" s="95"/>
      <c r="E335" s="95"/>
      <c r="F335" s="95"/>
      <c r="G335" s="95"/>
      <c r="H335" s="95"/>
      <c r="I335" s="95"/>
      <c r="J335" s="95"/>
      <c r="K335" s="95"/>
      <c r="L335" s="88"/>
      <c r="M335" s="92"/>
      <c r="N335" s="70"/>
      <c r="O335" s="89"/>
    </row>
    <row r="336" spans="1:18" ht="19.5" hidden="1" customHeight="1">
      <c r="A336" s="54"/>
      <c r="B336" s="93"/>
      <c r="C336" s="59" t="s">
        <v>301</v>
      </c>
      <c r="D336" s="95">
        <v>20121.589399999997</v>
      </c>
      <c r="E336" s="88">
        <v>1006.3281999999999</v>
      </c>
      <c r="F336" s="91">
        <v>1340.1142</v>
      </c>
      <c r="G336" s="87">
        <v>36562.046526999999</v>
      </c>
      <c r="H336" s="87">
        <v>11503.901872999999</v>
      </c>
      <c r="I336" s="87">
        <v>480.23271999999997</v>
      </c>
      <c r="J336" s="87">
        <v>361.49187999999998</v>
      </c>
      <c r="K336" s="83">
        <v>51254.115399999995</v>
      </c>
      <c r="L336" s="88">
        <v>71375.704799999992</v>
      </c>
      <c r="M336" s="92"/>
      <c r="N336" s="70">
        <f t="shared" si="1"/>
        <v>0</v>
      </c>
      <c r="O336" s="89"/>
    </row>
    <row r="337" spans="1:15" ht="19.5" hidden="1" customHeight="1">
      <c r="A337" s="54"/>
      <c r="B337" s="93"/>
      <c r="C337" s="54"/>
      <c r="D337" s="95"/>
      <c r="E337" s="95"/>
      <c r="F337" s="95"/>
      <c r="G337" s="95"/>
      <c r="H337" s="95"/>
      <c r="I337" s="95"/>
      <c r="J337" s="95"/>
      <c r="K337" s="95"/>
      <c r="L337" s="88"/>
      <c r="M337" s="92"/>
      <c r="N337" s="70"/>
      <c r="O337" s="89"/>
    </row>
    <row r="338" spans="1:15" s="51" customFormat="1" ht="19.5" hidden="1" customHeight="1">
      <c r="A338" s="54"/>
      <c r="B338" s="93"/>
      <c r="C338" s="59" t="s">
        <v>302</v>
      </c>
      <c r="D338" s="95">
        <v>28223.045600000001</v>
      </c>
      <c r="E338" s="88">
        <v>1086.4586000000002</v>
      </c>
      <c r="F338" s="91">
        <v>932.15180000000009</v>
      </c>
      <c r="G338" s="87">
        <v>52659.564864999993</v>
      </c>
      <c r="H338" s="87">
        <v>12661.094935000001</v>
      </c>
      <c r="I338" s="87">
        <v>893.37448200000006</v>
      </c>
      <c r="J338" s="87">
        <v>413.17611800000003</v>
      </c>
      <c r="K338" s="87">
        <v>68645.820799999987</v>
      </c>
      <c r="L338" s="88">
        <v>96868.866399999999</v>
      </c>
      <c r="M338" s="70"/>
      <c r="N338" s="70">
        <f>+L338-SUM(D338:J338)</f>
        <v>0</v>
      </c>
      <c r="O338" s="97"/>
    </row>
    <row r="339" spans="1:15" s="51" customFormat="1" ht="19.5" hidden="1" customHeight="1">
      <c r="A339" s="54"/>
      <c r="B339" s="93"/>
      <c r="C339" s="54"/>
      <c r="D339" s="95"/>
      <c r="E339" s="95"/>
      <c r="F339" s="95"/>
      <c r="G339" s="95"/>
      <c r="H339" s="95"/>
      <c r="I339" s="95"/>
      <c r="J339" s="95"/>
      <c r="K339" s="95"/>
      <c r="L339" s="88"/>
      <c r="M339" s="70"/>
      <c r="N339" s="70"/>
      <c r="O339" s="97"/>
    </row>
    <row r="340" spans="1:15" s="51" customFormat="1" ht="19.5" hidden="1" customHeight="1">
      <c r="A340" s="54"/>
      <c r="B340" s="93"/>
      <c r="C340" s="59" t="s">
        <v>303</v>
      </c>
      <c r="D340" s="95">
        <v>38834.888100000004</v>
      </c>
      <c r="E340" s="88">
        <v>655.88019999999995</v>
      </c>
      <c r="F340" s="91">
        <v>1169.1181000000001</v>
      </c>
      <c r="G340" s="87">
        <v>59200.745759000005</v>
      </c>
      <c r="H340" s="87">
        <v>12514.280741</v>
      </c>
      <c r="I340" s="87">
        <v>481.98018200000001</v>
      </c>
      <c r="J340" s="87">
        <v>395.481718</v>
      </c>
      <c r="K340" s="87">
        <v>74417.486700000009</v>
      </c>
      <c r="L340" s="88">
        <v>113252.37479999999</v>
      </c>
      <c r="M340" s="70"/>
      <c r="N340" s="70">
        <f>+L340-SUM(D340:J340)</f>
        <v>0</v>
      </c>
      <c r="O340" s="97"/>
    </row>
    <row r="341" spans="1:15" s="51" customFormat="1" ht="19.5" hidden="1" customHeight="1">
      <c r="A341" s="54"/>
      <c r="B341" s="93"/>
      <c r="C341" s="54"/>
      <c r="D341" s="95"/>
      <c r="E341" s="95"/>
      <c r="F341" s="95"/>
      <c r="G341" s="95"/>
      <c r="H341" s="95"/>
      <c r="I341" s="95"/>
      <c r="J341" s="95"/>
      <c r="K341" s="95"/>
      <c r="L341" s="88"/>
      <c r="M341" s="70"/>
      <c r="N341" s="70"/>
      <c r="O341" s="97"/>
    </row>
    <row r="342" spans="1:15" s="51" customFormat="1" ht="19.5" hidden="1" customHeight="1">
      <c r="A342" s="54"/>
      <c r="B342" s="93"/>
      <c r="C342" s="59" t="s">
        <v>304</v>
      </c>
      <c r="D342" s="95">
        <v>46882.004000000001</v>
      </c>
      <c r="E342" s="88">
        <v>1275.001</v>
      </c>
      <c r="F342" s="91">
        <v>416.07759999999996</v>
      </c>
      <c r="G342" s="87">
        <v>84271.796585000004</v>
      </c>
      <c r="H342" s="87">
        <v>17737.208114999998</v>
      </c>
      <c r="I342" s="87">
        <v>1547.743923</v>
      </c>
      <c r="J342" s="87">
        <v>366.82837699999999</v>
      </c>
      <c r="K342" s="87">
        <v>105614.6556</v>
      </c>
      <c r="L342" s="88">
        <v>152496.65969999999</v>
      </c>
      <c r="M342" s="70"/>
      <c r="N342" s="70">
        <f>+L342-SUM(D342:J342)</f>
        <v>1.0000000474974513E-4</v>
      </c>
      <c r="O342" s="97"/>
    </row>
    <row r="343" spans="1:15" s="51" customFormat="1" ht="19.5" hidden="1" customHeight="1">
      <c r="A343" s="54"/>
      <c r="B343" s="93"/>
      <c r="C343" s="54"/>
      <c r="D343" s="95"/>
      <c r="E343" s="95"/>
      <c r="F343" s="95"/>
      <c r="G343" s="95"/>
      <c r="H343" s="95"/>
      <c r="I343" s="95"/>
      <c r="J343" s="95"/>
      <c r="K343" s="95"/>
      <c r="L343" s="88"/>
      <c r="M343" s="70"/>
      <c r="N343" s="70"/>
      <c r="O343" s="97"/>
    </row>
    <row r="344" spans="1:15" s="51" customFormat="1" ht="19.5" hidden="1" customHeight="1">
      <c r="A344" s="54"/>
      <c r="B344" s="93"/>
      <c r="C344" s="59" t="s">
        <v>305</v>
      </c>
      <c r="D344" s="95">
        <v>53493.5</v>
      </c>
      <c r="E344" s="88">
        <v>348.1</v>
      </c>
      <c r="F344" s="91">
        <v>1412.1</v>
      </c>
      <c r="G344" s="87">
        <f>188303.7-H344</f>
        <v>145310.6</v>
      </c>
      <c r="H344" s="87">
        <f>38084.5+4908.6</f>
        <v>42993.1</v>
      </c>
      <c r="I344" s="87">
        <f>4429.7-J344</f>
        <v>2764.6</v>
      </c>
      <c r="J344" s="87">
        <v>1665.1</v>
      </c>
      <c r="K344" s="87">
        <f>J344+I344+H344+G344+F344+E344</f>
        <v>194493.6</v>
      </c>
      <c r="L344" s="88">
        <v>247987.20000000001</v>
      </c>
      <c r="M344" s="70"/>
      <c r="N344" s="70">
        <f>+L344-SUM(D344:J344)</f>
        <v>0.10000000000582077</v>
      </c>
      <c r="O344" s="97"/>
    </row>
    <row r="345" spans="1:15" s="51" customFormat="1" ht="19.5" hidden="1" customHeight="1">
      <c r="A345" s="54"/>
      <c r="B345" s="93"/>
      <c r="C345" s="54"/>
      <c r="D345" s="95"/>
      <c r="E345" s="88"/>
      <c r="F345" s="91"/>
      <c r="G345" s="87"/>
      <c r="H345" s="87"/>
      <c r="I345" s="87"/>
      <c r="J345" s="87"/>
      <c r="K345" s="87"/>
      <c r="L345" s="88"/>
      <c r="M345" s="70"/>
      <c r="N345" s="70"/>
      <c r="O345" s="97"/>
    </row>
    <row r="346" spans="1:15" s="51" customFormat="1" ht="19.5" hidden="1" customHeight="1">
      <c r="A346" s="54"/>
      <c r="B346" s="93"/>
      <c r="C346" s="54" t="s">
        <v>306</v>
      </c>
      <c r="D346" s="95">
        <v>77729.600000000006</v>
      </c>
      <c r="E346" s="88">
        <v>3760.6</v>
      </c>
      <c r="F346" s="91">
        <v>2553.1</v>
      </c>
      <c r="G346" s="87">
        <f>240487.9-H346</f>
        <v>194857</v>
      </c>
      <c r="H346" s="87">
        <f>40137.7+5493.2</f>
        <v>45630.899999999994</v>
      </c>
      <c r="I346" s="87">
        <f>4873.7-J346</f>
        <v>4265.0999999999995</v>
      </c>
      <c r="J346" s="87">
        <f>564.2+44.4</f>
        <v>608.6</v>
      </c>
      <c r="K346" s="87">
        <f>J346+I346+H346+G346+F346+E346</f>
        <v>251675.3</v>
      </c>
      <c r="L346" s="88">
        <v>329404.79999999999</v>
      </c>
      <c r="M346" s="70"/>
      <c r="N346" s="70">
        <f>+L346-SUM(D346:J346)</f>
        <v>-0.1000000000349246</v>
      </c>
      <c r="O346" s="97"/>
    </row>
    <row r="347" spans="1:15" s="51" customFormat="1" ht="19.5" hidden="1" customHeight="1">
      <c r="A347" s="54"/>
      <c r="B347" s="93"/>
      <c r="C347" s="54"/>
      <c r="D347" s="95"/>
      <c r="E347" s="88"/>
      <c r="F347" s="91"/>
      <c r="G347" s="87"/>
      <c r="H347" s="87"/>
      <c r="I347" s="87"/>
      <c r="J347" s="87"/>
      <c r="K347" s="87"/>
      <c r="L347" s="88"/>
      <c r="M347" s="70"/>
      <c r="N347" s="70"/>
      <c r="O347" s="97"/>
    </row>
    <row r="348" spans="1:15" s="51" customFormat="1" ht="19.5" hidden="1" customHeight="1">
      <c r="A348" s="54"/>
      <c r="B348" s="93"/>
      <c r="C348" s="59" t="s">
        <v>307</v>
      </c>
      <c r="D348" s="95">
        <v>103171.5</v>
      </c>
      <c r="E348" s="88">
        <v>13252.9</v>
      </c>
      <c r="F348" s="91">
        <v>3697.3</v>
      </c>
      <c r="G348" s="87">
        <f>294323.2-H348</f>
        <v>245595.80000000002</v>
      </c>
      <c r="H348" s="87">
        <v>48727.4</v>
      </c>
      <c r="I348" s="87">
        <f>2949.2-J348</f>
        <v>2481.2999999999997</v>
      </c>
      <c r="J348" s="87">
        <v>467.9</v>
      </c>
      <c r="K348" s="87">
        <f>J348+I348+H348+G348+F348+E348</f>
        <v>314222.60000000003</v>
      </c>
      <c r="L348" s="88">
        <v>417394.1</v>
      </c>
      <c r="M348" s="70"/>
      <c r="N348" s="70">
        <f>+L348-SUM(D348:J348)</f>
        <v>0</v>
      </c>
      <c r="O348" s="97"/>
    </row>
    <row r="349" spans="1:15" s="51" customFormat="1" ht="19.5" hidden="1" customHeight="1">
      <c r="A349" s="54"/>
      <c r="B349" s="93"/>
      <c r="C349" s="59"/>
      <c r="D349" s="95"/>
      <c r="E349" s="88"/>
      <c r="F349" s="91"/>
      <c r="G349" s="87"/>
      <c r="H349" s="87"/>
      <c r="I349" s="87"/>
      <c r="J349" s="87"/>
      <c r="K349" s="87"/>
      <c r="L349" s="88"/>
      <c r="M349" s="70"/>
      <c r="N349" s="70"/>
      <c r="O349" s="97"/>
    </row>
    <row r="350" spans="1:15" s="51" customFormat="1" ht="19.5" hidden="1" customHeight="1">
      <c r="A350" s="54"/>
      <c r="B350" s="93"/>
      <c r="C350" s="98" t="s">
        <v>308</v>
      </c>
      <c r="D350" s="95">
        <v>147403.70000000001</v>
      </c>
      <c r="E350" s="88">
        <v>9062.4</v>
      </c>
      <c r="F350" s="91">
        <v>3233.8</v>
      </c>
      <c r="G350" s="88">
        <f>351595.8-H350</f>
        <v>300223.3</v>
      </c>
      <c r="H350" s="87">
        <v>51372.5</v>
      </c>
      <c r="I350" s="87">
        <f>3780.1-J350</f>
        <v>3319.5</v>
      </c>
      <c r="J350" s="87">
        <v>460.6</v>
      </c>
      <c r="K350" s="87">
        <f>J350+I350+H350+G350+F350+E350</f>
        <v>367672.1</v>
      </c>
      <c r="L350" s="88">
        <v>515075.8</v>
      </c>
      <c r="M350" s="70"/>
      <c r="N350" s="70">
        <f>+L350-SUM(D350:J350)</f>
        <v>0</v>
      </c>
      <c r="O350" s="97"/>
    </row>
    <row r="351" spans="1:15" s="51" customFormat="1" ht="19.5" hidden="1" customHeight="1">
      <c r="A351" s="54"/>
      <c r="B351" s="93"/>
      <c r="C351" s="98"/>
      <c r="D351" s="95"/>
      <c r="E351" s="88"/>
      <c r="F351" s="91"/>
      <c r="G351" s="88"/>
      <c r="H351" s="87"/>
      <c r="I351" s="87"/>
      <c r="J351" s="87"/>
      <c r="K351" s="87"/>
      <c r="L351" s="88"/>
      <c r="M351" s="70"/>
      <c r="N351" s="70"/>
      <c r="O351" s="97"/>
    </row>
    <row r="352" spans="1:15" s="51" customFormat="1" ht="19.5" hidden="1" customHeight="1">
      <c r="A352" s="54"/>
      <c r="B352" s="93"/>
      <c r="C352" s="59" t="s">
        <v>311</v>
      </c>
      <c r="D352" s="95">
        <v>220244.6</v>
      </c>
      <c r="E352" s="88">
        <v>3830</v>
      </c>
      <c r="F352" s="91">
        <v>4964.2</v>
      </c>
      <c r="G352" s="88">
        <f>396713.8-H352</f>
        <v>342667.2</v>
      </c>
      <c r="H352" s="87">
        <v>54046.6</v>
      </c>
      <c r="I352" s="87">
        <f>3227.8-J352</f>
        <v>2819.2000000000003</v>
      </c>
      <c r="J352" s="87">
        <v>408.6</v>
      </c>
      <c r="K352" s="87">
        <f>J352+I352+H352+G352+F352+E352</f>
        <v>408735.80000000005</v>
      </c>
      <c r="L352" s="88">
        <v>628980.5</v>
      </c>
      <c r="M352" s="70"/>
      <c r="N352" s="70">
        <f>+L352-SUM(D352:J352)</f>
        <v>0.10000000009313226</v>
      </c>
      <c r="O352" s="97"/>
    </row>
    <row r="353" spans="1:15" s="51" customFormat="1" ht="19.5" hidden="1" customHeight="1">
      <c r="A353" s="54"/>
      <c r="B353" s="93"/>
      <c r="C353" s="54"/>
      <c r="D353" s="95"/>
      <c r="E353" s="88"/>
      <c r="F353" s="91"/>
      <c r="G353" s="88"/>
      <c r="H353" s="87"/>
      <c r="I353" s="87"/>
      <c r="J353" s="87"/>
      <c r="K353" s="87"/>
      <c r="L353" s="88"/>
      <c r="M353" s="70"/>
      <c r="N353" s="70"/>
      <c r="O353" s="97"/>
    </row>
    <row r="354" spans="1:15" s="51" customFormat="1" ht="19.5" hidden="1" customHeight="1">
      <c r="A354" s="54"/>
      <c r="B354" s="93"/>
      <c r="C354" s="58">
        <v>2007</v>
      </c>
      <c r="D354" s="95"/>
      <c r="E354" s="88"/>
      <c r="F354" s="91"/>
      <c r="G354" s="88"/>
      <c r="H354" s="87"/>
      <c r="I354" s="87"/>
      <c r="J354" s="87"/>
      <c r="K354" s="87"/>
      <c r="L354" s="88"/>
      <c r="M354" s="70"/>
      <c r="N354" s="70"/>
      <c r="O354" s="97"/>
    </row>
    <row r="355" spans="1:15" s="51" customFormat="1" ht="19.5" hidden="1" customHeight="1">
      <c r="A355" s="54"/>
      <c r="B355" s="93"/>
      <c r="C355" s="54"/>
      <c r="D355" s="95"/>
      <c r="E355" s="88"/>
      <c r="F355" s="91"/>
      <c r="G355" s="88"/>
      <c r="H355" s="87"/>
      <c r="I355" s="87"/>
      <c r="J355" s="87"/>
      <c r="K355" s="87"/>
      <c r="L355" s="88"/>
      <c r="M355" s="70"/>
      <c r="N355" s="70"/>
      <c r="O355" s="97"/>
    </row>
    <row r="356" spans="1:15" s="51" customFormat="1" ht="19.5" hidden="1" customHeight="1">
      <c r="A356" s="54"/>
      <c r="B356" s="93"/>
      <c r="C356" s="54" t="s">
        <v>298</v>
      </c>
      <c r="D356" s="95">
        <v>270102.92007919995</v>
      </c>
      <c r="E356" s="88">
        <v>3078.1</v>
      </c>
      <c r="F356" s="91">
        <v>9908.6800047899997</v>
      </c>
      <c r="G356" s="88">
        <f>574328.87702929-H356</f>
        <v>518285.49729128997</v>
      </c>
      <c r="H356" s="87">
        <v>56043.379738000003</v>
      </c>
      <c r="I356" s="87">
        <f>2384.160594-J356</f>
        <v>1725.6605939999999</v>
      </c>
      <c r="J356" s="87">
        <v>658.5</v>
      </c>
      <c r="K356" s="87">
        <f>J356+I356+H356+G356+F356+E356</f>
        <v>589699.81762807991</v>
      </c>
      <c r="L356" s="88">
        <v>859802.73770727986</v>
      </c>
      <c r="M356" s="70"/>
      <c r="N356" s="70">
        <f>+L356-SUM(D356:J356)</f>
        <v>0</v>
      </c>
      <c r="O356" s="97"/>
    </row>
    <row r="357" spans="1:15" s="51" customFormat="1" ht="19.5" hidden="1" customHeight="1">
      <c r="A357" s="54"/>
      <c r="B357" s="93"/>
      <c r="C357" s="54"/>
      <c r="D357" s="95"/>
      <c r="E357" s="88"/>
      <c r="F357" s="91"/>
      <c r="G357" s="88"/>
      <c r="H357" s="87"/>
      <c r="I357" s="87"/>
      <c r="J357" s="87"/>
      <c r="K357" s="87"/>
      <c r="L357" s="88"/>
      <c r="M357" s="70"/>
      <c r="N357" s="70"/>
      <c r="O357" s="97"/>
    </row>
    <row r="358" spans="1:15" s="51" customFormat="1" ht="19.5" hidden="1" customHeight="1">
      <c r="A358" s="54"/>
      <c r="B358" s="93"/>
      <c r="C358" s="54" t="s">
        <v>299</v>
      </c>
      <c r="D358" s="95">
        <v>407706.6</v>
      </c>
      <c r="E358" s="88">
        <v>4079.6</v>
      </c>
      <c r="F358" s="91">
        <v>14603</v>
      </c>
      <c r="G358" s="88">
        <f>776415.6-H358</f>
        <v>717521.74</v>
      </c>
      <c r="H358" s="87">
        <v>58893.86</v>
      </c>
      <c r="I358" s="87">
        <f>4968.8-J358</f>
        <v>3265.4</v>
      </c>
      <c r="J358" s="87">
        <v>1703.4</v>
      </c>
      <c r="K358" s="87">
        <f>J358+I358+H358+G358+F358+E358</f>
        <v>800067</v>
      </c>
      <c r="L358" s="88">
        <v>1207773.5</v>
      </c>
      <c r="M358" s="70"/>
      <c r="N358" s="70">
        <f>+L358-SUM(D358:J358)</f>
        <v>-9.9999999860301614E-2</v>
      </c>
      <c r="O358" s="97"/>
    </row>
    <row r="359" spans="1:15" s="51" customFormat="1" ht="19.5" hidden="1" customHeight="1">
      <c r="A359" s="54"/>
      <c r="B359" s="93"/>
      <c r="C359" s="54"/>
      <c r="D359" s="95"/>
      <c r="E359" s="88"/>
      <c r="F359" s="91"/>
      <c r="G359" s="88"/>
      <c r="H359" s="87"/>
      <c r="I359" s="87"/>
      <c r="J359" s="87"/>
      <c r="K359" s="87"/>
      <c r="L359" s="88"/>
      <c r="M359" s="70"/>
      <c r="N359" s="70"/>
      <c r="O359" s="97"/>
    </row>
    <row r="360" spans="1:15" s="51" customFormat="1" ht="19.5" hidden="1" customHeight="1">
      <c r="A360" s="54"/>
      <c r="B360" s="93"/>
      <c r="C360" s="54" t="s">
        <v>300</v>
      </c>
      <c r="D360" s="95">
        <v>779716.1</v>
      </c>
      <c r="E360" s="88">
        <v>4556.8999999999996</v>
      </c>
      <c r="F360" s="91">
        <v>25022.7</v>
      </c>
      <c r="G360" s="88">
        <f>1370313.1-H360</f>
        <v>1314719.0580000002</v>
      </c>
      <c r="H360" s="87">
        <f>48588.678+7005.364</f>
        <v>55594.042000000001</v>
      </c>
      <c r="I360" s="87">
        <f>7319.7-J360</f>
        <v>5754.2199999999993</v>
      </c>
      <c r="J360" s="87">
        <v>1565.48</v>
      </c>
      <c r="K360" s="87">
        <f>J360+I360+H360+G360+F360+E360</f>
        <v>1407212.4000000001</v>
      </c>
      <c r="L360" s="88">
        <v>2186928.5</v>
      </c>
      <c r="M360" s="70"/>
      <c r="N360" s="70">
        <f>+L360-SUM(D360:J360)</f>
        <v>0</v>
      </c>
      <c r="O360" s="97"/>
    </row>
    <row r="361" spans="1:15" s="51" customFormat="1" ht="19.5" hidden="1" customHeight="1">
      <c r="A361" s="54"/>
      <c r="B361" s="93"/>
      <c r="C361" s="54"/>
      <c r="D361" s="95"/>
      <c r="E361" s="88"/>
      <c r="F361" s="91"/>
      <c r="G361" s="88"/>
      <c r="H361" s="87"/>
      <c r="I361" s="87"/>
      <c r="J361" s="87"/>
      <c r="K361" s="87"/>
      <c r="L361" s="88"/>
      <c r="M361" s="70"/>
      <c r="N361" s="70"/>
      <c r="O361" s="97"/>
    </row>
    <row r="362" spans="1:15" s="51" customFormat="1" ht="19.5" hidden="1" customHeight="1">
      <c r="A362" s="54"/>
      <c r="B362" s="93"/>
      <c r="C362" s="54" t="s">
        <v>301</v>
      </c>
      <c r="D362" s="95">
        <v>1437844.7</v>
      </c>
      <c r="E362" s="88">
        <v>9761.9</v>
      </c>
      <c r="F362" s="91">
        <v>9806.7999999999993</v>
      </c>
      <c r="G362" s="88">
        <f>2045452-H362</f>
        <v>1977758.3</v>
      </c>
      <c r="H362" s="87">
        <v>67693.7</v>
      </c>
      <c r="I362" s="87">
        <f>8263.3-J362</f>
        <v>6706.262999999999</v>
      </c>
      <c r="J362" s="87">
        <v>1557.037</v>
      </c>
      <c r="K362" s="87">
        <f>J362+I362+H362+G362+F362+E362</f>
        <v>2073284</v>
      </c>
      <c r="L362" s="88">
        <v>3511128.7</v>
      </c>
      <c r="M362" s="70"/>
      <c r="N362" s="70">
        <f>+L362-SUM(D362:J362)</f>
        <v>0</v>
      </c>
      <c r="O362" s="97"/>
    </row>
    <row r="363" spans="1:15" s="51" customFormat="1" ht="19.5" hidden="1" customHeight="1">
      <c r="A363" s="54"/>
      <c r="B363" s="93"/>
      <c r="C363" s="54"/>
      <c r="D363" s="95"/>
      <c r="E363" s="88"/>
      <c r="F363" s="91"/>
      <c r="G363" s="88"/>
      <c r="H363" s="87"/>
      <c r="I363" s="87"/>
      <c r="J363" s="87"/>
      <c r="K363" s="87"/>
      <c r="L363" s="88"/>
      <c r="M363" s="70"/>
      <c r="N363" s="70"/>
      <c r="O363" s="97"/>
    </row>
    <row r="364" spans="1:15" s="51" customFormat="1" ht="19.5" hidden="1" customHeight="1">
      <c r="A364" s="54"/>
      <c r="B364" s="93"/>
      <c r="C364" s="59" t="s">
        <v>302</v>
      </c>
      <c r="D364" s="95">
        <v>2908316.1</v>
      </c>
      <c r="E364" s="88">
        <v>88164.800000000003</v>
      </c>
      <c r="F364" s="91">
        <v>65211.199999999997</v>
      </c>
      <c r="G364" s="88">
        <f>5176318.4-H364</f>
        <v>5114536.341</v>
      </c>
      <c r="H364" s="87">
        <f>51265.9+10516.159</f>
        <v>61782.059000000001</v>
      </c>
      <c r="I364" s="87">
        <f>38317.9-J364</f>
        <v>36048.1</v>
      </c>
      <c r="J364" s="87">
        <v>2269.8000000000002</v>
      </c>
      <c r="K364" s="87">
        <f>J364+I364+H364+G364+F364+E364</f>
        <v>5368012.3</v>
      </c>
      <c r="L364" s="88">
        <v>8276328.5</v>
      </c>
      <c r="M364" s="70"/>
      <c r="N364" s="70">
        <f>+L364-SUM(D364:J364)</f>
        <v>0.10000000055879354</v>
      </c>
      <c r="O364" s="97"/>
    </row>
    <row r="365" spans="1:15" s="51" customFormat="1" ht="19.5" hidden="1" customHeight="1">
      <c r="A365" s="54"/>
      <c r="B365" s="93"/>
      <c r="C365" s="54"/>
      <c r="D365" s="95"/>
      <c r="E365" s="88"/>
      <c r="F365" s="91"/>
      <c r="G365" s="88"/>
      <c r="H365" s="87"/>
      <c r="I365" s="87"/>
      <c r="J365" s="87"/>
      <c r="K365" s="87"/>
      <c r="L365" s="88"/>
      <c r="M365" s="70"/>
      <c r="N365" s="70"/>
      <c r="O365" s="97"/>
    </row>
    <row r="366" spans="1:15" s="51" customFormat="1" ht="19.5" hidden="1" customHeight="1">
      <c r="A366" s="54"/>
      <c r="B366" s="93"/>
      <c r="C366" s="59" t="s">
        <v>303</v>
      </c>
      <c r="D366" s="95">
        <v>7597582.5999999996</v>
      </c>
      <c r="E366" s="88">
        <v>81170.100000000006</v>
      </c>
      <c r="F366" s="91">
        <v>224730.2</v>
      </c>
      <c r="G366" s="88">
        <f>10646641.2-H366</f>
        <v>10555980.449999999</v>
      </c>
      <c r="H366" s="87">
        <v>90660.75</v>
      </c>
      <c r="I366" s="87">
        <f>48610.4-J366</f>
        <v>46741.47</v>
      </c>
      <c r="J366" s="87">
        <v>1868.93</v>
      </c>
      <c r="K366" s="87">
        <f>J366+I366+H366+G366+F366+E366</f>
        <v>11001151.899999999</v>
      </c>
      <c r="L366" s="88">
        <v>18598734.5</v>
      </c>
      <c r="M366" s="70"/>
      <c r="N366" s="70">
        <f>+L366-SUM(D366:J366)</f>
        <v>0</v>
      </c>
      <c r="O366" s="97"/>
    </row>
    <row r="367" spans="1:15" s="51" customFormat="1" ht="19.5" hidden="1" customHeight="1">
      <c r="A367" s="54"/>
      <c r="B367" s="93"/>
      <c r="C367" s="54"/>
      <c r="D367" s="95"/>
      <c r="E367" s="88"/>
      <c r="F367" s="91"/>
      <c r="G367" s="88"/>
      <c r="H367" s="87"/>
      <c r="I367" s="87"/>
      <c r="J367" s="87"/>
      <c r="K367" s="87"/>
      <c r="L367" s="88"/>
      <c r="M367" s="70"/>
      <c r="N367" s="70"/>
      <c r="O367" s="97"/>
    </row>
    <row r="368" spans="1:15" s="51" customFormat="1" ht="19.5" hidden="1" customHeight="1">
      <c r="A368" s="54"/>
      <c r="B368" s="93"/>
      <c r="C368" s="59" t="s">
        <v>304</v>
      </c>
      <c r="D368" s="95">
        <v>12282894.699999999</v>
      </c>
      <c r="E368" s="88">
        <v>158718</v>
      </c>
      <c r="F368" s="91">
        <v>447358.8</v>
      </c>
      <c r="G368" s="88">
        <f>14730838.3-H368</f>
        <v>14636325.438000001</v>
      </c>
      <c r="H368" s="87">
        <f>84457.762+10055.1</f>
        <v>94512.862000000008</v>
      </c>
      <c r="I368" s="87">
        <f>514775.1-J368</f>
        <v>512931.26199999999</v>
      </c>
      <c r="J368" s="87">
        <v>1843.838</v>
      </c>
      <c r="K368" s="87">
        <f>J368+I368+H368+G368+F368+E368</f>
        <v>15851690.200000001</v>
      </c>
      <c r="L368" s="88">
        <v>28134584.899999999</v>
      </c>
      <c r="M368" s="70"/>
      <c r="N368" s="70">
        <f>+L368-SUM(D368:J368)</f>
        <v>0</v>
      </c>
      <c r="O368" s="97"/>
    </row>
    <row r="369" spans="1:15" s="51" customFormat="1" ht="19.5" hidden="1" customHeight="1">
      <c r="A369" s="54"/>
      <c r="B369" s="93"/>
      <c r="C369" s="54"/>
      <c r="D369" s="95"/>
      <c r="E369" s="88"/>
      <c r="F369" s="91"/>
      <c r="G369" s="88"/>
      <c r="H369" s="87"/>
      <c r="I369" s="87"/>
      <c r="J369" s="87"/>
      <c r="K369" s="87"/>
      <c r="L369" s="88"/>
      <c r="M369" s="70"/>
      <c r="N369" s="70"/>
      <c r="O369" s="97"/>
    </row>
    <row r="370" spans="1:15" s="51" customFormat="1" ht="19.5" hidden="1" customHeight="1">
      <c r="A370" s="54"/>
      <c r="B370" s="93"/>
      <c r="C370" s="59" t="s">
        <v>305</v>
      </c>
      <c r="D370" s="95">
        <v>16348805.4</v>
      </c>
      <c r="E370" s="88">
        <v>347376</v>
      </c>
      <c r="F370" s="91">
        <v>535915.1</v>
      </c>
      <c r="G370" s="88">
        <f>24082631.9-H370</f>
        <v>23969367.949999999</v>
      </c>
      <c r="H370" s="87">
        <f>103619.9+9644.05</f>
        <v>113263.95</v>
      </c>
      <c r="I370" s="87">
        <f>440237.8-J370</f>
        <v>438216.14999999997</v>
      </c>
      <c r="J370" s="87">
        <v>2021.65</v>
      </c>
      <c r="K370" s="87">
        <f>J370+I370+H370+G370+F370+E370</f>
        <v>25406160.800000001</v>
      </c>
      <c r="L370" s="88">
        <v>41754966.100000001</v>
      </c>
      <c r="M370" s="70"/>
      <c r="N370" s="70">
        <f>+L370-SUM(D370:J370)</f>
        <v>-0.10000000149011612</v>
      </c>
      <c r="O370" s="97"/>
    </row>
    <row r="371" spans="1:15" s="51" customFormat="1" ht="19.5" hidden="1" customHeight="1">
      <c r="A371" s="54"/>
      <c r="B371" s="93"/>
      <c r="C371" s="54"/>
      <c r="D371" s="95"/>
      <c r="E371" s="88"/>
      <c r="F371" s="91"/>
      <c r="G371" s="88"/>
      <c r="H371" s="87"/>
      <c r="I371" s="87"/>
      <c r="J371" s="87"/>
      <c r="K371" s="87"/>
      <c r="L371" s="88"/>
      <c r="M371" s="70"/>
      <c r="N371" s="70"/>
      <c r="O371" s="97"/>
    </row>
    <row r="372" spans="1:15" s="51" customFormat="1" ht="19.5" hidden="1" customHeight="1">
      <c r="A372" s="54"/>
      <c r="B372" s="93"/>
      <c r="C372" s="54" t="s">
        <v>306</v>
      </c>
      <c r="D372" s="95">
        <v>23283542.800000001</v>
      </c>
      <c r="E372" s="88">
        <v>524926.80000000005</v>
      </c>
      <c r="F372" s="91">
        <v>943653</v>
      </c>
      <c r="G372" s="88">
        <f>45215962.7-H372</f>
        <v>36631156.934</v>
      </c>
      <c r="H372" s="87">
        <f>7656485.366+928320.4</f>
        <v>8584805.7660000008</v>
      </c>
      <c r="I372" s="87">
        <f>610422.7-J372</f>
        <v>263165.64999999997</v>
      </c>
      <c r="J372" s="87">
        <v>347257.05</v>
      </c>
      <c r="K372" s="87">
        <f>J372+I372+H372+G372+F372+E372</f>
        <v>47294965.199999996</v>
      </c>
      <c r="L372" s="88">
        <v>70578508.099999994</v>
      </c>
      <c r="M372" s="70"/>
      <c r="N372" s="70">
        <f>+L372-SUM(D372:J372)</f>
        <v>9.9999994039535522E-2</v>
      </c>
      <c r="O372" s="97"/>
    </row>
    <row r="373" spans="1:15" s="51" customFormat="1" ht="19.5" hidden="1" customHeight="1">
      <c r="A373" s="54"/>
      <c r="B373" s="93"/>
      <c r="C373" s="54"/>
      <c r="D373" s="95"/>
      <c r="E373" s="88"/>
      <c r="F373" s="91"/>
      <c r="G373" s="88"/>
      <c r="H373" s="87"/>
      <c r="I373" s="87"/>
      <c r="J373" s="87"/>
      <c r="K373" s="87"/>
      <c r="L373" s="88"/>
      <c r="M373" s="70"/>
      <c r="N373" s="70"/>
      <c r="O373" s="97"/>
    </row>
    <row r="374" spans="1:15" s="51" customFormat="1" ht="19.5" hidden="1" customHeight="1">
      <c r="A374" s="54"/>
      <c r="B374" s="93"/>
      <c r="C374" s="59" t="s">
        <v>307</v>
      </c>
      <c r="D374" s="95">
        <v>41659229.799999997</v>
      </c>
      <c r="E374" s="88">
        <v>724598.2</v>
      </c>
      <c r="F374" s="91">
        <v>1471987.5</v>
      </c>
      <c r="G374" s="88">
        <f>66656541.1-H374</f>
        <v>59623460.859999999</v>
      </c>
      <c r="H374" s="87">
        <f>7025855.99+7224.25</f>
        <v>7033080.2400000002</v>
      </c>
      <c r="I374" s="87">
        <f>1406164.7-J374</f>
        <v>1130762.6000000001</v>
      </c>
      <c r="J374" s="87">
        <v>275402.09999999998</v>
      </c>
      <c r="K374" s="87">
        <f>J374+I374+H374+G374+F374+E374</f>
        <v>70259291.5</v>
      </c>
      <c r="L374" s="88">
        <v>111918521.40000001</v>
      </c>
      <c r="M374" s="70"/>
      <c r="N374" s="70">
        <f>+L374-SUM(D374:J374)</f>
        <v>0.10000002384185791</v>
      </c>
      <c r="O374" s="97"/>
    </row>
    <row r="375" spans="1:15" s="51" customFormat="1" ht="19.5" hidden="1" customHeight="1">
      <c r="A375" s="54"/>
      <c r="B375" s="93"/>
      <c r="C375" s="54"/>
      <c r="D375" s="95"/>
      <c r="E375" s="88"/>
      <c r="F375" s="91"/>
      <c r="G375" s="88"/>
      <c r="H375" s="87"/>
      <c r="I375" s="87"/>
      <c r="J375" s="87"/>
      <c r="K375" s="87"/>
      <c r="L375" s="88"/>
      <c r="M375" s="70"/>
      <c r="N375" s="70"/>
      <c r="O375" s="97"/>
    </row>
    <row r="376" spans="1:15" s="51" customFormat="1" ht="19.5" hidden="1" customHeight="1">
      <c r="A376" s="54"/>
      <c r="B376" s="93"/>
      <c r="C376" s="98" t="s">
        <v>308</v>
      </c>
      <c r="D376" s="95">
        <v>60679765.5</v>
      </c>
      <c r="E376" s="88">
        <v>4620930.5999999996</v>
      </c>
      <c r="F376" s="91">
        <v>2472796.6</v>
      </c>
      <c r="G376" s="88">
        <f>227667384-H376</f>
        <v>217988481.05000001</v>
      </c>
      <c r="H376" s="87">
        <f>8269220.15+1409682.8</f>
        <v>9678902.9500000011</v>
      </c>
      <c r="I376" s="87">
        <f>3153574.1-J376</f>
        <v>2793613.74</v>
      </c>
      <c r="J376" s="87">
        <v>359960.36</v>
      </c>
      <c r="K376" s="87">
        <f>J376+I376+H376+G376+F376+E376</f>
        <v>237914685.30000001</v>
      </c>
      <c r="L376" s="88">
        <v>298594450.80000001</v>
      </c>
      <c r="M376" s="70"/>
      <c r="N376" s="70">
        <f>+L376-SUM(D376:J376)</f>
        <v>0</v>
      </c>
      <c r="O376" s="97"/>
    </row>
    <row r="377" spans="1:15" s="51" customFormat="1" ht="19.5" hidden="1" customHeight="1">
      <c r="A377" s="54"/>
      <c r="B377" s="93"/>
      <c r="C377" s="98"/>
      <c r="D377" s="95"/>
      <c r="E377" s="88"/>
      <c r="F377" s="91"/>
      <c r="G377" s="88"/>
      <c r="H377" s="87"/>
      <c r="I377" s="87"/>
      <c r="J377" s="87"/>
      <c r="K377" s="87"/>
      <c r="L377" s="88"/>
      <c r="M377" s="70"/>
      <c r="N377" s="70"/>
      <c r="O377" s="97"/>
    </row>
    <row r="378" spans="1:15" s="51" customFormat="1" ht="19.5" hidden="1" customHeight="1">
      <c r="A378" s="54"/>
      <c r="B378" s="93"/>
      <c r="C378" s="59" t="s">
        <v>311</v>
      </c>
      <c r="D378" s="95">
        <v>70435972.099999994</v>
      </c>
      <c r="E378" s="88">
        <v>1371737.9</v>
      </c>
      <c r="F378" s="91">
        <v>3988642.5</v>
      </c>
      <c r="G378" s="88">
        <f>337622406.6-H378</f>
        <v>326039847.5</v>
      </c>
      <c r="H378" s="87">
        <f>10047954.6+1534604.5</f>
        <v>11582559.1</v>
      </c>
      <c r="I378" s="87">
        <f>6534855.2-J378</f>
        <v>6103401.2000000002</v>
      </c>
      <c r="J378" s="87">
        <v>431454</v>
      </c>
      <c r="K378" s="87">
        <f>J378+I378+H378+G378+F378+E378</f>
        <v>349517642.19999999</v>
      </c>
      <c r="L378" s="88">
        <v>419953614.30000001</v>
      </c>
      <c r="M378" s="70"/>
      <c r="N378" s="70">
        <f>+L378-SUM(D378:J378)</f>
        <v>0</v>
      </c>
      <c r="O378" s="97"/>
    </row>
    <row r="379" spans="1:15" s="51" customFormat="1" ht="19.5" hidden="1" customHeight="1">
      <c r="A379" s="54"/>
      <c r="B379" s="93"/>
      <c r="C379" s="54"/>
      <c r="D379" s="95"/>
      <c r="E379" s="88"/>
      <c r="F379" s="91"/>
      <c r="G379" s="88"/>
      <c r="H379" s="87"/>
      <c r="I379" s="87"/>
      <c r="J379" s="87"/>
      <c r="K379" s="87"/>
      <c r="L379" s="88"/>
      <c r="M379" s="70"/>
      <c r="N379" s="70"/>
      <c r="O379" s="97"/>
    </row>
    <row r="380" spans="1:15" s="51" customFormat="1" ht="19.5" customHeight="1">
      <c r="A380" s="54"/>
      <c r="B380" s="93"/>
      <c r="C380" s="58">
        <v>2009</v>
      </c>
      <c r="D380" s="95"/>
      <c r="E380" s="88"/>
      <c r="F380" s="91"/>
      <c r="G380" s="99"/>
      <c r="H380" s="99"/>
      <c r="I380" s="99"/>
      <c r="J380" s="99"/>
      <c r="K380" s="99"/>
      <c r="L380" s="100"/>
      <c r="M380" s="70"/>
      <c r="N380" s="70"/>
      <c r="O380" s="97"/>
    </row>
    <row r="381" spans="1:15" s="51" customFormat="1" ht="19.5" customHeight="1">
      <c r="A381" s="54"/>
      <c r="B381" s="93"/>
      <c r="C381" s="54"/>
      <c r="D381" s="95"/>
      <c r="E381" s="88"/>
      <c r="F381" s="91"/>
      <c r="G381" s="99"/>
      <c r="H381" s="99"/>
      <c r="I381" s="99"/>
      <c r="J381" s="99"/>
      <c r="K381" s="99"/>
      <c r="L381" s="101"/>
      <c r="M381" s="70"/>
      <c r="N381" s="70"/>
      <c r="O381" s="97"/>
    </row>
    <row r="382" spans="1:15" s="51" customFormat="1" ht="19.5" customHeight="1">
      <c r="A382" s="54"/>
      <c r="B382" s="93"/>
      <c r="C382" s="54" t="s">
        <v>298</v>
      </c>
      <c r="D382" s="102">
        <v>1.1000000000000001</v>
      </c>
      <c r="E382" s="102">
        <v>1241.5999999999999</v>
      </c>
      <c r="F382" s="102">
        <v>7.9958425999999993E-4</v>
      </c>
      <c r="G382" s="103">
        <f>240827.2-H382</f>
        <v>89666.005000000005</v>
      </c>
      <c r="H382" s="104">
        <v>151161.19500000001</v>
      </c>
      <c r="I382" s="103">
        <f>13524.3-J382</f>
        <v>113.30699999999888</v>
      </c>
      <c r="J382" s="104">
        <v>13410.993</v>
      </c>
      <c r="K382" s="99">
        <f>J382+I382+H382+G382+F382+E382</f>
        <v>255593.10079958427</v>
      </c>
      <c r="L382" s="101">
        <v>255594.3</v>
      </c>
      <c r="M382" s="70"/>
      <c r="N382" s="70">
        <f>+L382-SUM(D382:J382)</f>
        <v>9.9200415716040879E-2</v>
      </c>
      <c r="O382" s="97"/>
    </row>
    <row r="383" spans="1:15" s="51" customFormat="1" ht="19.5" customHeight="1">
      <c r="A383" s="54"/>
      <c r="B383" s="93"/>
      <c r="C383" s="54"/>
      <c r="D383" s="102"/>
      <c r="E383" s="102"/>
      <c r="F383" s="102"/>
      <c r="G383" s="103"/>
      <c r="H383" s="104"/>
      <c r="I383" s="103"/>
      <c r="J383" s="104"/>
      <c r="K383" s="99"/>
      <c r="L383" s="101"/>
      <c r="M383" s="70"/>
      <c r="N383" s="70"/>
      <c r="O383" s="97"/>
    </row>
    <row r="384" spans="1:15" s="51" customFormat="1" ht="19.5" customHeight="1">
      <c r="A384" s="54"/>
      <c r="B384" s="93"/>
      <c r="C384" s="54" t="s">
        <v>299</v>
      </c>
      <c r="D384" s="102">
        <v>24.1</v>
      </c>
      <c r="E384" s="102">
        <v>2700.3</v>
      </c>
      <c r="F384" s="102">
        <v>1.05380091E-3</v>
      </c>
      <c r="G384" s="103">
        <f>199135.8-H384</f>
        <v>39258.521999999997</v>
      </c>
      <c r="H384" s="104">
        <v>159877.27799999999</v>
      </c>
      <c r="I384" s="103">
        <f>14472.7-J384</f>
        <v>549.29200000000128</v>
      </c>
      <c r="J384" s="104">
        <v>13923.407999999999</v>
      </c>
      <c r="K384" s="99">
        <f>J384+I384+H384+G384+F384+E384</f>
        <v>216308.80105380091</v>
      </c>
      <c r="L384" s="101">
        <v>216331.4</v>
      </c>
      <c r="M384" s="70"/>
      <c r="N384" s="70">
        <f>+L384-SUM(D384:J384)</f>
        <v>-1.5010538008937147</v>
      </c>
      <c r="O384" s="97"/>
    </row>
    <row r="385" spans="1:15" s="51" customFormat="1" ht="19.5" customHeight="1">
      <c r="A385" s="54"/>
      <c r="B385" s="93"/>
      <c r="C385" s="54"/>
      <c r="D385" s="102"/>
      <c r="E385" s="102"/>
      <c r="F385" s="102"/>
      <c r="G385" s="103"/>
      <c r="H385" s="104"/>
      <c r="I385" s="103"/>
      <c r="J385" s="104"/>
      <c r="K385" s="99"/>
      <c r="L385" s="101"/>
      <c r="M385" s="70"/>
      <c r="N385" s="70"/>
      <c r="O385" s="97"/>
    </row>
    <row r="386" spans="1:15" s="51" customFormat="1" ht="19.5" customHeight="1">
      <c r="A386" s="54"/>
      <c r="B386" s="93"/>
      <c r="C386" s="54" t="s">
        <v>300</v>
      </c>
      <c r="D386" s="102">
        <v>16.100000000000001</v>
      </c>
      <c r="E386" s="102">
        <v>2802.3</v>
      </c>
      <c r="F386" s="102">
        <v>1.9828866100000003E-3</v>
      </c>
      <c r="G386" s="103">
        <f>219032-H386</f>
        <v>48290.018000000011</v>
      </c>
      <c r="H386" s="104">
        <v>170741.98199999999</v>
      </c>
      <c r="I386" s="103">
        <f>19731.2-J386</f>
        <v>1299.9020000000019</v>
      </c>
      <c r="J386" s="104">
        <v>18431.297999999999</v>
      </c>
      <c r="K386" s="99">
        <v>241581.7</v>
      </c>
      <c r="L386" s="101">
        <v>241581.7</v>
      </c>
      <c r="M386" s="70"/>
      <c r="N386" s="70">
        <f>+L386-SUM(D386:J386)</f>
        <v>9.801711339969188E-2</v>
      </c>
      <c r="O386" s="97"/>
    </row>
    <row r="387" spans="1:15" s="51" customFormat="1" ht="19.5" customHeight="1">
      <c r="A387" s="54"/>
      <c r="B387" s="93"/>
      <c r="C387" s="54"/>
      <c r="D387" s="102"/>
      <c r="E387" s="102"/>
      <c r="F387" s="102"/>
      <c r="G387" s="103"/>
      <c r="H387" s="104"/>
      <c r="I387" s="103"/>
      <c r="J387" s="104"/>
      <c r="K387" s="99"/>
      <c r="L387" s="101"/>
      <c r="M387" s="70"/>
      <c r="N387" s="70"/>
      <c r="O387" s="97"/>
    </row>
    <row r="388" spans="1:15" s="51" customFormat="1" ht="19.5" customHeight="1">
      <c r="A388" s="54"/>
      <c r="B388" s="93"/>
      <c r="C388" s="54" t="s">
        <v>301</v>
      </c>
      <c r="D388" s="102">
        <v>0</v>
      </c>
      <c r="E388" s="102">
        <v>164.4</v>
      </c>
      <c r="F388" s="102">
        <v>1.2914393450000001E-2</v>
      </c>
      <c r="G388" s="103">
        <f>334856.2-H388</f>
        <v>9465.765000000014</v>
      </c>
      <c r="H388" s="104">
        <v>325390.435</v>
      </c>
      <c r="I388" s="103">
        <f>24509-J388</f>
        <v>1447.8329999999987</v>
      </c>
      <c r="J388" s="104">
        <v>23061.167000000001</v>
      </c>
      <c r="K388" s="99">
        <f>J388+I388+H388+G388+F388+E388</f>
        <v>359529.61291439348</v>
      </c>
      <c r="L388" s="101">
        <v>359529.6</v>
      </c>
      <c r="M388" s="70"/>
      <c r="N388" s="70">
        <f>+L388-SUM(D388:J388)</f>
        <v>-1.2914393504615873E-2</v>
      </c>
      <c r="O388" s="97"/>
    </row>
    <row r="389" spans="1:15" s="51" customFormat="1" ht="19.5" customHeight="1">
      <c r="A389" s="54"/>
      <c r="B389" s="93"/>
      <c r="C389" s="54"/>
      <c r="D389" s="102"/>
      <c r="E389" s="102"/>
      <c r="F389" s="102"/>
      <c r="G389" s="103"/>
      <c r="H389" s="104"/>
      <c r="I389" s="103"/>
      <c r="J389" s="104"/>
      <c r="K389" s="99"/>
      <c r="L389" s="101"/>
      <c r="M389" s="70"/>
      <c r="N389" s="70"/>
      <c r="O389" s="97"/>
    </row>
    <row r="390" spans="1:15" s="51" customFormat="1" ht="19.5" customHeight="1">
      <c r="A390" s="54"/>
      <c r="B390" s="93"/>
      <c r="C390" s="54" t="s">
        <v>302</v>
      </c>
      <c r="D390" s="102">
        <v>0</v>
      </c>
      <c r="E390" s="102">
        <v>164.4</v>
      </c>
      <c r="F390" s="102">
        <v>3.6254822249999999E-2</v>
      </c>
      <c r="G390" s="103">
        <f>378402.1-H390</f>
        <v>2937.5169999999925</v>
      </c>
      <c r="H390" s="104">
        <v>375464.58299999998</v>
      </c>
      <c r="I390" s="103">
        <f>29270.8-J390</f>
        <v>1114.780999999999</v>
      </c>
      <c r="J390" s="104">
        <v>28156.019</v>
      </c>
      <c r="K390" s="99">
        <f>J390+I390+H390+G390+F390+E390</f>
        <v>407837.33625482226</v>
      </c>
      <c r="L390" s="101">
        <v>407837.3</v>
      </c>
      <c r="M390" s="70"/>
      <c r="N390" s="70">
        <f>+L390-SUM(D390:J390)</f>
        <v>-3.6254822218324989E-2</v>
      </c>
      <c r="O390" s="97"/>
    </row>
    <row r="391" spans="1:15" s="51" customFormat="1" ht="19.5" customHeight="1">
      <c r="A391" s="54"/>
      <c r="B391" s="93"/>
      <c r="C391" s="54"/>
      <c r="D391" s="105"/>
      <c r="E391" s="105"/>
      <c r="F391" s="105"/>
      <c r="G391" s="105"/>
      <c r="H391" s="105"/>
      <c r="I391" s="105"/>
      <c r="J391" s="105"/>
      <c r="K391" s="105"/>
      <c r="L391" s="99"/>
      <c r="M391" s="70"/>
      <c r="N391" s="70"/>
      <c r="O391" s="97"/>
    </row>
    <row r="392" spans="1:15" s="51" customFormat="1" ht="19.5" customHeight="1">
      <c r="A392" s="54"/>
      <c r="B392" s="93"/>
      <c r="C392" s="54" t="s">
        <v>303</v>
      </c>
      <c r="D392" s="102">
        <v>0</v>
      </c>
      <c r="E392" s="102">
        <v>174.7</v>
      </c>
      <c r="F392" s="102">
        <v>0</v>
      </c>
      <c r="G392" s="102">
        <f>429261.5-H392</f>
        <v>1350.890000000014</v>
      </c>
      <c r="H392" s="102">
        <f>426575.6+1335.01</f>
        <v>427910.61</v>
      </c>
      <c r="I392" s="102">
        <f>30083.7-J392</f>
        <v>-205.5</v>
      </c>
      <c r="J392" s="102">
        <f>29953.9+19.8+315.5</f>
        <v>30289.200000000001</v>
      </c>
      <c r="K392" s="99">
        <f>J392+I392+H392+G392+F392+E392</f>
        <v>459519.9</v>
      </c>
      <c r="L392" s="99">
        <v>459520</v>
      </c>
      <c r="M392" s="70"/>
      <c r="N392" s="70">
        <f>+L392-SUM(D392:J392)</f>
        <v>9.9999999976716936E-2</v>
      </c>
      <c r="O392" s="97"/>
    </row>
    <row r="393" spans="1:15" s="51" customFormat="1" ht="19.5" hidden="1" customHeight="1">
      <c r="A393" s="54"/>
      <c r="B393" s="93"/>
      <c r="C393" s="54"/>
      <c r="D393" s="105"/>
      <c r="E393" s="105"/>
      <c r="F393" s="105"/>
      <c r="G393" s="105"/>
      <c r="H393" s="105"/>
      <c r="I393" s="105"/>
      <c r="J393" s="105"/>
      <c r="K393" s="105"/>
      <c r="L393" s="99"/>
      <c r="M393" s="70"/>
      <c r="N393" s="70"/>
      <c r="O393" s="97"/>
    </row>
    <row r="394" spans="1:15" s="51" customFormat="1" ht="19.5" hidden="1" customHeight="1">
      <c r="A394" s="54"/>
      <c r="B394" s="93"/>
      <c r="C394" s="54" t="s">
        <v>304</v>
      </c>
      <c r="D394" s="105"/>
      <c r="E394" s="105"/>
      <c r="F394" s="105"/>
      <c r="G394" s="105"/>
      <c r="H394" s="105"/>
      <c r="I394" s="105"/>
      <c r="J394" s="105"/>
      <c r="K394" s="105"/>
      <c r="L394" s="99"/>
      <c r="M394" s="70"/>
      <c r="N394" s="70">
        <f>+L394-SUM(D394:J394)</f>
        <v>0</v>
      </c>
      <c r="O394" s="97"/>
    </row>
    <row r="395" spans="1:15" s="51" customFormat="1" ht="19.5" hidden="1" customHeight="1">
      <c r="A395" s="54"/>
      <c r="B395" s="93"/>
      <c r="C395" s="54"/>
      <c r="D395" s="106"/>
      <c r="E395" s="107"/>
      <c r="F395" s="107"/>
      <c r="G395" s="107"/>
      <c r="H395" s="107"/>
      <c r="I395" s="107"/>
      <c r="J395" s="107"/>
      <c r="K395" s="99"/>
      <c r="L395" s="107"/>
      <c r="M395" s="70"/>
      <c r="N395" s="70"/>
      <c r="O395" s="97"/>
    </row>
    <row r="396" spans="1:15" s="51" customFormat="1" ht="19.5" hidden="1" customHeight="1">
      <c r="A396" s="54"/>
      <c r="B396" s="93"/>
      <c r="C396" s="54" t="s">
        <v>305</v>
      </c>
      <c r="D396" s="105"/>
      <c r="E396" s="99"/>
      <c r="F396" s="99"/>
      <c r="G396" s="99"/>
      <c r="H396" s="99"/>
      <c r="I396" s="99"/>
      <c r="J396" s="99"/>
      <c r="K396" s="99"/>
      <c r="L396" s="99"/>
      <c r="M396" s="70"/>
      <c r="N396" s="70">
        <f>+L396-SUM(D396:J396)</f>
        <v>0</v>
      </c>
      <c r="O396" s="97"/>
    </row>
    <row r="397" spans="1:15" s="51" customFormat="1" ht="19.5" hidden="1" customHeight="1">
      <c r="A397" s="54"/>
      <c r="B397" s="93"/>
      <c r="C397" s="54"/>
      <c r="D397" s="105"/>
      <c r="E397" s="99"/>
      <c r="F397" s="99"/>
      <c r="G397" s="99"/>
      <c r="H397" s="99"/>
      <c r="I397" s="99"/>
      <c r="J397" s="99"/>
      <c r="K397" s="99"/>
      <c r="L397" s="99"/>
      <c r="M397" s="70"/>
      <c r="N397" s="70"/>
      <c r="O397" s="97"/>
    </row>
    <row r="398" spans="1:15" s="51" customFormat="1" ht="19.5" hidden="1" customHeight="1">
      <c r="A398" s="54"/>
      <c r="B398" s="93"/>
      <c r="C398" s="54" t="s">
        <v>306</v>
      </c>
      <c r="D398" s="95"/>
      <c r="E398" s="88"/>
      <c r="F398" s="91"/>
      <c r="G398" s="88"/>
      <c r="H398" s="87"/>
      <c r="I398" s="87"/>
      <c r="J398" s="87"/>
      <c r="K398" s="87"/>
      <c r="L398" s="88"/>
      <c r="M398" s="70"/>
      <c r="N398" s="70">
        <f>+L398-SUM(D398:J398)</f>
        <v>0</v>
      </c>
      <c r="O398" s="97"/>
    </row>
    <row r="399" spans="1:15" s="51" customFormat="1" ht="19.5" hidden="1" customHeight="1">
      <c r="A399" s="54"/>
      <c r="B399" s="93"/>
      <c r="C399" s="54"/>
      <c r="D399" s="95"/>
      <c r="E399" s="88"/>
      <c r="F399" s="91"/>
      <c r="G399" s="88"/>
      <c r="H399" s="87"/>
      <c r="I399" s="87"/>
      <c r="J399" s="87"/>
      <c r="K399" s="87"/>
      <c r="L399" s="88"/>
      <c r="M399" s="70"/>
      <c r="N399" s="70"/>
      <c r="O399" s="97"/>
    </row>
    <row r="400" spans="1:15" s="51" customFormat="1" ht="19.5" hidden="1" customHeight="1">
      <c r="A400" s="54"/>
      <c r="B400" s="93"/>
      <c r="C400" s="54" t="s">
        <v>307</v>
      </c>
      <c r="D400" s="95"/>
      <c r="E400" s="88"/>
      <c r="F400" s="91"/>
      <c r="G400" s="88"/>
      <c r="H400" s="87"/>
      <c r="I400" s="87"/>
      <c r="J400" s="87"/>
      <c r="K400" s="87"/>
      <c r="L400" s="88"/>
      <c r="M400" s="70"/>
      <c r="N400" s="70">
        <f>+L400-SUM(D400:J400)</f>
        <v>0</v>
      </c>
      <c r="O400" s="97"/>
    </row>
    <row r="401" spans="1:15" s="51" customFormat="1" ht="19.5" hidden="1" customHeight="1">
      <c r="A401" s="54"/>
      <c r="B401" s="93"/>
      <c r="C401" s="54"/>
      <c r="D401" s="95"/>
      <c r="E401" s="88"/>
      <c r="F401" s="91"/>
      <c r="G401" s="88"/>
      <c r="H401" s="87"/>
      <c r="I401" s="87"/>
      <c r="J401" s="87"/>
      <c r="K401" s="87"/>
      <c r="L401" s="88"/>
      <c r="M401" s="70"/>
      <c r="N401" s="70"/>
      <c r="O401" s="97"/>
    </row>
    <row r="402" spans="1:15" s="51" customFormat="1" ht="19.5" hidden="1" customHeight="1">
      <c r="A402" s="54"/>
      <c r="B402" s="93"/>
      <c r="C402" s="54" t="s">
        <v>308</v>
      </c>
      <c r="D402" s="95"/>
      <c r="E402" s="88"/>
      <c r="F402" s="91"/>
      <c r="G402" s="88"/>
      <c r="H402" s="87"/>
      <c r="I402" s="87"/>
      <c r="J402" s="87"/>
      <c r="K402" s="87"/>
      <c r="L402" s="88"/>
      <c r="M402" s="70"/>
      <c r="N402" s="70">
        <f>+L402-SUM(D402:J402)</f>
        <v>0</v>
      </c>
      <c r="O402" s="97"/>
    </row>
    <row r="403" spans="1:15" s="51" customFormat="1" ht="19.5" hidden="1" customHeight="1">
      <c r="A403" s="54"/>
      <c r="B403" s="93"/>
      <c r="C403" s="54"/>
      <c r="D403" s="95"/>
      <c r="E403" s="88"/>
      <c r="F403" s="91"/>
      <c r="G403" s="88"/>
      <c r="H403" s="87"/>
      <c r="I403" s="87"/>
      <c r="J403" s="87"/>
      <c r="K403" s="87"/>
      <c r="L403" s="88"/>
      <c r="M403" s="70"/>
      <c r="N403" s="70"/>
      <c r="O403" s="97"/>
    </row>
    <row r="404" spans="1:15" s="51" customFormat="1" ht="19.5" hidden="1" customHeight="1">
      <c r="A404" s="54"/>
      <c r="B404" s="93"/>
      <c r="C404" s="54" t="s">
        <v>311</v>
      </c>
      <c r="D404" s="95">
        <v>14485525929.9</v>
      </c>
      <c r="E404" s="88">
        <v>1.2473092392009E+16</v>
      </c>
      <c r="F404" s="91">
        <v>3286848081480340</v>
      </c>
      <c r="G404" s="88">
        <f>156975112616156000-H404</f>
        <v>1.5697435173300954E+17</v>
      </c>
      <c r="H404" s="87">
        <f>757468436756.6+3414709697.1</f>
        <v>760883146453.69995</v>
      </c>
      <c r="I404" s="87">
        <f>43676697424505000-J404</f>
        <v>4.3676695386481384E+16</v>
      </c>
      <c r="J404" s="87">
        <v>2038023612.5</v>
      </c>
      <c r="K404" s="87">
        <f>J404+I404+H404+G404+F404+E404</f>
        <v>2.1641175051415034E+17</v>
      </c>
      <c r="L404" s="88">
        <v>2.16411764999676E+17</v>
      </c>
      <c r="M404" s="70"/>
      <c r="N404" s="70">
        <f>+L404-SUM(D404:J404)</f>
        <v>-256</v>
      </c>
      <c r="O404" s="97"/>
    </row>
    <row r="405" spans="1:15" ht="19.5" customHeight="1" thickBot="1">
      <c r="B405" s="90"/>
      <c r="C405" s="108"/>
      <c r="D405" s="109"/>
      <c r="E405" s="110"/>
      <c r="F405" s="111"/>
      <c r="G405" s="110"/>
      <c r="H405" s="112"/>
      <c r="I405" s="112"/>
      <c r="J405" s="112"/>
      <c r="K405" s="112"/>
      <c r="L405" s="110"/>
      <c r="N405" s="70"/>
      <c r="O405" s="89"/>
    </row>
    <row r="406" spans="1:15" ht="19.5" customHeight="1" thickTop="1">
      <c r="D406" s="92"/>
      <c r="E406" s="92"/>
      <c r="F406" s="92"/>
      <c r="G406" s="113"/>
      <c r="H406" s="92"/>
      <c r="I406" s="113"/>
      <c r="J406" s="92"/>
      <c r="K406" s="92"/>
    </row>
    <row r="407" spans="1:15" ht="19.5" customHeight="1">
      <c r="C407" s="52" t="s">
        <v>316</v>
      </c>
      <c r="D407" s="92"/>
      <c r="E407" s="92"/>
      <c r="F407" s="92"/>
      <c r="G407" s="113"/>
      <c r="H407" s="92"/>
      <c r="I407" s="113"/>
      <c r="J407" s="92"/>
      <c r="K407" s="92"/>
      <c r="O407" s="114">
        <f>10125556210633+20270811961</f>
        <v>10145827022594</v>
      </c>
    </row>
    <row r="408" spans="1:15" ht="19.5" customHeight="1">
      <c r="C408" s="52" t="s">
        <v>318</v>
      </c>
      <c r="D408" s="92"/>
      <c r="E408" s="92"/>
      <c r="F408" s="92"/>
      <c r="G408" s="113"/>
      <c r="H408" s="92"/>
      <c r="I408" s="113"/>
      <c r="J408" s="92"/>
      <c r="K408" s="115"/>
    </row>
    <row r="409" spans="1:15" ht="19.5" customHeight="1">
      <c r="C409" s="52" t="s">
        <v>319</v>
      </c>
      <c r="D409" s="92"/>
      <c r="E409" s="92"/>
      <c r="F409" s="92"/>
      <c r="G409" s="113"/>
      <c r="H409" s="92"/>
      <c r="I409" s="113"/>
      <c r="J409" s="92"/>
      <c r="K409" s="115"/>
      <c r="O409" s="114">
        <f>5931493158+1400538329585+54463409144</f>
        <v>1460933231887</v>
      </c>
    </row>
    <row r="410" spans="1:15" ht="19.5" customHeight="1">
      <c r="C410" s="52" t="s">
        <v>320</v>
      </c>
      <c r="D410" s="92"/>
      <c r="E410" s="92"/>
      <c r="F410" s="92"/>
      <c r="G410" s="113"/>
      <c r="H410" s="92"/>
      <c r="I410" s="113"/>
      <c r="J410" s="92"/>
      <c r="K410" s="115"/>
    </row>
    <row r="411" spans="1:15" ht="19.5" customHeight="1">
      <c r="C411" s="52" t="s">
        <v>321</v>
      </c>
      <c r="D411" s="92"/>
      <c r="E411" s="92"/>
      <c r="F411" s="92"/>
      <c r="G411" s="113"/>
      <c r="H411" s="92"/>
      <c r="I411" s="113"/>
      <c r="J411" s="92"/>
      <c r="K411" s="92"/>
      <c r="L411" s="92"/>
    </row>
    <row r="412" spans="1:15" ht="19.5" customHeight="1">
      <c r="C412" s="52" t="s">
        <v>322</v>
      </c>
      <c r="D412" s="92"/>
      <c r="E412" s="92"/>
      <c r="F412" s="92"/>
      <c r="G412" s="113"/>
      <c r="H412" s="92"/>
      <c r="I412" s="113"/>
      <c r="J412" s="92"/>
      <c r="K412" s="92"/>
      <c r="L412" s="92"/>
    </row>
    <row r="413" spans="1:15" ht="12.75" customHeight="1">
      <c r="C413" s="64"/>
      <c r="D413" s="92"/>
      <c r="E413" s="92"/>
      <c r="F413" s="92"/>
      <c r="G413" s="113"/>
      <c r="H413" s="92"/>
      <c r="I413" s="113"/>
      <c r="J413" s="92"/>
      <c r="K413" s="92"/>
      <c r="L413" s="92"/>
    </row>
    <row r="414" spans="1:15" ht="18">
      <c r="C414" s="72"/>
      <c r="D414" s="64"/>
      <c r="E414" s="64"/>
      <c r="F414" s="64"/>
      <c r="G414" s="64"/>
      <c r="H414" s="64"/>
      <c r="I414" s="116"/>
      <c r="J414" s="116"/>
      <c r="K414" s="116"/>
      <c r="L414" s="116"/>
    </row>
    <row r="415" spans="1:15" ht="15.6">
      <c r="D415" s="64"/>
      <c r="E415" s="64"/>
      <c r="F415" s="64"/>
      <c r="G415" s="64"/>
      <c r="H415" s="64"/>
      <c r="I415" s="116"/>
      <c r="J415" s="116"/>
      <c r="K415" s="116"/>
      <c r="L415" s="116"/>
    </row>
    <row r="416" spans="1:15" ht="15" customHeight="1">
      <c r="C416" s="117"/>
      <c r="D416" s="116">
        <v>3321265.665</v>
      </c>
      <c r="E416" s="116">
        <v>3914859.79</v>
      </c>
      <c r="F416" s="116"/>
      <c r="G416" s="116"/>
      <c r="H416" s="116"/>
      <c r="I416" s="116"/>
      <c r="J416" s="116"/>
      <c r="K416" s="116"/>
      <c r="L416" s="116"/>
    </row>
    <row r="417" spans="3:12" ht="15.6">
      <c r="D417" s="116"/>
      <c r="E417" s="116"/>
      <c r="F417" s="116"/>
      <c r="G417" s="116"/>
      <c r="H417" s="116"/>
      <c r="I417" s="116"/>
      <c r="J417" s="116"/>
      <c r="K417" s="116"/>
      <c r="L417" s="116"/>
    </row>
    <row r="418" spans="3:12" ht="15" customHeight="1">
      <c r="D418" s="116"/>
      <c r="E418" s="116"/>
      <c r="F418" s="116"/>
      <c r="G418" s="116"/>
      <c r="H418" s="116"/>
      <c r="I418" s="116"/>
      <c r="J418" s="116"/>
      <c r="K418" s="116"/>
      <c r="L418" s="116"/>
    </row>
    <row r="419" spans="3:12" ht="18" customHeight="1">
      <c r="C419" s="118"/>
      <c r="D419" s="116"/>
      <c r="E419" s="116"/>
      <c r="F419" s="116"/>
      <c r="G419" s="116"/>
      <c r="H419" s="116"/>
      <c r="I419" s="116"/>
      <c r="J419" s="116"/>
      <c r="K419" s="116"/>
      <c r="L419" s="116"/>
    </row>
    <row r="420" spans="3:12" ht="15" customHeight="1">
      <c r="D420" s="116"/>
      <c r="E420" s="116"/>
      <c r="F420" s="116"/>
      <c r="G420" s="116"/>
      <c r="H420" s="116"/>
      <c r="I420" s="116"/>
      <c r="J420" s="116"/>
      <c r="K420" s="116"/>
      <c r="L420" s="116"/>
    </row>
    <row r="421" spans="3:12" ht="15.6">
      <c r="D421" s="116"/>
      <c r="E421" s="116"/>
      <c r="F421" s="116"/>
      <c r="G421" s="116"/>
      <c r="H421" s="116"/>
      <c r="I421" s="116"/>
      <c r="J421" s="116"/>
      <c r="K421" s="116"/>
      <c r="L421" s="116"/>
    </row>
    <row r="422" spans="3:12" ht="15" customHeight="1">
      <c r="D422" s="119"/>
      <c r="E422" s="119"/>
      <c r="F422" s="119"/>
      <c r="G422" s="119"/>
      <c r="H422" s="119"/>
      <c r="I422" s="119"/>
      <c r="J422" s="119"/>
      <c r="K422" s="119"/>
      <c r="L422" s="119"/>
    </row>
    <row r="423" spans="3:12" ht="12.75" customHeight="1">
      <c r="D423" s="119"/>
      <c r="E423" s="119"/>
      <c r="F423" s="119"/>
      <c r="G423" s="119"/>
      <c r="H423" s="119"/>
      <c r="I423" s="119"/>
      <c r="J423" s="119"/>
      <c r="K423" s="119"/>
      <c r="L423" s="119"/>
    </row>
    <row r="424" spans="3:12" ht="12.75" customHeight="1">
      <c r="D424" s="119"/>
      <c r="E424" s="119"/>
      <c r="F424" s="119"/>
      <c r="G424" s="119"/>
      <c r="H424" s="119"/>
      <c r="I424" s="119"/>
      <c r="J424" s="119"/>
      <c r="K424" s="119"/>
      <c r="L424" s="119"/>
    </row>
    <row r="425" spans="3:12" ht="12.75" customHeight="1">
      <c r="D425" s="119"/>
      <c r="E425" s="119"/>
      <c r="F425" s="119"/>
      <c r="G425" s="119"/>
      <c r="H425" s="119"/>
      <c r="I425" s="119"/>
      <c r="J425" s="119"/>
      <c r="K425" s="119"/>
      <c r="L425" s="119"/>
    </row>
    <row r="426" spans="3:12" ht="12.75" customHeight="1">
      <c r="D426" s="119"/>
      <c r="E426" s="119"/>
      <c r="F426" s="119"/>
      <c r="G426" s="119"/>
      <c r="H426" s="119"/>
      <c r="I426" s="119"/>
      <c r="J426" s="119"/>
      <c r="K426" s="119"/>
      <c r="L426" s="119"/>
    </row>
    <row r="427" spans="3:12" ht="12.75" customHeight="1">
      <c r="D427" s="119"/>
      <c r="E427" s="119"/>
      <c r="F427" s="119"/>
      <c r="G427" s="119"/>
      <c r="H427" s="119"/>
      <c r="I427" s="119"/>
      <c r="J427" s="119"/>
      <c r="K427" s="119"/>
      <c r="L427" s="119"/>
    </row>
    <row r="428" spans="3:12" ht="12.75" customHeight="1">
      <c r="D428" s="119"/>
      <c r="E428" s="119"/>
      <c r="F428" s="119"/>
      <c r="G428" s="119"/>
      <c r="H428" s="119"/>
      <c r="I428" s="119"/>
      <c r="J428" s="119"/>
      <c r="K428" s="119"/>
      <c r="L428" s="119"/>
    </row>
    <row r="429" spans="3:12" ht="12.75" customHeight="1">
      <c r="D429" s="119"/>
      <c r="E429" s="119"/>
      <c r="F429" s="119"/>
      <c r="G429" s="119"/>
      <c r="H429" s="119"/>
      <c r="I429" s="119"/>
      <c r="J429" s="119"/>
      <c r="K429" s="119"/>
      <c r="L429" s="119"/>
    </row>
    <row r="430" spans="3:12" ht="12.75" customHeight="1">
      <c r="D430" s="119"/>
      <c r="E430" s="119"/>
      <c r="F430" s="119"/>
      <c r="G430" s="119"/>
      <c r="H430" s="119"/>
      <c r="I430" s="119"/>
      <c r="J430" s="119"/>
      <c r="K430" s="119"/>
      <c r="L430" s="119"/>
    </row>
    <row r="431" spans="3:12" ht="12.75" customHeight="1">
      <c r="D431" s="119"/>
      <c r="E431" s="119"/>
      <c r="F431" s="119"/>
      <c r="G431" s="119"/>
      <c r="H431" s="119"/>
      <c r="I431" s="119"/>
      <c r="J431" s="119"/>
      <c r="K431" s="119"/>
      <c r="L431" s="119"/>
    </row>
    <row r="432" spans="3:12" ht="12.75" customHeight="1">
      <c r="D432" s="119"/>
      <c r="E432" s="119"/>
      <c r="F432" s="119"/>
      <c r="G432" s="119"/>
      <c r="H432" s="119"/>
      <c r="I432" s="119"/>
      <c r="J432" s="119"/>
      <c r="K432" s="119"/>
      <c r="L432" s="119"/>
    </row>
    <row r="433" spans="4:12">
      <c r="D433" s="119"/>
      <c r="E433" s="119"/>
      <c r="F433" s="119"/>
      <c r="G433" s="119"/>
      <c r="H433" s="119"/>
      <c r="I433" s="119"/>
      <c r="J433" s="119"/>
      <c r="K433" s="119"/>
      <c r="L433" s="119"/>
    </row>
    <row r="434" spans="4:12">
      <c r="D434" s="119"/>
      <c r="E434" s="119"/>
      <c r="F434" s="119"/>
      <c r="G434" s="119"/>
      <c r="H434" s="119"/>
      <c r="I434" s="119"/>
      <c r="J434" s="119"/>
      <c r="K434" s="119"/>
      <c r="L434" s="119"/>
    </row>
    <row r="435" spans="4:12">
      <c r="D435" s="119"/>
      <c r="E435" s="119"/>
      <c r="F435" s="119"/>
      <c r="G435" s="119"/>
      <c r="H435" s="119"/>
      <c r="I435" s="119"/>
      <c r="J435" s="119"/>
      <c r="K435" s="119"/>
      <c r="L435" s="119"/>
    </row>
    <row r="436" spans="4:12">
      <c r="D436" s="120"/>
      <c r="E436" s="120"/>
      <c r="F436" s="120"/>
      <c r="G436" s="121"/>
      <c r="H436" s="121"/>
      <c r="I436" s="120"/>
      <c r="J436" s="121"/>
      <c r="K436" s="120"/>
      <c r="L436" s="120"/>
    </row>
    <row r="437" spans="4:12">
      <c r="D437" s="120"/>
      <c r="E437" s="120"/>
      <c r="F437" s="120"/>
      <c r="G437" s="121"/>
      <c r="H437" s="121"/>
      <c r="I437" s="120"/>
      <c r="J437" s="121"/>
      <c r="K437" s="120"/>
      <c r="L437" s="120"/>
    </row>
    <row r="438" spans="4:12">
      <c r="D438" s="121"/>
      <c r="E438" s="121"/>
      <c r="F438" s="121"/>
      <c r="G438" s="121"/>
      <c r="H438" s="121"/>
      <c r="I438" s="121"/>
      <c r="J438" s="121"/>
      <c r="K438" s="121"/>
      <c r="L438" s="121"/>
    </row>
    <row r="439" spans="4:12">
      <c r="D439" s="121"/>
      <c r="E439" s="121"/>
      <c r="F439" s="121"/>
      <c r="G439" s="121"/>
      <c r="H439" s="121"/>
      <c r="I439" s="121"/>
      <c r="J439" s="121"/>
      <c r="K439" s="121"/>
      <c r="L439" s="121"/>
    </row>
    <row r="440" spans="4:12">
      <c r="D440" s="121"/>
      <c r="E440" s="121"/>
      <c r="F440" s="121"/>
      <c r="G440" s="121"/>
      <c r="H440" s="121"/>
      <c r="I440" s="121"/>
      <c r="J440" s="121"/>
      <c r="K440" s="121"/>
      <c r="L440" s="121"/>
    </row>
    <row r="441" spans="4:12">
      <c r="D441" s="121"/>
      <c r="E441" s="121"/>
      <c r="F441" s="121"/>
      <c r="G441" s="121"/>
      <c r="H441" s="121"/>
      <c r="I441" s="121"/>
      <c r="J441" s="121"/>
      <c r="K441" s="121"/>
      <c r="L441" s="121"/>
    </row>
    <row r="442" spans="4:12">
      <c r="D442" s="121"/>
      <c r="E442" s="121"/>
      <c r="F442" s="121"/>
      <c r="G442" s="121"/>
      <c r="H442" s="121"/>
      <c r="I442" s="121"/>
      <c r="J442" s="121"/>
      <c r="K442" s="121"/>
      <c r="L442" s="121"/>
    </row>
    <row r="443" spans="4:12">
      <c r="D443" s="121"/>
      <c r="E443" s="121"/>
      <c r="F443" s="121"/>
      <c r="G443" s="121"/>
      <c r="H443" s="121"/>
      <c r="I443" s="121"/>
      <c r="J443" s="121"/>
      <c r="K443" s="121"/>
      <c r="L443" s="121"/>
    </row>
    <row r="444" spans="4:12">
      <c r="D444" s="121"/>
      <c r="E444" s="121"/>
      <c r="F444" s="121"/>
      <c r="G444" s="121"/>
      <c r="H444" s="121"/>
      <c r="I444" s="121"/>
      <c r="J444" s="121"/>
      <c r="K444" s="121"/>
      <c r="L444" s="121"/>
    </row>
    <row r="445" spans="4:12">
      <c r="D445" s="121"/>
      <c r="E445" s="121"/>
      <c r="F445" s="121"/>
      <c r="G445" s="121"/>
      <c r="H445" s="121"/>
      <c r="I445" s="121"/>
      <c r="J445" s="121"/>
      <c r="K445" s="121"/>
      <c r="L445" s="121"/>
    </row>
    <row r="446" spans="4:12">
      <c r="D446" s="121"/>
      <c r="E446" s="121"/>
      <c r="F446" s="121"/>
      <c r="G446" s="121"/>
      <c r="H446" s="121"/>
      <c r="I446" s="121"/>
      <c r="J446" s="121"/>
      <c r="K446" s="121"/>
      <c r="L446" s="121"/>
    </row>
    <row r="447" spans="4:12">
      <c r="D447" s="121"/>
      <c r="E447" s="121"/>
      <c r="F447" s="121"/>
      <c r="G447" s="121"/>
      <c r="H447" s="121"/>
      <c r="I447" s="121"/>
      <c r="J447" s="121"/>
      <c r="K447" s="121"/>
      <c r="L447" s="121"/>
    </row>
    <row r="448" spans="4:12">
      <c r="D448" s="121"/>
      <c r="E448" s="121"/>
      <c r="F448" s="121"/>
      <c r="G448" s="121"/>
      <c r="H448" s="121"/>
      <c r="I448" s="121"/>
      <c r="J448" s="121"/>
      <c r="K448" s="121"/>
      <c r="L448" s="121"/>
    </row>
    <row r="449" spans="4:12">
      <c r="D449" s="121"/>
      <c r="E449" s="121"/>
      <c r="F449" s="121"/>
      <c r="G449" s="121"/>
      <c r="H449" s="121"/>
      <c r="I449" s="121"/>
      <c r="J449" s="121"/>
      <c r="K449" s="121"/>
      <c r="L449" s="121"/>
    </row>
    <row r="450" spans="4:12">
      <c r="D450" s="121"/>
      <c r="E450" s="121"/>
      <c r="F450" s="121"/>
      <c r="G450" s="121"/>
      <c r="H450" s="121"/>
      <c r="I450" s="121"/>
      <c r="J450" s="121"/>
      <c r="K450" s="121"/>
      <c r="L450" s="121"/>
    </row>
    <row r="451" spans="4:12">
      <c r="D451" s="121"/>
      <c r="E451" s="121"/>
      <c r="F451" s="121"/>
      <c r="G451" s="121"/>
      <c r="H451" s="121"/>
      <c r="I451" s="121"/>
      <c r="J451" s="121"/>
      <c r="K451" s="121"/>
      <c r="L451" s="121"/>
    </row>
    <row r="452" spans="4:12">
      <c r="D452" s="121"/>
      <c r="E452" s="121"/>
      <c r="F452" s="121"/>
      <c r="G452" s="121"/>
      <c r="H452" s="121"/>
      <c r="I452" s="121"/>
      <c r="J452" s="121"/>
      <c r="K452" s="121"/>
      <c r="L452" s="121"/>
    </row>
    <row r="453" spans="4:12">
      <c r="D453" s="121"/>
      <c r="E453" s="121"/>
      <c r="F453" s="121"/>
      <c r="G453" s="121"/>
      <c r="H453" s="121"/>
      <c r="I453" s="121"/>
      <c r="J453" s="121"/>
      <c r="K453" s="121"/>
      <c r="L453" s="121"/>
    </row>
    <row r="454" spans="4:12">
      <c r="D454" s="121"/>
      <c r="E454" s="121"/>
      <c r="F454" s="121"/>
      <c r="G454" s="121"/>
      <c r="H454" s="121"/>
      <c r="I454" s="121"/>
      <c r="J454" s="121"/>
      <c r="K454" s="121"/>
      <c r="L454" s="121"/>
    </row>
    <row r="455" spans="4:12">
      <c r="D455" s="121"/>
      <c r="E455" s="121"/>
      <c r="F455" s="121"/>
      <c r="G455" s="121"/>
      <c r="H455" s="121"/>
      <c r="I455" s="121"/>
      <c r="J455" s="121"/>
      <c r="K455" s="121"/>
      <c r="L455" s="121"/>
    </row>
    <row r="456" spans="4:12">
      <c r="D456" s="121"/>
      <c r="E456" s="121"/>
      <c r="F456" s="121"/>
      <c r="G456" s="121"/>
      <c r="H456" s="121"/>
      <c r="I456" s="121"/>
      <c r="J456" s="121"/>
      <c r="K456" s="121"/>
      <c r="L456" s="121"/>
    </row>
    <row r="457" spans="4:12">
      <c r="D457" s="121"/>
      <c r="E457" s="121"/>
      <c r="F457" s="121"/>
      <c r="G457" s="121"/>
      <c r="H457" s="121"/>
      <c r="I457" s="121"/>
      <c r="J457" s="121"/>
      <c r="K457" s="121"/>
      <c r="L457" s="121"/>
    </row>
    <row r="458" spans="4:12">
      <c r="D458" s="121"/>
      <c r="E458" s="121"/>
      <c r="F458" s="121"/>
      <c r="G458" s="121"/>
      <c r="H458" s="121"/>
      <c r="I458" s="121"/>
      <c r="J458" s="121"/>
      <c r="K458" s="121"/>
      <c r="L458" s="121"/>
    </row>
    <row r="459" spans="4:12">
      <c r="D459" s="121"/>
      <c r="E459" s="121"/>
      <c r="F459" s="121"/>
      <c r="G459" s="121"/>
      <c r="H459" s="121"/>
      <c r="I459" s="121"/>
      <c r="J459" s="121"/>
      <c r="K459" s="121"/>
      <c r="L459" s="121"/>
    </row>
    <row r="460" spans="4:12">
      <c r="D460" s="121"/>
      <c r="E460" s="121"/>
      <c r="F460" s="121"/>
      <c r="G460" s="121"/>
      <c r="H460" s="121"/>
      <c r="I460" s="121"/>
      <c r="J460" s="121"/>
      <c r="K460" s="121"/>
      <c r="L460" s="121"/>
    </row>
    <row r="484" spans="4:12">
      <c r="D484" s="122"/>
      <c r="E484" s="122"/>
      <c r="F484" s="122"/>
      <c r="I484" s="122"/>
      <c r="K484" s="122"/>
      <c r="L484" s="122"/>
    </row>
    <row r="485" spans="4:12">
      <c r="D485" s="122"/>
      <c r="E485" s="122"/>
      <c r="F485" s="122"/>
      <c r="I485" s="122"/>
      <c r="K485" s="122"/>
      <c r="L485" s="122"/>
    </row>
    <row r="486" spans="4:12">
      <c r="D486" s="122"/>
      <c r="E486" s="122"/>
      <c r="F486" s="122"/>
      <c r="I486" s="122"/>
      <c r="K486" s="122"/>
      <c r="L486" s="122"/>
    </row>
    <row r="487" spans="4:12">
      <c r="D487" s="122"/>
      <c r="E487" s="122"/>
      <c r="F487" s="122"/>
      <c r="I487" s="122"/>
      <c r="K487" s="122"/>
      <c r="L487" s="122"/>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3"/>
    <col min="3" max="3" width="9" style="763" customWidth="1"/>
    <col min="4" max="4" width="9.36328125" style="763" customWidth="1"/>
    <col min="5" max="5" width="10.6328125" style="763" customWidth="1"/>
    <col min="6" max="6" width="12.81640625" style="763" customWidth="1"/>
    <col min="7" max="7" width="9.08984375" style="763" customWidth="1"/>
    <col min="8" max="8" width="12.90625" style="763" customWidth="1"/>
    <col min="9" max="9" width="11.54296875" style="763" customWidth="1"/>
    <col min="10" max="10" width="11.1796875" style="763" customWidth="1"/>
    <col min="11" max="11" width="12.08984375" style="763" customWidth="1"/>
    <col min="12" max="12" width="10.54296875" style="763" customWidth="1"/>
    <col min="13" max="13" width="10.453125" style="763" customWidth="1"/>
    <col min="14" max="14" width="13.453125" style="763" customWidth="1"/>
    <col min="15" max="15" width="11.1796875" style="763" customWidth="1"/>
    <col min="16" max="16384" width="8.90625" style="763"/>
  </cols>
  <sheetData>
    <row r="4" spans="3:15" hidden="1">
      <c r="C4" s="1847" t="s">
        <v>771</v>
      </c>
      <c r="D4" s="1847"/>
      <c r="E4" s="1847"/>
      <c r="F4" s="1847"/>
      <c r="G4" s="1847"/>
      <c r="H4" s="1847"/>
      <c r="I4" s="1847"/>
      <c r="J4" s="1847"/>
      <c r="K4" s="1847"/>
      <c r="L4" s="1847"/>
      <c r="M4" s="1847"/>
      <c r="N4" s="1847"/>
      <c r="O4" s="762"/>
    </row>
    <row r="5" spans="3:15" ht="15.6" hidden="1">
      <c r="C5" s="764"/>
      <c r="D5" s="764"/>
      <c r="E5" s="764"/>
      <c r="F5" s="764"/>
      <c r="G5" s="764"/>
      <c r="H5" s="764"/>
      <c r="I5" s="764"/>
      <c r="J5" s="764"/>
      <c r="K5" s="764"/>
      <c r="L5" s="765"/>
      <c r="M5" s="765"/>
      <c r="N5" s="765"/>
      <c r="O5" s="762"/>
    </row>
    <row r="6" spans="3:15" hidden="1">
      <c r="C6" s="1847" t="s">
        <v>1312</v>
      </c>
      <c r="D6" s="1847"/>
      <c r="E6" s="1847"/>
      <c r="F6" s="1847"/>
      <c r="G6" s="1847"/>
      <c r="H6" s="1847"/>
      <c r="I6" s="1847"/>
      <c r="J6" s="1847"/>
      <c r="K6" s="1847"/>
      <c r="L6" s="1847"/>
      <c r="M6" s="1847"/>
      <c r="N6" s="1847"/>
      <c r="O6" s="762"/>
    </row>
    <row r="7" spans="3:15" ht="16.2" hidden="1" thickBot="1">
      <c r="C7" s="765"/>
      <c r="D7" s="765"/>
      <c r="E7" s="765"/>
      <c r="F7" s="765"/>
      <c r="G7" s="765"/>
      <c r="H7" s="765"/>
      <c r="I7" s="765"/>
      <c r="J7" s="765"/>
      <c r="K7" s="765"/>
      <c r="L7" s="765"/>
      <c r="M7" s="765"/>
      <c r="N7" s="765"/>
      <c r="O7" s="762"/>
    </row>
    <row r="8" spans="3:15" ht="16.2" hidden="1" thickTop="1">
      <c r="C8" s="766"/>
      <c r="D8" s="766"/>
      <c r="E8" s="766"/>
      <c r="F8" s="766"/>
      <c r="G8" s="766"/>
      <c r="H8" s="766"/>
      <c r="I8" s="766"/>
      <c r="J8" s="766"/>
      <c r="K8" s="766"/>
      <c r="L8" s="766"/>
      <c r="M8" s="766"/>
      <c r="N8" s="766"/>
      <c r="O8" s="767"/>
    </row>
    <row r="9" spans="3:15" ht="15.6" hidden="1">
      <c r="C9" s="768"/>
      <c r="D9" s="769" t="s">
        <v>392</v>
      </c>
      <c r="E9" s="769" t="s">
        <v>396</v>
      </c>
      <c r="F9" s="769" t="s">
        <v>768</v>
      </c>
      <c r="G9" s="769" t="s">
        <v>402</v>
      </c>
      <c r="H9" s="769" t="s">
        <v>403</v>
      </c>
      <c r="I9" s="769" t="s">
        <v>404</v>
      </c>
      <c r="J9" s="769" t="s">
        <v>405</v>
      </c>
      <c r="K9" s="769" t="s">
        <v>406</v>
      </c>
      <c r="L9" s="769" t="s">
        <v>407</v>
      </c>
      <c r="M9" s="761" t="s">
        <v>1189</v>
      </c>
      <c r="N9" s="769" t="s">
        <v>287</v>
      </c>
      <c r="O9" s="767"/>
    </row>
    <row r="10" spans="3:15" ht="15.6" hidden="1">
      <c r="C10" s="769" t="s">
        <v>263</v>
      </c>
      <c r="D10" s="769" t="s">
        <v>296</v>
      </c>
      <c r="E10" s="769" t="s">
        <v>296</v>
      </c>
      <c r="F10" s="769" t="s">
        <v>769</v>
      </c>
      <c r="G10" s="769" t="s">
        <v>409</v>
      </c>
      <c r="H10" s="769" t="s">
        <v>296</v>
      </c>
      <c r="I10" s="769" t="s">
        <v>296</v>
      </c>
      <c r="J10" s="769" t="s">
        <v>296</v>
      </c>
      <c r="K10" s="769" t="s">
        <v>296</v>
      </c>
      <c r="L10" s="769" t="s">
        <v>296</v>
      </c>
      <c r="M10" s="768"/>
      <c r="N10" s="768"/>
      <c r="O10" s="767"/>
    </row>
    <row r="11" spans="3:15" ht="16.2" hidden="1" thickBot="1">
      <c r="C11" s="770"/>
      <c r="D11" s="770"/>
      <c r="E11" s="770"/>
      <c r="F11" s="770"/>
      <c r="G11" s="770"/>
      <c r="H11" s="770"/>
      <c r="I11" s="770"/>
      <c r="J11" s="770"/>
      <c r="K11" s="770"/>
      <c r="L11" s="770"/>
      <c r="M11" s="770"/>
      <c r="N11" s="770"/>
      <c r="O11" s="767"/>
    </row>
    <row r="12" spans="3:15" ht="16.2" hidden="1" thickTop="1">
      <c r="C12" s="766"/>
      <c r="D12" s="771"/>
      <c r="E12" s="771"/>
      <c r="F12" s="771"/>
      <c r="G12" s="771"/>
      <c r="H12" s="771"/>
      <c r="I12" s="771"/>
      <c r="J12" s="771"/>
      <c r="K12" s="771"/>
      <c r="L12" s="771"/>
      <c r="M12" s="771"/>
      <c r="N12" s="771"/>
      <c r="O12" s="767"/>
    </row>
    <row r="13" spans="3:15" ht="15.6" hidden="1">
      <c r="C13" s="769">
        <v>2009</v>
      </c>
      <c r="D13" s="772"/>
      <c r="E13" s="772"/>
      <c r="F13" s="772"/>
      <c r="G13" s="772"/>
      <c r="H13" s="772"/>
      <c r="I13" s="773"/>
      <c r="J13" s="773"/>
      <c r="K13" s="774"/>
      <c r="L13" s="772"/>
      <c r="M13" s="772"/>
      <c r="N13" s="773"/>
      <c r="O13" s="762"/>
    </row>
    <row r="14" spans="3:15" ht="15.6" hidden="1">
      <c r="C14" s="769"/>
      <c r="D14" s="772"/>
      <c r="E14" s="772"/>
      <c r="F14" s="772"/>
      <c r="G14" s="772"/>
      <c r="H14" s="772"/>
      <c r="I14" s="773"/>
      <c r="J14" s="773"/>
      <c r="K14" s="774"/>
      <c r="L14" s="772"/>
      <c r="M14" s="772"/>
      <c r="N14" s="773"/>
      <c r="O14" s="762"/>
    </row>
    <row r="15" spans="3:15" ht="15.6" hidden="1">
      <c r="C15" s="775" t="s">
        <v>298</v>
      </c>
      <c r="D15" s="776">
        <v>0</v>
      </c>
      <c r="E15" s="776">
        <v>0</v>
      </c>
      <c r="F15" s="776">
        <v>0</v>
      </c>
      <c r="G15" s="776">
        <v>0</v>
      </c>
      <c r="H15" s="776">
        <v>0</v>
      </c>
      <c r="I15" s="777">
        <v>0</v>
      </c>
      <c r="J15" s="777">
        <v>0</v>
      </c>
      <c r="K15" s="778">
        <v>0</v>
      </c>
      <c r="L15" s="776">
        <v>0</v>
      </c>
      <c r="M15" s="776">
        <v>0</v>
      </c>
      <c r="N15" s="777">
        <f>(SUM(D15:M15))</f>
        <v>0</v>
      </c>
    </row>
    <row r="16" spans="3:15" ht="15.6" hidden="1">
      <c r="C16" s="768"/>
      <c r="D16" s="776"/>
      <c r="E16" s="776"/>
      <c r="F16" s="776"/>
      <c r="G16" s="776"/>
      <c r="H16" s="776"/>
      <c r="I16" s="777"/>
      <c r="J16" s="777"/>
      <c r="K16" s="778"/>
      <c r="L16" s="776"/>
      <c r="M16" s="776"/>
      <c r="N16" s="777"/>
    </row>
    <row r="17" spans="3:14" ht="15.6" hidden="1">
      <c r="C17" s="768" t="s">
        <v>299</v>
      </c>
      <c r="D17" s="776">
        <v>0</v>
      </c>
      <c r="E17" s="776">
        <v>0</v>
      </c>
      <c r="F17" s="776">
        <v>0</v>
      </c>
      <c r="G17" s="776">
        <v>5.9999999999999995E-4</v>
      </c>
      <c r="H17" s="776">
        <v>0</v>
      </c>
      <c r="I17" s="777">
        <v>0</v>
      </c>
      <c r="J17" s="777">
        <v>0</v>
      </c>
      <c r="K17" s="778">
        <v>0</v>
      </c>
      <c r="L17" s="776">
        <v>0</v>
      </c>
      <c r="M17" s="776">
        <v>0</v>
      </c>
      <c r="N17" s="777">
        <f>(SUM(D17:M17))</f>
        <v>5.9999999999999995E-4</v>
      </c>
    </row>
    <row r="18" spans="3:14" ht="15.6" hidden="1">
      <c r="C18" s="768"/>
      <c r="D18" s="776"/>
      <c r="E18" s="776"/>
      <c r="F18" s="776"/>
      <c r="G18" s="776"/>
      <c r="H18" s="776"/>
      <c r="I18" s="777"/>
      <c r="J18" s="777"/>
      <c r="K18" s="778"/>
      <c r="L18" s="776"/>
      <c r="M18" s="776"/>
      <c r="N18" s="777"/>
    </row>
    <row r="19" spans="3:14" ht="15.6" hidden="1">
      <c r="C19" s="768" t="s">
        <v>300</v>
      </c>
      <c r="D19" s="776">
        <v>237820</v>
      </c>
      <c r="E19" s="776">
        <v>115914</v>
      </c>
      <c r="F19" s="776">
        <v>0</v>
      </c>
      <c r="G19" s="776">
        <v>0</v>
      </c>
      <c r="H19" s="776">
        <v>1934423</v>
      </c>
      <c r="I19" s="777">
        <v>807875</v>
      </c>
      <c r="J19" s="777">
        <v>0</v>
      </c>
      <c r="K19" s="778">
        <v>120749</v>
      </c>
      <c r="L19" s="776">
        <v>0</v>
      </c>
      <c r="M19" s="776">
        <v>972680</v>
      </c>
      <c r="N19" s="777">
        <f>(SUM(D19:M19))</f>
        <v>4189461</v>
      </c>
    </row>
    <row r="20" spans="3:14" ht="15.6" hidden="1">
      <c r="C20" s="768"/>
      <c r="D20" s="776"/>
      <c r="E20" s="776"/>
      <c r="F20" s="776"/>
      <c r="G20" s="776"/>
      <c r="H20" s="776"/>
      <c r="I20" s="777"/>
      <c r="J20" s="777"/>
      <c r="K20" s="778"/>
      <c r="L20" s="776"/>
      <c r="M20" s="776"/>
      <c r="N20" s="777"/>
    </row>
    <row r="21" spans="3:14" ht="15.6" hidden="1">
      <c r="C21" s="768" t="s">
        <v>301</v>
      </c>
      <c r="D21" s="776">
        <v>0</v>
      </c>
      <c r="E21" s="776">
        <v>0</v>
      </c>
      <c r="F21" s="776">
        <v>0</v>
      </c>
      <c r="G21" s="776">
        <v>0</v>
      </c>
      <c r="H21" s="776">
        <v>0</v>
      </c>
      <c r="I21" s="777">
        <v>0</v>
      </c>
      <c r="J21" s="777">
        <v>0</v>
      </c>
      <c r="K21" s="778">
        <v>0</v>
      </c>
      <c r="L21" s="776">
        <v>0</v>
      </c>
      <c r="M21" s="776">
        <v>0</v>
      </c>
      <c r="N21" s="777">
        <f>(SUM(D21:M21))</f>
        <v>0</v>
      </c>
    </row>
    <row r="22" spans="3:14" ht="15.6" hidden="1">
      <c r="C22" s="768"/>
      <c r="D22" s="776"/>
      <c r="E22" s="776"/>
      <c r="F22" s="776"/>
      <c r="G22" s="776"/>
      <c r="H22" s="776"/>
      <c r="I22" s="777"/>
      <c r="J22" s="777"/>
      <c r="K22" s="778"/>
      <c r="L22" s="776"/>
      <c r="M22" s="776"/>
      <c r="N22" s="777"/>
    </row>
    <row r="23" spans="3:14" ht="15.6" hidden="1">
      <c r="C23" s="768" t="s">
        <v>302</v>
      </c>
      <c r="D23" s="779">
        <v>0</v>
      </c>
      <c r="E23" s="779">
        <v>0</v>
      </c>
      <c r="F23" s="779">
        <v>0</v>
      </c>
      <c r="G23" s="779">
        <v>5.9999999999999995E-4</v>
      </c>
      <c r="H23" s="779">
        <v>200661.89</v>
      </c>
      <c r="I23" s="780">
        <v>300000</v>
      </c>
      <c r="J23" s="780">
        <v>0</v>
      </c>
      <c r="K23" s="781">
        <v>0</v>
      </c>
      <c r="L23" s="779">
        <v>0</v>
      </c>
      <c r="M23" s="779">
        <v>0</v>
      </c>
      <c r="N23" s="780">
        <f>(SUM(D23:M23))</f>
        <v>500661.89060000004</v>
      </c>
    </row>
    <row r="24" spans="3:14" ht="15.6" hidden="1">
      <c r="C24" s="768"/>
      <c r="D24" s="779"/>
      <c r="E24" s="779"/>
      <c r="F24" s="779"/>
      <c r="G24" s="779"/>
      <c r="H24" s="779"/>
      <c r="I24" s="780"/>
      <c r="J24" s="780"/>
      <c r="K24" s="781"/>
      <c r="L24" s="779"/>
      <c r="M24" s="779"/>
      <c r="N24" s="780"/>
    </row>
    <row r="25" spans="3:14" ht="15.6" hidden="1">
      <c r="C25" s="768" t="s">
        <v>303</v>
      </c>
      <c r="D25" s="779">
        <v>0</v>
      </c>
      <c r="E25" s="779">
        <v>0</v>
      </c>
      <c r="F25" s="779">
        <v>0</v>
      </c>
      <c r="G25" s="779">
        <v>0</v>
      </c>
      <c r="H25" s="779">
        <v>200661.89</v>
      </c>
      <c r="I25" s="780">
        <v>300000</v>
      </c>
      <c r="J25" s="780">
        <v>0</v>
      </c>
      <c r="K25" s="781">
        <v>0</v>
      </c>
      <c r="L25" s="779">
        <v>0</v>
      </c>
      <c r="M25" s="779">
        <f>(1.8+0.8)/10000</f>
        <v>2.6000000000000003E-4</v>
      </c>
      <c r="N25" s="780">
        <f>(SUM(D25:M25))</f>
        <v>500661.89026000001</v>
      </c>
    </row>
    <row r="26" spans="3:14" ht="15.6" hidden="1">
      <c r="C26" s="768"/>
      <c r="D26" s="779"/>
      <c r="E26" s="779"/>
      <c r="F26" s="779"/>
      <c r="G26" s="779"/>
      <c r="H26" s="779"/>
      <c r="I26" s="780"/>
      <c r="J26" s="780"/>
      <c r="K26" s="781"/>
      <c r="L26" s="779"/>
      <c r="M26" s="779"/>
      <c r="N26" s="780"/>
    </row>
    <row r="27" spans="3:14" ht="15.6" hidden="1">
      <c r="C27" s="768" t="s">
        <v>304</v>
      </c>
      <c r="D27" s="779">
        <v>1000785</v>
      </c>
      <c r="E27" s="779">
        <v>684901</v>
      </c>
      <c r="F27" s="779">
        <v>0</v>
      </c>
      <c r="G27" s="779">
        <v>499765</v>
      </c>
      <c r="H27" s="779">
        <v>5258277</v>
      </c>
      <c r="I27" s="780">
        <v>4828114.8</v>
      </c>
      <c r="J27" s="780">
        <v>0</v>
      </c>
      <c r="K27" s="781">
        <v>612296</v>
      </c>
      <c r="L27" s="779">
        <v>54326</v>
      </c>
      <c r="M27" s="779">
        <v>3827685</v>
      </c>
      <c r="N27" s="780">
        <f>(SUM(D27:M27))</f>
        <v>16766149.800000001</v>
      </c>
    </row>
    <row r="28" spans="3:14" ht="15.6" hidden="1">
      <c r="C28" s="768"/>
      <c r="D28" s="779"/>
      <c r="E28" s="779"/>
      <c r="F28" s="779"/>
      <c r="G28" s="779"/>
      <c r="H28" s="779"/>
      <c r="I28" s="780"/>
      <c r="J28" s="780"/>
      <c r="K28" s="781"/>
      <c r="L28" s="779"/>
      <c r="M28" s="779"/>
      <c r="N28" s="780"/>
    </row>
    <row r="29" spans="3:14" ht="15.6" hidden="1">
      <c r="C29" s="768" t="s">
        <v>305</v>
      </c>
      <c r="D29" s="779">
        <v>983081</v>
      </c>
      <c r="E29" s="779">
        <v>665901</v>
      </c>
      <c r="F29" s="779">
        <v>0</v>
      </c>
      <c r="G29" s="779">
        <v>744178</v>
      </c>
      <c r="H29" s="779">
        <v>5706302</v>
      </c>
      <c r="I29" s="780">
        <v>5105271</v>
      </c>
      <c r="J29" s="780">
        <v>0</v>
      </c>
      <c r="K29" s="781">
        <v>612296</v>
      </c>
      <c r="L29" s="779">
        <v>65246</v>
      </c>
      <c r="M29" s="779">
        <v>5929371</v>
      </c>
      <c r="N29" s="780">
        <f>SUM(D29:M29)</f>
        <v>19811646</v>
      </c>
    </row>
    <row r="30" spans="3:14" ht="15.6" hidden="1">
      <c r="C30" s="768"/>
      <c r="D30" s="779"/>
      <c r="E30" s="779"/>
      <c r="F30" s="779"/>
      <c r="G30" s="779"/>
      <c r="H30" s="779"/>
      <c r="I30" s="780"/>
      <c r="J30" s="780"/>
      <c r="K30" s="781"/>
      <c r="L30" s="779"/>
      <c r="M30" s="779"/>
      <c r="N30" s="780"/>
    </row>
    <row r="31" spans="3:14" ht="15.6" hidden="1">
      <c r="C31" s="768" t="s">
        <v>306</v>
      </c>
      <c r="D31" s="779">
        <v>1508624</v>
      </c>
      <c r="E31" s="779">
        <v>665901</v>
      </c>
      <c r="F31" s="779">
        <v>0</v>
      </c>
      <c r="G31" s="779">
        <v>612672</v>
      </c>
      <c r="H31" s="779">
        <v>4282705</v>
      </c>
      <c r="I31" s="780">
        <v>4839271</v>
      </c>
      <c r="J31" s="780">
        <v>0</v>
      </c>
      <c r="K31" s="781">
        <v>649881</v>
      </c>
      <c r="L31" s="779">
        <v>236209</v>
      </c>
      <c r="M31" s="779">
        <v>6733767</v>
      </c>
      <c r="N31" s="780">
        <f>SUM(D31:M31)</f>
        <v>19529030</v>
      </c>
    </row>
    <row r="32" spans="3:14" ht="15.6" hidden="1">
      <c r="C32" s="768"/>
      <c r="D32" s="779"/>
      <c r="E32" s="779"/>
      <c r="F32" s="779"/>
      <c r="G32" s="779"/>
      <c r="H32" s="779"/>
      <c r="I32" s="780"/>
      <c r="J32" s="780"/>
      <c r="K32" s="781"/>
      <c r="L32" s="779"/>
      <c r="M32" s="779"/>
      <c r="N32" s="780"/>
    </row>
    <row r="33" spans="3:14" ht="15.6" hidden="1">
      <c r="C33" s="768" t="s">
        <v>307</v>
      </c>
      <c r="D33" s="779">
        <v>775502</v>
      </c>
      <c r="E33" s="779">
        <v>945890</v>
      </c>
      <c r="F33" s="779">
        <v>0</v>
      </c>
      <c r="G33" s="779">
        <v>709794</v>
      </c>
      <c r="H33" s="779">
        <v>7814867</v>
      </c>
      <c r="I33" s="780">
        <v>6561894</v>
      </c>
      <c r="J33" s="780">
        <v>54000</v>
      </c>
      <c r="K33" s="781">
        <v>6436909</v>
      </c>
      <c r="L33" s="779">
        <v>394671</v>
      </c>
      <c r="M33" s="779">
        <v>5789310</v>
      </c>
      <c r="N33" s="780">
        <f>SUM(D33:M33)</f>
        <v>29482837</v>
      </c>
    </row>
    <row r="34" spans="3:14" ht="15.6" hidden="1">
      <c r="C34" s="768"/>
      <c r="D34" s="779"/>
      <c r="E34" s="779"/>
      <c r="F34" s="779"/>
      <c r="G34" s="779"/>
      <c r="H34" s="779"/>
      <c r="I34" s="780"/>
      <c r="J34" s="780"/>
      <c r="K34" s="781"/>
      <c r="L34" s="779"/>
      <c r="M34" s="779"/>
      <c r="N34" s="780"/>
    </row>
    <row r="35" spans="3:14" ht="15.6" hidden="1">
      <c r="C35" s="768" t="s">
        <v>308</v>
      </c>
      <c r="D35" s="779">
        <v>1013163</v>
      </c>
      <c r="E35" s="779">
        <v>1010890</v>
      </c>
      <c r="F35" s="779">
        <v>0</v>
      </c>
      <c r="G35" s="779">
        <v>709794</v>
      </c>
      <c r="H35" s="779">
        <v>12456534</v>
      </c>
      <c r="I35" s="780">
        <v>7638823</v>
      </c>
      <c r="J35" s="780">
        <v>149109</v>
      </c>
      <c r="K35" s="781">
        <v>6436909</v>
      </c>
      <c r="L35" s="779">
        <v>1024975</v>
      </c>
      <c r="M35" s="779">
        <v>5789310</v>
      </c>
      <c r="N35" s="780">
        <f>SUM(D35:M35)</f>
        <v>36229507</v>
      </c>
    </row>
    <row r="36" spans="3:14" ht="15.6" hidden="1">
      <c r="C36" s="768"/>
      <c r="D36" s="779"/>
      <c r="E36" s="779"/>
      <c r="F36" s="779"/>
      <c r="G36" s="779"/>
      <c r="H36" s="779"/>
      <c r="I36" s="780"/>
      <c r="J36" s="780"/>
      <c r="K36" s="781"/>
      <c r="L36" s="779"/>
      <c r="M36" s="779"/>
      <c r="N36" s="780"/>
    </row>
    <row r="37" spans="3:14" ht="15.6" hidden="1">
      <c r="C37" s="768" t="s">
        <v>311</v>
      </c>
      <c r="D37" s="779">
        <v>1193835.6000000001</v>
      </c>
      <c r="E37" s="779">
        <v>1231970.1000000001</v>
      </c>
      <c r="F37" s="779">
        <v>0</v>
      </c>
      <c r="G37" s="779">
        <v>391607.83</v>
      </c>
      <c r="H37" s="779">
        <v>14598620.800000001</v>
      </c>
      <c r="I37" s="780">
        <v>9154976.6999999993</v>
      </c>
      <c r="J37" s="780">
        <v>158958</v>
      </c>
      <c r="K37" s="781">
        <v>1670706.4</v>
      </c>
      <c r="L37" s="779">
        <v>1053437</v>
      </c>
      <c r="M37" s="779">
        <v>6039430.6500000004</v>
      </c>
      <c r="N37" s="780">
        <f>SUM(D37:M37)</f>
        <v>35493543.079999998</v>
      </c>
    </row>
    <row r="38" spans="3:14" ht="15.6" hidden="1">
      <c r="C38" s="768"/>
      <c r="D38" s="779"/>
      <c r="E38" s="779"/>
      <c r="F38" s="779"/>
      <c r="G38" s="779"/>
      <c r="H38" s="779"/>
      <c r="I38" s="780"/>
      <c r="J38" s="780"/>
      <c r="K38" s="781"/>
      <c r="L38" s="779"/>
      <c r="M38" s="779"/>
      <c r="N38" s="780"/>
    </row>
    <row r="39" spans="3:14" ht="15.6" hidden="1">
      <c r="C39" s="769">
        <v>2010</v>
      </c>
      <c r="D39" s="779"/>
      <c r="E39" s="779"/>
      <c r="F39" s="779"/>
      <c r="G39" s="779"/>
      <c r="H39" s="779"/>
      <c r="I39" s="780"/>
      <c r="J39" s="780"/>
      <c r="K39" s="781"/>
      <c r="L39" s="779"/>
      <c r="M39" s="779"/>
      <c r="N39" s="780"/>
    </row>
    <row r="40" spans="3:14" ht="15.6" hidden="1">
      <c r="C40" s="768"/>
      <c r="D40" s="779"/>
      <c r="E40" s="779"/>
      <c r="F40" s="779"/>
      <c r="G40" s="779"/>
      <c r="H40" s="779"/>
      <c r="I40" s="780"/>
      <c r="J40" s="780"/>
      <c r="K40" s="781"/>
      <c r="L40" s="779"/>
      <c r="M40" s="779"/>
      <c r="N40" s="780"/>
    </row>
    <row r="41" spans="3:14" ht="15.6" hidden="1">
      <c r="C41" s="768" t="s">
        <v>298</v>
      </c>
      <c r="D41" s="779">
        <v>2472979.1</v>
      </c>
      <c r="E41" s="779">
        <v>1076970.1000000001</v>
      </c>
      <c r="F41" s="779">
        <v>0</v>
      </c>
      <c r="G41" s="779">
        <v>319485.24</v>
      </c>
      <c r="H41" s="779">
        <v>25047608.600000001</v>
      </c>
      <c r="I41" s="780">
        <v>11283654.9</v>
      </c>
      <c r="J41" s="780">
        <v>320190</v>
      </c>
      <c r="K41" s="781">
        <v>0</v>
      </c>
      <c r="L41" s="779">
        <v>2121945</v>
      </c>
      <c r="M41" s="779">
        <f>1778289.47+10289999.9+5103014.58</f>
        <v>17171303.950000003</v>
      </c>
      <c r="N41" s="780">
        <f>SUM(D41:M41)</f>
        <v>59814136.890000008</v>
      </c>
    </row>
    <row r="42" spans="3:14" ht="15.6" hidden="1">
      <c r="C42" s="768"/>
      <c r="D42" s="779"/>
      <c r="E42" s="779"/>
      <c r="F42" s="779"/>
      <c r="G42" s="779"/>
      <c r="H42" s="779"/>
      <c r="I42" s="780"/>
      <c r="J42" s="780"/>
      <c r="K42" s="781"/>
      <c r="L42" s="779"/>
      <c r="M42" s="779"/>
      <c r="N42" s="780"/>
    </row>
    <row r="43" spans="3:14" ht="15.6" hidden="1">
      <c r="C43" s="768" t="s">
        <v>299</v>
      </c>
      <c r="D43" s="779">
        <v>3378510</v>
      </c>
      <c r="E43" s="779">
        <v>3169845</v>
      </c>
      <c r="F43" s="779">
        <v>500000</v>
      </c>
      <c r="G43" s="779">
        <v>131355</v>
      </c>
      <c r="H43" s="779">
        <v>23671033.800000001</v>
      </c>
      <c r="I43" s="780">
        <v>9599361</v>
      </c>
      <c r="J43" s="780">
        <v>286858</v>
      </c>
      <c r="K43" s="781">
        <v>200000</v>
      </c>
      <c r="L43" s="779">
        <v>1901051</v>
      </c>
      <c r="M43" s="779">
        <f>3170253+10310000</f>
        <v>13480253</v>
      </c>
      <c r="N43" s="780">
        <f>SUM(D43:M43)</f>
        <v>56318266.799999997</v>
      </c>
    </row>
    <row r="44" spans="3:14" ht="15.6" hidden="1">
      <c r="C44" s="768"/>
      <c r="D44" s="779"/>
      <c r="E44" s="779"/>
      <c r="F44" s="779"/>
      <c r="G44" s="779"/>
      <c r="H44" s="779"/>
      <c r="I44" s="780"/>
      <c r="J44" s="780"/>
      <c r="K44" s="781"/>
      <c r="L44" s="779"/>
      <c r="M44" s="779"/>
      <c r="N44" s="780"/>
    </row>
    <row r="45" spans="3:14" ht="15.6" hidden="1">
      <c r="C45" s="768" t="s">
        <v>300</v>
      </c>
      <c r="D45" s="779">
        <v>3648583</v>
      </c>
      <c r="E45" s="779">
        <v>3169845</v>
      </c>
      <c r="F45" s="779">
        <v>500000</v>
      </c>
      <c r="G45" s="779">
        <v>131355</v>
      </c>
      <c r="H45" s="779">
        <v>32580119.899999999</v>
      </c>
      <c r="I45" s="780">
        <v>11503984</v>
      </c>
      <c r="J45" s="780">
        <v>386935</v>
      </c>
      <c r="K45" s="781">
        <v>200000</v>
      </c>
      <c r="L45" s="779">
        <v>2564272</v>
      </c>
      <c r="M45" s="779">
        <f>3701753+10310000+0</f>
        <v>14011753</v>
      </c>
      <c r="N45" s="780">
        <f>SUM(D45:M45)</f>
        <v>68696846.900000006</v>
      </c>
    </row>
    <row r="46" spans="3:14" ht="15.6" hidden="1">
      <c r="C46" s="768"/>
      <c r="D46" s="779"/>
      <c r="E46" s="779"/>
      <c r="F46" s="779"/>
      <c r="G46" s="779"/>
      <c r="H46" s="779"/>
      <c r="I46" s="780"/>
      <c r="J46" s="780"/>
      <c r="K46" s="781"/>
      <c r="L46" s="779"/>
      <c r="M46" s="779"/>
      <c r="N46" s="780"/>
    </row>
    <row r="47" spans="3:14" ht="15.6" hidden="1">
      <c r="C47" s="768" t="s">
        <v>301</v>
      </c>
      <c r="D47" s="779">
        <v>4013544</v>
      </c>
      <c r="E47" s="779">
        <v>2851873</v>
      </c>
      <c r="F47" s="779">
        <v>0</v>
      </c>
      <c r="G47" s="779">
        <v>821250</v>
      </c>
      <c r="H47" s="779">
        <v>34634572.899999999</v>
      </c>
      <c r="I47" s="780">
        <v>15279765.1</v>
      </c>
      <c r="J47" s="780">
        <v>946155</v>
      </c>
      <c r="K47" s="781">
        <v>249000</v>
      </c>
      <c r="L47" s="779">
        <v>2824192</v>
      </c>
      <c r="M47" s="779">
        <f>2680122+10000000</f>
        <v>12680122</v>
      </c>
      <c r="N47" s="780">
        <f>SUM(D47:M47)</f>
        <v>74300474</v>
      </c>
    </row>
    <row r="48" spans="3:14" ht="15.6" hidden="1">
      <c r="C48" s="768"/>
      <c r="D48" s="779"/>
      <c r="E48" s="779"/>
      <c r="F48" s="779"/>
      <c r="G48" s="779"/>
      <c r="H48" s="779"/>
      <c r="I48" s="780"/>
      <c r="J48" s="780"/>
      <c r="K48" s="781"/>
      <c r="L48" s="779"/>
      <c r="M48" s="779"/>
      <c r="N48" s="780"/>
    </row>
    <row r="49" spans="3:14" ht="15.6" hidden="1">
      <c r="C49" s="768" t="s">
        <v>302</v>
      </c>
      <c r="D49" s="779">
        <v>5891095.9000000004</v>
      </c>
      <c r="E49" s="779">
        <v>3312752.5</v>
      </c>
      <c r="F49" s="779">
        <v>10322644</v>
      </c>
      <c r="G49" s="779">
        <v>0</v>
      </c>
      <c r="H49" s="779">
        <v>22018964.600000001</v>
      </c>
      <c r="I49" s="780">
        <v>13633545.699999999</v>
      </c>
      <c r="J49" s="780">
        <v>6623701</v>
      </c>
      <c r="K49" s="781">
        <v>274482</v>
      </c>
      <c r="L49" s="779">
        <v>264832</v>
      </c>
      <c r="M49" s="779">
        <f>3026838.75+10000000</f>
        <v>13026838.75</v>
      </c>
      <c r="N49" s="780">
        <f>SUM(D49:M49)</f>
        <v>75368856.450000003</v>
      </c>
    </row>
    <row r="50" spans="3:14" ht="15.6" hidden="1">
      <c r="C50" s="768"/>
      <c r="D50" s="779"/>
      <c r="E50" s="779"/>
      <c r="F50" s="779"/>
      <c r="G50" s="779"/>
      <c r="H50" s="779"/>
      <c r="I50" s="780"/>
      <c r="J50" s="780"/>
      <c r="K50" s="781"/>
      <c r="L50" s="779"/>
      <c r="M50" s="779"/>
      <c r="N50" s="780"/>
    </row>
    <row r="51" spans="3:14" ht="15.6" hidden="1">
      <c r="C51" s="768" t="s">
        <v>303</v>
      </c>
      <c r="D51" s="779">
        <v>19105377</v>
      </c>
      <c r="E51" s="779">
        <v>4831871.3</v>
      </c>
      <c r="F51" s="779">
        <v>12431488</v>
      </c>
      <c r="G51" s="779">
        <v>0</v>
      </c>
      <c r="H51" s="779">
        <v>28745717.699999999</v>
      </c>
      <c r="I51" s="780">
        <v>19539060</v>
      </c>
      <c r="J51" s="780">
        <v>9131270.6600000001</v>
      </c>
      <c r="K51" s="781">
        <v>2649560.4</v>
      </c>
      <c r="L51" s="779">
        <v>318936</v>
      </c>
      <c r="M51" s="779">
        <f>707871+10000000</f>
        <v>10707871</v>
      </c>
      <c r="N51" s="780">
        <f>SUM(D51:M51)</f>
        <v>107461152.06</v>
      </c>
    </row>
    <row r="52" spans="3:14" ht="15.6" hidden="1">
      <c r="C52" s="768"/>
      <c r="D52" s="779"/>
      <c r="E52" s="779"/>
      <c r="F52" s="779"/>
      <c r="G52" s="779"/>
      <c r="H52" s="779"/>
      <c r="I52" s="780"/>
      <c r="J52" s="780"/>
      <c r="K52" s="781"/>
      <c r="L52" s="779"/>
      <c r="M52" s="779"/>
      <c r="N52" s="780"/>
    </row>
    <row r="53" spans="3:14" ht="15.6" hidden="1">
      <c r="C53" s="768" t="s">
        <v>304</v>
      </c>
      <c r="D53" s="779">
        <v>14350758</v>
      </c>
      <c r="E53" s="779">
        <v>6232853.0999999996</v>
      </c>
      <c r="F53" s="779">
        <v>8992763</v>
      </c>
      <c r="G53" s="779">
        <v>0</v>
      </c>
      <c r="H53" s="779">
        <v>23145230.600000001</v>
      </c>
      <c r="I53" s="780">
        <v>19362598.300000001</v>
      </c>
      <c r="J53" s="780">
        <v>8678240.5399999991</v>
      </c>
      <c r="K53" s="781">
        <v>1114771</v>
      </c>
      <c r="L53" s="779">
        <v>1803263</v>
      </c>
      <c r="M53" s="779">
        <f>1217387+1000000</f>
        <v>2217387</v>
      </c>
      <c r="N53" s="780">
        <f>SUM(D53:M53)</f>
        <v>85897864.539999992</v>
      </c>
    </row>
    <row r="54" spans="3:14" ht="15.6" hidden="1">
      <c r="C54" s="768"/>
      <c r="D54" s="779"/>
      <c r="E54" s="779"/>
      <c r="F54" s="779"/>
      <c r="G54" s="779"/>
      <c r="H54" s="779"/>
      <c r="I54" s="780"/>
      <c r="J54" s="780"/>
      <c r="K54" s="781"/>
      <c r="L54" s="779"/>
      <c r="M54" s="779"/>
      <c r="N54" s="780"/>
    </row>
    <row r="55" spans="3:14" ht="15.6" hidden="1">
      <c r="C55" s="768" t="s">
        <v>305</v>
      </c>
      <c r="D55" s="779">
        <v>24637677.399999999</v>
      </c>
      <c r="E55" s="779">
        <v>6710148.7999999998</v>
      </c>
      <c r="F55" s="779">
        <v>10391494</v>
      </c>
      <c r="G55" s="779">
        <v>42372.22</v>
      </c>
      <c r="H55" s="779">
        <v>24416161.699999999</v>
      </c>
      <c r="I55" s="780">
        <v>16570748.9</v>
      </c>
      <c r="J55" s="780">
        <v>9933195.0199999996</v>
      </c>
      <c r="K55" s="781">
        <v>469327</v>
      </c>
      <c r="L55" s="779">
        <v>266599</v>
      </c>
      <c r="M55" s="779">
        <f>1074530+8000000+1572550.42</f>
        <v>10647080.42</v>
      </c>
      <c r="N55" s="780">
        <f>SUM(D55:M55)</f>
        <v>104084804.46000001</v>
      </c>
    </row>
    <row r="56" spans="3:14" ht="15.6" hidden="1">
      <c r="C56" s="768"/>
      <c r="D56" s="779"/>
      <c r="E56" s="779"/>
      <c r="F56" s="779"/>
      <c r="G56" s="779"/>
      <c r="H56" s="779"/>
      <c r="I56" s="780"/>
      <c r="J56" s="780"/>
      <c r="K56" s="781"/>
      <c r="L56" s="779"/>
      <c r="M56" s="779"/>
      <c r="N56" s="780"/>
    </row>
    <row r="57" spans="3:14" ht="15.6" hidden="1">
      <c r="C57" s="768" t="s">
        <v>306</v>
      </c>
      <c r="D57" s="779">
        <v>29622709.100000001</v>
      </c>
      <c r="E57" s="779">
        <v>5693356.0999999996</v>
      </c>
      <c r="F57" s="779">
        <v>16433560</v>
      </c>
      <c r="G57" s="779">
        <v>42372.22</v>
      </c>
      <c r="H57" s="779">
        <v>20093036.300000001</v>
      </c>
      <c r="I57" s="780">
        <v>17018719.5</v>
      </c>
      <c r="J57" s="780">
        <v>9188246.9600000009</v>
      </c>
      <c r="K57" s="781">
        <v>1341232.1000000001</v>
      </c>
      <c r="L57" s="779">
        <v>1625551</v>
      </c>
      <c r="M57" s="779">
        <f>1905335+7000000+3011106</f>
        <v>11916441</v>
      </c>
      <c r="N57" s="780">
        <f>SUM(D57:M57)</f>
        <v>112975224.28</v>
      </c>
    </row>
    <row r="58" spans="3:14" ht="15.6" hidden="1">
      <c r="C58" s="768"/>
      <c r="D58" s="779"/>
      <c r="E58" s="779"/>
      <c r="F58" s="779"/>
      <c r="G58" s="779"/>
      <c r="H58" s="779"/>
      <c r="I58" s="780"/>
      <c r="J58" s="780"/>
      <c r="K58" s="781"/>
      <c r="L58" s="782"/>
      <c r="M58" s="779"/>
      <c r="N58" s="780"/>
    </row>
    <row r="59" spans="3:14" ht="15.6" hidden="1">
      <c r="C59" s="768" t="s">
        <v>307</v>
      </c>
      <c r="D59" s="779">
        <v>30196630.600000001</v>
      </c>
      <c r="E59" s="779">
        <v>7300969</v>
      </c>
      <c r="F59" s="779">
        <v>16799294</v>
      </c>
      <c r="G59" s="779">
        <v>0</v>
      </c>
      <c r="H59" s="779">
        <v>18670568</v>
      </c>
      <c r="I59" s="780">
        <v>16458805.6</v>
      </c>
      <c r="J59" s="780">
        <v>10828050.5</v>
      </c>
      <c r="K59" s="781">
        <v>1289126.3</v>
      </c>
      <c r="L59" s="779">
        <v>1661729</v>
      </c>
      <c r="M59" s="779">
        <f>4464167.92+3011106+8005000</f>
        <v>15480273.92</v>
      </c>
      <c r="N59" s="780">
        <f>SUM(D59:M59)</f>
        <v>118685446.91999999</v>
      </c>
    </row>
    <row r="60" spans="3:14" ht="15.6" hidden="1">
      <c r="C60" s="768"/>
      <c r="D60" s="779"/>
      <c r="E60" s="779"/>
      <c r="F60" s="779"/>
      <c r="G60" s="779"/>
      <c r="H60" s="779"/>
      <c r="I60" s="780"/>
      <c r="J60" s="780"/>
      <c r="K60" s="781"/>
      <c r="L60" s="779"/>
      <c r="M60" s="779"/>
      <c r="N60" s="780"/>
    </row>
    <row r="61" spans="3:14" ht="15.6" hidden="1">
      <c r="C61" s="768" t="s">
        <v>308</v>
      </c>
      <c r="D61" s="779">
        <v>30379851.100000001</v>
      </c>
      <c r="E61" s="779">
        <v>9348199.1999999993</v>
      </c>
      <c r="F61" s="779">
        <v>19101922</v>
      </c>
      <c r="G61" s="779">
        <v>0</v>
      </c>
      <c r="H61" s="779">
        <v>15618589.6</v>
      </c>
      <c r="I61" s="780">
        <v>15916065.699999999</v>
      </c>
      <c r="J61" s="780">
        <v>11251994.619999999</v>
      </c>
      <c r="K61" s="781">
        <v>1159424.3</v>
      </c>
      <c r="L61" s="779">
        <v>1889497</v>
      </c>
      <c r="M61" s="779">
        <f>1960944+8033125+3011106</f>
        <v>13005175</v>
      </c>
      <c r="N61" s="780">
        <f>SUM(D61:M61)</f>
        <v>117670718.52</v>
      </c>
    </row>
    <row r="62" spans="3:14" ht="15.6" hidden="1">
      <c r="C62" s="768"/>
      <c r="D62" s="783"/>
      <c r="E62" s="783"/>
      <c r="F62" s="776"/>
      <c r="G62" s="784"/>
      <c r="H62" s="783"/>
      <c r="I62" s="782"/>
      <c r="J62" s="785"/>
      <c r="K62" s="786"/>
      <c r="L62" s="784"/>
      <c r="M62" s="784"/>
      <c r="N62" s="777"/>
    </row>
    <row r="63" spans="3:14" ht="15.6" hidden="1">
      <c r="C63" s="768" t="s">
        <v>311</v>
      </c>
      <c r="D63" s="779">
        <v>27161157.5</v>
      </c>
      <c r="E63" s="779">
        <v>7334502.5999999996</v>
      </c>
      <c r="F63" s="779">
        <v>1684420</v>
      </c>
      <c r="G63" s="779">
        <v>3798557.68</v>
      </c>
      <c r="H63" s="779">
        <v>29595316.699999999</v>
      </c>
      <c r="I63" s="780">
        <v>18008011.199999999</v>
      </c>
      <c r="J63" s="780">
        <v>3671234.86</v>
      </c>
      <c r="K63" s="780">
        <v>861188.6</v>
      </c>
      <c r="L63" s="780">
        <v>13847126.02</v>
      </c>
      <c r="M63" s="780">
        <f>334972.85+29875926+4059502.5</f>
        <v>34270401.350000001</v>
      </c>
      <c r="N63" s="780">
        <f>SUM(D63:M63)</f>
        <v>140231916.50999999</v>
      </c>
    </row>
    <row r="64" spans="3:14" ht="15.6" hidden="1">
      <c r="C64" s="768"/>
      <c r="D64" s="783"/>
      <c r="E64" s="783"/>
      <c r="F64" s="776"/>
      <c r="G64" s="784"/>
      <c r="H64" s="783"/>
      <c r="I64" s="782"/>
      <c r="J64" s="785"/>
      <c r="K64" s="786"/>
      <c r="L64" s="784"/>
      <c r="M64" s="784"/>
      <c r="N64" s="777"/>
    </row>
    <row r="65" spans="3:14" hidden="1">
      <c r="C65" s="787">
        <v>2011</v>
      </c>
      <c r="D65" s="787"/>
      <c r="E65" s="787"/>
      <c r="F65" s="787"/>
      <c r="G65" s="787"/>
      <c r="H65" s="787"/>
      <c r="I65" s="787"/>
      <c r="J65" s="787"/>
      <c r="K65" s="787"/>
      <c r="L65" s="787"/>
      <c r="M65" s="787"/>
      <c r="N65" s="787"/>
    </row>
    <row r="66" spans="3:14" hidden="1">
      <c r="C66" s="788"/>
      <c r="D66" s="787"/>
      <c r="E66" s="787"/>
      <c r="F66" s="787"/>
      <c r="G66" s="787"/>
      <c r="H66" s="787"/>
      <c r="I66" s="787"/>
      <c r="J66" s="787"/>
      <c r="K66" s="787"/>
      <c r="L66" s="787"/>
      <c r="M66" s="787"/>
      <c r="N66" s="787"/>
    </row>
    <row r="67" spans="3:14" hidden="1">
      <c r="C67" s="788" t="s">
        <v>1210</v>
      </c>
      <c r="D67" s="789">
        <v>25134</v>
      </c>
      <c r="E67" s="789">
        <v>6396.6</v>
      </c>
      <c r="F67" s="789">
        <v>1684.4</v>
      </c>
      <c r="G67" s="787">
        <v>130</v>
      </c>
      <c r="H67" s="789">
        <v>33856.300000000003</v>
      </c>
      <c r="I67" s="789">
        <v>15894.3</v>
      </c>
      <c r="J67" s="789">
        <v>4372.5</v>
      </c>
      <c r="K67" s="787">
        <v>500.6</v>
      </c>
      <c r="L67" s="789">
        <v>12675.4</v>
      </c>
      <c r="M67" s="789">
        <v>36023.4</v>
      </c>
      <c r="N67" s="789">
        <v>136667.6</v>
      </c>
    </row>
    <row r="68" spans="3:14" hidden="1">
      <c r="C68" s="788" t="s">
        <v>1211</v>
      </c>
      <c r="D68" s="789">
        <v>27373.5</v>
      </c>
      <c r="E68" s="789">
        <v>3603.9</v>
      </c>
      <c r="F68" s="789">
        <v>7214.7</v>
      </c>
      <c r="G68" s="787">
        <v>130</v>
      </c>
      <c r="H68" s="789">
        <v>36434.199999999997</v>
      </c>
      <c r="I68" s="789">
        <v>13157.5</v>
      </c>
      <c r="J68" s="789">
        <v>19392.5</v>
      </c>
      <c r="K68" s="787">
        <v>0</v>
      </c>
      <c r="L68" s="789">
        <v>2345</v>
      </c>
      <c r="M68" s="789">
        <v>16395.900000000001</v>
      </c>
      <c r="N68" s="789">
        <v>126047.3</v>
      </c>
    </row>
    <row r="69" spans="3:14" hidden="1">
      <c r="C69" s="788" t="s">
        <v>300</v>
      </c>
      <c r="D69" s="789">
        <v>27028.3</v>
      </c>
      <c r="E69" s="789">
        <v>4455.7</v>
      </c>
      <c r="F69" s="789">
        <v>10405.799999999999</v>
      </c>
      <c r="G69" s="789">
        <v>21752.799999999999</v>
      </c>
      <c r="H69" s="789">
        <v>19162</v>
      </c>
      <c r="I69" s="789">
        <v>27427.8</v>
      </c>
      <c r="J69" s="789">
        <v>26732.7</v>
      </c>
      <c r="K69" s="789">
        <v>2047.9</v>
      </c>
      <c r="L69" s="789">
        <v>9387.5</v>
      </c>
      <c r="M69" s="789">
        <v>3996.1</v>
      </c>
      <c r="N69" s="789">
        <v>152396.79999999999</v>
      </c>
    </row>
    <row r="70" spans="3:14" hidden="1">
      <c r="C70" s="788" t="s">
        <v>301</v>
      </c>
      <c r="D70" s="789">
        <v>27726.9</v>
      </c>
      <c r="E70" s="789">
        <v>7669.6</v>
      </c>
      <c r="F70" s="789">
        <v>6851.5</v>
      </c>
      <c r="G70" s="789">
        <v>6781.2</v>
      </c>
      <c r="H70" s="789">
        <v>48029.5</v>
      </c>
      <c r="I70" s="789">
        <v>23164.7</v>
      </c>
      <c r="J70" s="789">
        <v>18622.400000000001</v>
      </c>
      <c r="K70" s="787">
        <v>0</v>
      </c>
      <c r="L70" s="789">
        <v>9295.4</v>
      </c>
      <c r="M70" s="789">
        <v>14363.4</v>
      </c>
      <c r="N70" s="789">
        <v>162504.5</v>
      </c>
    </row>
    <row r="71" spans="3:14" hidden="1">
      <c r="C71" s="788" t="s">
        <v>302</v>
      </c>
      <c r="D71" s="789">
        <v>29623.1</v>
      </c>
      <c r="E71" s="789">
        <v>3686.2</v>
      </c>
      <c r="F71" s="789">
        <v>4832.7</v>
      </c>
      <c r="G71" s="789">
        <v>19683.2</v>
      </c>
      <c r="H71" s="789">
        <v>26774.799999999999</v>
      </c>
      <c r="I71" s="789">
        <v>20746.3</v>
      </c>
      <c r="J71" s="789">
        <v>23732.7</v>
      </c>
      <c r="K71" s="789">
        <v>2047.9</v>
      </c>
      <c r="L71" s="789">
        <v>2646.6</v>
      </c>
      <c r="M71" s="789">
        <v>11162.9</v>
      </c>
      <c r="N71" s="789">
        <v>144936.6</v>
      </c>
    </row>
    <row r="72" spans="3:14" hidden="1">
      <c r="C72" s="788" t="s">
        <v>303</v>
      </c>
      <c r="D72" s="789">
        <v>31451.9</v>
      </c>
      <c r="E72" s="789">
        <v>2584.1999999999998</v>
      </c>
      <c r="F72" s="789">
        <v>3759.8</v>
      </c>
      <c r="G72" s="787">
        <v>0</v>
      </c>
      <c r="H72" s="789">
        <v>20032.7</v>
      </c>
      <c r="I72" s="789">
        <v>17449.400000000001</v>
      </c>
      <c r="J72" s="789">
        <v>10959.7</v>
      </c>
      <c r="K72" s="789">
        <v>2047.9</v>
      </c>
      <c r="L72" s="789">
        <v>1390.4</v>
      </c>
      <c r="M72" s="789">
        <v>9225</v>
      </c>
      <c r="N72" s="789">
        <v>98901</v>
      </c>
    </row>
    <row r="73" spans="3:14" hidden="1">
      <c r="C73" s="788" t="s">
        <v>304</v>
      </c>
      <c r="D73" s="789">
        <v>18573</v>
      </c>
      <c r="E73" s="789">
        <v>2884.2</v>
      </c>
      <c r="F73" s="789">
        <v>2820</v>
      </c>
      <c r="G73" s="787">
        <v>0</v>
      </c>
      <c r="H73" s="789">
        <v>46701.5</v>
      </c>
      <c r="I73" s="789">
        <v>17388.099999999999</v>
      </c>
      <c r="J73" s="789">
        <v>19054.3</v>
      </c>
      <c r="K73" s="787">
        <v>50</v>
      </c>
      <c r="L73" s="789">
        <v>5226.8999999999996</v>
      </c>
      <c r="M73" s="789">
        <v>3685.1</v>
      </c>
      <c r="N73" s="789">
        <v>116383.1</v>
      </c>
    </row>
    <row r="74" spans="3:14" hidden="1">
      <c r="C74" s="788" t="s">
        <v>305</v>
      </c>
      <c r="D74" s="789">
        <v>14774</v>
      </c>
      <c r="E74" s="789">
        <v>3711</v>
      </c>
      <c r="F74" s="789">
        <v>22820</v>
      </c>
      <c r="G74" s="787">
        <v>0</v>
      </c>
      <c r="H74" s="789">
        <v>43118.2</v>
      </c>
      <c r="I74" s="789">
        <v>14808.9</v>
      </c>
      <c r="J74" s="789">
        <v>9946.5</v>
      </c>
      <c r="K74" s="787">
        <v>300</v>
      </c>
      <c r="L74" s="789">
        <v>4666.8999999999996</v>
      </c>
      <c r="M74" s="787">
        <v>0</v>
      </c>
      <c r="N74" s="789">
        <v>97830.5</v>
      </c>
    </row>
    <row r="75" spans="3:14" hidden="1">
      <c r="C75" s="788" t="s">
        <v>306</v>
      </c>
      <c r="D75" s="789">
        <v>14947.1</v>
      </c>
      <c r="E75" s="789">
        <v>3711</v>
      </c>
      <c r="F75" s="787">
        <v>0</v>
      </c>
      <c r="G75" s="789">
        <v>3321.2</v>
      </c>
      <c r="H75" s="789">
        <v>46598.8</v>
      </c>
      <c r="I75" s="789">
        <v>17437.599999999999</v>
      </c>
      <c r="J75" s="789">
        <v>12676.5</v>
      </c>
      <c r="K75" s="787">
        <v>123.4</v>
      </c>
      <c r="L75" s="789">
        <v>5306</v>
      </c>
      <c r="M75" s="789">
        <v>4270.8</v>
      </c>
      <c r="N75" s="789">
        <v>108392.3</v>
      </c>
    </row>
    <row r="76" spans="3:14" hidden="1">
      <c r="C76" s="788" t="s">
        <v>307</v>
      </c>
      <c r="D76" s="789">
        <v>15821.2</v>
      </c>
      <c r="E76" s="789">
        <v>2784.2</v>
      </c>
      <c r="F76" s="787">
        <v>0</v>
      </c>
      <c r="G76" s="789">
        <v>2427.6999999999998</v>
      </c>
      <c r="H76" s="789">
        <v>33518.400000000001</v>
      </c>
      <c r="I76" s="789">
        <v>16529.8</v>
      </c>
      <c r="J76" s="789">
        <v>20013.3</v>
      </c>
      <c r="K76" s="787">
        <v>123.4</v>
      </c>
      <c r="L76" s="789">
        <v>3070.5</v>
      </c>
      <c r="M76" s="789">
        <v>4271.5</v>
      </c>
      <c r="N76" s="789">
        <v>98560.1</v>
      </c>
    </row>
    <row r="77" spans="3:14" hidden="1">
      <c r="C77" s="788" t="s">
        <v>308</v>
      </c>
      <c r="D77" s="789">
        <v>15821.2</v>
      </c>
      <c r="E77" s="789">
        <v>2784.2</v>
      </c>
      <c r="F77" s="787">
        <v>0</v>
      </c>
      <c r="G77" s="789">
        <v>2427.6999999999998</v>
      </c>
      <c r="H77" s="789">
        <v>31503.5</v>
      </c>
      <c r="I77" s="789">
        <v>16533.3</v>
      </c>
      <c r="J77" s="789">
        <v>20019.900000000001</v>
      </c>
      <c r="K77" s="787" t="s">
        <v>1212</v>
      </c>
      <c r="L77" s="789">
        <v>3070.5</v>
      </c>
      <c r="M77" s="789">
        <v>4271.3999999999996</v>
      </c>
      <c r="N77" s="787" t="s">
        <v>1213</v>
      </c>
    </row>
    <row r="78" spans="3:14" ht="15.6" hidden="1" thickBot="1">
      <c r="C78" s="790" t="s">
        <v>311</v>
      </c>
      <c r="D78" s="791">
        <v>16264.8</v>
      </c>
      <c r="E78" s="791">
        <v>2747.5</v>
      </c>
      <c r="F78" s="792">
        <v>0</v>
      </c>
      <c r="G78" s="792">
        <v>422.8</v>
      </c>
      <c r="H78" s="791">
        <v>32377.7</v>
      </c>
      <c r="I78" s="791">
        <v>34304.699999999997</v>
      </c>
      <c r="J78" s="791">
        <v>20232.099999999999</v>
      </c>
      <c r="K78" s="792">
        <v>0</v>
      </c>
      <c r="L78" s="791">
        <v>1516.1</v>
      </c>
      <c r="M78" s="791">
        <v>3623.5</v>
      </c>
      <c r="N78" s="791">
        <v>111489.2</v>
      </c>
    </row>
    <row r="79" spans="3:14" hidden="1">
      <c r="C79" s="787">
        <v>2012</v>
      </c>
      <c r="D79" s="787"/>
      <c r="E79" s="787"/>
      <c r="F79" s="787"/>
      <c r="G79" s="787"/>
      <c r="H79" s="787"/>
      <c r="I79" s="787"/>
      <c r="J79" s="787"/>
      <c r="K79" s="787"/>
      <c r="L79" s="787"/>
      <c r="M79" s="787"/>
      <c r="N79" s="787"/>
    </row>
    <row r="80" spans="3:14" hidden="1">
      <c r="C80" s="787"/>
      <c r="D80" s="787"/>
      <c r="E80" s="787"/>
      <c r="F80" s="787"/>
      <c r="G80" s="787"/>
      <c r="H80" s="787"/>
      <c r="I80" s="787"/>
      <c r="J80" s="787"/>
      <c r="K80" s="787"/>
      <c r="L80" s="787"/>
      <c r="M80" s="787"/>
      <c r="N80" s="787"/>
    </row>
    <row r="81" spans="1:15" hidden="1">
      <c r="C81" s="788" t="s">
        <v>298</v>
      </c>
      <c r="D81" s="789">
        <v>15494.8</v>
      </c>
      <c r="E81" s="789">
        <v>1897.5</v>
      </c>
      <c r="F81" s="787">
        <v>0</v>
      </c>
      <c r="G81" s="787" t="s">
        <v>1214</v>
      </c>
      <c r="H81" s="789">
        <v>31053.3</v>
      </c>
      <c r="I81" s="789">
        <v>31756.6</v>
      </c>
      <c r="J81" s="789">
        <v>20082.400000000001</v>
      </c>
      <c r="K81" s="787">
        <v>0</v>
      </c>
      <c r="L81" s="789">
        <v>1516.1</v>
      </c>
      <c r="M81" s="789">
        <v>3623.5</v>
      </c>
      <c r="N81" s="789">
        <v>105903.9</v>
      </c>
    </row>
    <row r="82" spans="1:15" hidden="1">
      <c r="C82" s="788" t="s">
        <v>1211</v>
      </c>
      <c r="D82" s="787" t="s">
        <v>1215</v>
      </c>
      <c r="E82" s="787">
        <v>483.9</v>
      </c>
      <c r="F82" s="787">
        <v>0</v>
      </c>
      <c r="G82" s="787">
        <v>734.6</v>
      </c>
      <c r="H82" s="789">
        <v>32663.4</v>
      </c>
      <c r="I82" s="789">
        <v>15907.7</v>
      </c>
      <c r="J82" s="789">
        <v>5112.6000000000004</v>
      </c>
      <c r="K82" s="787">
        <v>0</v>
      </c>
      <c r="L82" s="787">
        <v>301.8</v>
      </c>
      <c r="M82" s="787">
        <v>0</v>
      </c>
      <c r="N82" s="789">
        <v>71563.600000000006</v>
      </c>
    </row>
    <row r="83" spans="1:15" hidden="1">
      <c r="C83" s="788" t="s">
        <v>300</v>
      </c>
      <c r="D83" s="789">
        <v>15328.4</v>
      </c>
      <c r="E83" s="789">
        <v>4816.6000000000004</v>
      </c>
      <c r="F83" s="787">
        <v>0</v>
      </c>
      <c r="G83" s="787">
        <v>734.6</v>
      </c>
      <c r="H83" s="789">
        <v>33053.5</v>
      </c>
      <c r="I83" s="789">
        <v>22330.2</v>
      </c>
      <c r="J83" s="789">
        <v>3206.4</v>
      </c>
      <c r="K83" s="787">
        <v>0</v>
      </c>
      <c r="L83" s="787">
        <v>301.8</v>
      </c>
      <c r="M83" s="787">
        <v>0</v>
      </c>
      <c r="N83" s="789">
        <v>75436.7</v>
      </c>
    </row>
    <row r="84" spans="1:15" hidden="1">
      <c r="C84" s="788" t="s">
        <v>301</v>
      </c>
      <c r="D84" s="789">
        <v>7793.4</v>
      </c>
      <c r="E84" s="787">
        <v>831.6</v>
      </c>
      <c r="F84" s="787">
        <v>0</v>
      </c>
      <c r="G84" s="787">
        <v>180.6</v>
      </c>
      <c r="H84" s="789">
        <v>19825.5</v>
      </c>
      <c r="I84" s="789">
        <v>23032</v>
      </c>
      <c r="J84" s="789">
        <v>12462.5</v>
      </c>
      <c r="K84" s="787">
        <v>102</v>
      </c>
      <c r="L84" s="787">
        <v>189.3</v>
      </c>
      <c r="M84" s="787">
        <v>0</v>
      </c>
      <c r="N84" s="789">
        <v>69482.2</v>
      </c>
    </row>
    <row r="85" spans="1:15" hidden="1">
      <c r="C85" s="788" t="s">
        <v>302</v>
      </c>
      <c r="D85" s="787">
        <v>0</v>
      </c>
      <c r="E85" s="787">
        <v>0</v>
      </c>
      <c r="F85" s="787">
        <v>0</v>
      </c>
      <c r="G85" s="789">
        <v>2055.8000000000002</v>
      </c>
      <c r="H85" s="789">
        <v>14431.9</v>
      </c>
      <c r="I85" s="789">
        <v>15786.1</v>
      </c>
      <c r="J85" s="789">
        <v>17666.599999999999</v>
      </c>
      <c r="K85" s="787">
        <v>589.70000000000005</v>
      </c>
      <c r="L85" s="789">
        <v>2850.8</v>
      </c>
      <c r="M85" s="787">
        <v>836.1</v>
      </c>
      <c r="N85" s="787" t="s">
        <v>1216</v>
      </c>
    </row>
    <row r="86" spans="1:15" hidden="1">
      <c r="C86" s="788" t="s">
        <v>303</v>
      </c>
      <c r="D86" s="789">
        <v>1031.0999999999999</v>
      </c>
      <c r="E86" s="789">
        <v>1011.3</v>
      </c>
      <c r="F86" s="787">
        <v>0</v>
      </c>
      <c r="G86" s="789">
        <v>1875.2</v>
      </c>
      <c r="H86" s="789">
        <v>13904</v>
      </c>
      <c r="I86" s="789">
        <v>21823.7</v>
      </c>
      <c r="J86" s="789">
        <v>16562.2</v>
      </c>
      <c r="K86" s="787">
        <v>0</v>
      </c>
      <c r="L86" s="787">
        <v>189.3</v>
      </c>
      <c r="M86" s="787">
        <v>836.1</v>
      </c>
      <c r="N86" s="789">
        <v>57233</v>
      </c>
    </row>
    <row r="87" spans="1:15" hidden="1">
      <c r="C87" s="788" t="s">
        <v>304</v>
      </c>
      <c r="D87" s="787">
        <v>125.6</v>
      </c>
      <c r="E87" s="787">
        <v>0</v>
      </c>
      <c r="F87" s="787">
        <v>0</v>
      </c>
      <c r="G87" s="787">
        <v>0</v>
      </c>
      <c r="H87" s="789">
        <v>7054</v>
      </c>
      <c r="I87" s="789">
        <v>19331.900000000001</v>
      </c>
      <c r="J87" s="789">
        <v>14121.2</v>
      </c>
      <c r="K87" s="789">
        <v>1533.9</v>
      </c>
      <c r="L87" s="787">
        <v>0</v>
      </c>
      <c r="M87" s="787">
        <v>0</v>
      </c>
      <c r="N87" s="789">
        <v>42166.6</v>
      </c>
    </row>
    <row r="88" spans="1:15" hidden="1">
      <c r="C88" s="788" t="s">
        <v>305</v>
      </c>
      <c r="D88" s="787">
        <v>0</v>
      </c>
      <c r="E88" s="787">
        <v>913.3</v>
      </c>
      <c r="F88" s="787">
        <v>0</v>
      </c>
      <c r="G88" s="787">
        <v>0</v>
      </c>
      <c r="H88" s="789">
        <v>13898</v>
      </c>
      <c r="I88" s="789">
        <v>13694.7</v>
      </c>
      <c r="J88" s="789">
        <v>18347.2</v>
      </c>
      <c r="K88" s="787">
        <v>0</v>
      </c>
      <c r="L88" s="787">
        <v>0</v>
      </c>
      <c r="M88" s="787">
        <v>0</v>
      </c>
      <c r="N88" s="789">
        <v>46853.3</v>
      </c>
    </row>
    <row r="89" spans="1:15" hidden="1">
      <c r="C89" s="788" t="s">
        <v>306</v>
      </c>
      <c r="D89" s="787">
        <v>0</v>
      </c>
      <c r="E89" s="789">
        <v>11242.5</v>
      </c>
      <c r="F89" s="787">
        <v>0</v>
      </c>
      <c r="G89" s="787">
        <v>0</v>
      </c>
      <c r="H89" s="789">
        <v>12193</v>
      </c>
      <c r="I89" s="789">
        <v>15228.3</v>
      </c>
      <c r="J89" s="789">
        <v>3969.9</v>
      </c>
      <c r="K89" s="787">
        <v>0</v>
      </c>
      <c r="L89" s="787">
        <v>0</v>
      </c>
      <c r="M89" s="787">
        <v>0</v>
      </c>
      <c r="N89" s="789">
        <v>42633.7</v>
      </c>
    </row>
    <row r="90" spans="1:15" hidden="1">
      <c r="C90" s="788" t="s">
        <v>307</v>
      </c>
      <c r="D90" s="787">
        <v>0</v>
      </c>
      <c r="E90" s="789">
        <v>1135</v>
      </c>
      <c r="F90" s="787">
        <v>0</v>
      </c>
      <c r="G90" s="787">
        <v>0</v>
      </c>
      <c r="H90" s="789">
        <v>2134.9</v>
      </c>
      <c r="I90" s="789">
        <v>28261.599999999999</v>
      </c>
      <c r="J90" s="787">
        <v>204</v>
      </c>
      <c r="K90" s="787">
        <v>0</v>
      </c>
      <c r="L90" s="787">
        <v>0</v>
      </c>
      <c r="M90" s="787">
        <v>0</v>
      </c>
      <c r="N90" s="789">
        <v>31735.5</v>
      </c>
    </row>
    <row r="91" spans="1:15" hidden="1">
      <c r="A91" s="793"/>
      <c r="B91" s="794"/>
      <c r="C91" s="795" t="s">
        <v>308</v>
      </c>
      <c r="D91" s="789">
        <v>8373.2000000000007</v>
      </c>
      <c r="E91" s="789">
        <v>3045</v>
      </c>
      <c r="F91" s="789">
        <v>11889</v>
      </c>
      <c r="G91" s="789">
        <v>0</v>
      </c>
      <c r="H91" s="789">
        <v>0</v>
      </c>
      <c r="I91" s="789">
        <v>0</v>
      </c>
      <c r="J91" s="789">
        <v>0</v>
      </c>
      <c r="K91" s="789">
        <v>0</v>
      </c>
      <c r="L91" s="789">
        <v>11190.4</v>
      </c>
      <c r="M91" s="789">
        <v>0</v>
      </c>
      <c r="N91" s="789">
        <v>34497.699999999997</v>
      </c>
      <c r="O91" s="796"/>
    </row>
    <row r="92" spans="1:15" hidden="1">
      <c r="A92" s="793"/>
      <c r="C92" s="788" t="s">
        <v>311</v>
      </c>
      <c r="D92" s="789">
        <v>6559.2559000000001</v>
      </c>
      <c r="E92" s="789">
        <v>1430</v>
      </c>
      <c r="F92" s="789">
        <v>14889</v>
      </c>
      <c r="G92" s="789">
        <v>0</v>
      </c>
      <c r="H92" s="789">
        <v>0</v>
      </c>
      <c r="I92" s="789">
        <v>0</v>
      </c>
      <c r="J92" s="789">
        <v>0</v>
      </c>
      <c r="K92" s="789">
        <v>0</v>
      </c>
      <c r="L92" s="789">
        <v>11190.4395</v>
      </c>
      <c r="M92" s="789">
        <v>70</v>
      </c>
      <c r="N92" s="789">
        <f>SUM(D92:M92)</f>
        <v>34138.695399999997</v>
      </c>
    </row>
    <row r="93" spans="1:15" hidden="1">
      <c r="A93" s="793"/>
      <c r="C93" s="787">
        <v>2012</v>
      </c>
      <c r="D93" s="789"/>
      <c r="E93" s="789"/>
      <c r="F93" s="789"/>
      <c r="G93" s="789"/>
      <c r="H93" s="789"/>
      <c r="I93" s="789"/>
      <c r="J93" s="789"/>
      <c r="K93" s="789"/>
      <c r="L93" s="789"/>
      <c r="M93" s="789"/>
      <c r="N93" s="789"/>
    </row>
    <row r="94" spans="1:15" hidden="1">
      <c r="A94" s="793"/>
      <c r="C94" s="787"/>
      <c r="D94" s="789"/>
      <c r="E94" s="789"/>
      <c r="F94" s="789"/>
      <c r="G94" s="789"/>
      <c r="H94" s="789"/>
      <c r="I94" s="789"/>
      <c r="J94" s="789"/>
      <c r="K94" s="789"/>
      <c r="L94" s="789"/>
      <c r="M94" s="789"/>
      <c r="N94" s="789"/>
    </row>
    <row r="95" spans="1:15" hidden="1">
      <c r="A95" s="793"/>
      <c r="C95" s="788" t="s">
        <v>298</v>
      </c>
      <c r="D95" s="797">
        <v>70</v>
      </c>
      <c r="E95" s="797">
        <v>0</v>
      </c>
      <c r="F95" s="797">
        <v>0</v>
      </c>
      <c r="G95" s="797">
        <v>0</v>
      </c>
      <c r="H95" s="797">
        <v>3641</v>
      </c>
      <c r="I95" s="797">
        <v>18088.255000000001</v>
      </c>
      <c r="J95" s="797">
        <v>1189</v>
      </c>
      <c r="K95" s="797">
        <v>11190.4</v>
      </c>
      <c r="L95" s="797">
        <v>0</v>
      </c>
      <c r="M95" s="797">
        <v>0</v>
      </c>
      <c r="N95" s="797">
        <f>SUM(D95:M95)</f>
        <v>34178.654999999999</v>
      </c>
    </row>
    <row r="96" spans="1:15" hidden="1">
      <c r="A96" s="793"/>
      <c r="C96" s="788" t="s">
        <v>1211</v>
      </c>
      <c r="D96" s="789"/>
      <c r="E96" s="789"/>
      <c r="F96" s="789"/>
      <c r="G96" s="789"/>
      <c r="H96" s="789"/>
      <c r="I96" s="789"/>
      <c r="J96" s="789"/>
      <c r="K96" s="789"/>
      <c r="L96" s="789"/>
      <c r="M96" s="789"/>
      <c r="N96" s="789"/>
    </row>
    <row r="97" spans="1:16" hidden="1">
      <c r="A97" s="793"/>
      <c r="C97" s="788" t="s">
        <v>300</v>
      </c>
      <c r="D97" s="789">
        <v>70</v>
      </c>
      <c r="E97" s="789">
        <v>0</v>
      </c>
      <c r="F97" s="797">
        <v>0</v>
      </c>
      <c r="G97" s="797">
        <v>0</v>
      </c>
      <c r="H97" s="789">
        <v>7860</v>
      </c>
      <c r="I97" s="797">
        <v>0</v>
      </c>
      <c r="J97" s="789">
        <v>154</v>
      </c>
      <c r="K97" s="797">
        <v>0</v>
      </c>
      <c r="L97" s="789">
        <v>15400</v>
      </c>
      <c r="M97" s="797">
        <v>0</v>
      </c>
      <c r="N97" s="797">
        <f>SUM(D97:M97)</f>
        <v>23484</v>
      </c>
    </row>
    <row r="98" spans="1:16" hidden="1">
      <c r="A98" s="793"/>
      <c r="C98" s="798" t="s">
        <v>301</v>
      </c>
      <c r="D98" s="797">
        <v>5100</v>
      </c>
      <c r="E98" s="797">
        <v>0</v>
      </c>
      <c r="F98" s="797">
        <v>0</v>
      </c>
      <c r="G98" s="797">
        <v>0</v>
      </c>
      <c r="H98" s="797">
        <v>7620</v>
      </c>
      <c r="I98" s="797">
        <v>14889</v>
      </c>
      <c r="J98" s="797">
        <v>278</v>
      </c>
      <c r="K98" s="797">
        <v>0</v>
      </c>
      <c r="L98" s="797">
        <v>15200</v>
      </c>
      <c r="M98" s="797">
        <v>0</v>
      </c>
      <c r="N98" s="797">
        <v>43087</v>
      </c>
    </row>
    <row r="99" spans="1:16" hidden="1">
      <c r="A99" s="793"/>
      <c r="C99" s="788" t="s">
        <v>302</v>
      </c>
      <c r="D99" s="789">
        <v>5100</v>
      </c>
      <c r="E99" s="789">
        <v>0</v>
      </c>
      <c r="F99" s="789"/>
      <c r="G99" s="789"/>
      <c r="H99" s="789">
        <v>7500</v>
      </c>
      <c r="I99" s="789">
        <v>6330.8050000000003</v>
      </c>
      <c r="J99" s="789">
        <v>2109.4299999999998</v>
      </c>
      <c r="K99" s="789"/>
      <c r="L99" s="789">
        <v>1000</v>
      </c>
      <c r="M99" s="789"/>
      <c r="N99" s="797">
        <f>SUM(D99:M99)</f>
        <v>22040.235000000001</v>
      </c>
    </row>
    <row r="100" spans="1:16" hidden="1">
      <c r="A100" s="793"/>
      <c r="C100" s="798" t="s">
        <v>303</v>
      </c>
      <c r="D100" s="789">
        <v>5100</v>
      </c>
      <c r="E100" s="789">
        <v>0</v>
      </c>
      <c r="F100" s="789">
        <v>0</v>
      </c>
      <c r="G100" s="789">
        <v>0</v>
      </c>
      <c r="H100" s="789">
        <v>5760</v>
      </c>
      <c r="I100" s="789">
        <v>0</v>
      </c>
      <c r="J100" s="789">
        <v>212</v>
      </c>
      <c r="K100" s="789">
        <v>0</v>
      </c>
      <c r="L100" s="789">
        <v>15210</v>
      </c>
      <c r="M100" s="789">
        <v>0</v>
      </c>
      <c r="N100" s="797">
        <f>SUM(D100:M100)</f>
        <v>26282</v>
      </c>
    </row>
    <row r="101" spans="1:16" hidden="1">
      <c r="A101" s="793"/>
      <c r="C101" s="798" t="s">
        <v>304</v>
      </c>
      <c r="D101" s="789">
        <v>5100</v>
      </c>
      <c r="E101" s="789">
        <v>0</v>
      </c>
      <c r="F101" s="789">
        <v>0</v>
      </c>
      <c r="G101" s="789">
        <v>0</v>
      </c>
      <c r="H101" s="789">
        <v>7000</v>
      </c>
      <c r="I101" s="789">
        <v>0</v>
      </c>
      <c r="J101" s="789">
        <v>212</v>
      </c>
      <c r="K101" s="789">
        <v>0</v>
      </c>
      <c r="L101" s="789">
        <v>15110</v>
      </c>
      <c r="M101" s="789">
        <v>0</v>
      </c>
      <c r="N101" s="797">
        <f>SUM(D101:M101)</f>
        <v>27422</v>
      </c>
    </row>
    <row r="102" spans="1:16" hidden="1">
      <c r="A102" s="793"/>
      <c r="C102" s="788" t="s">
        <v>305</v>
      </c>
      <c r="D102" s="789"/>
      <c r="E102" s="789"/>
      <c r="F102" s="789"/>
      <c r="G102" s="789"/>
      <c r="H102" s="789"/>
      <c r="I102" s="789"/>
      <c r="J102" s="789"/>
      <c r="K102" s="789"/>
      <c r="L102" s="789"/>
      <c r="M102" s="789"/>
      <c r="N102" s="797"/>
    </row>
    <row r="103" spans="1:16" hidden="1">
      <c r="A103" s="793"/>
      <c r="C103" s="798" t="s">
        <v>306</v>
      </c>
      <c r="D103" s="797">
        <v>5000</v>
      </c>
      <c r="E103" s="797">
        <v>0</v>
      </c>
      <c r="F103" s="797">
        <v>0</v>
      </c>
      <c r="G103" s="797">
        <v>0</v>
      </c>
      <c r="H103" s="797">
        <v>5800</v>
      </c>
      <c r="I103" s="797">
        <v>0</v>
      </c>
      <c r="J103" s="797">
        <v>165</v>
      </c>
      <c r="K103" s="797">
        <v>0</v>
      </c>
      <c r="L103" s="797">
        <v>900</v>
      </c>
      <c r="M103" s="797">
        <v>0</v>
      </c>
      <c r="N103" s="797">
        <f>SUM(D103:M103)</f>
        <v>11865</v>
      </c>
    </row>
    <row r="104" spans="1:16" ht="15.6" hidden="1" thickBot="1">
      <c r="C104" s="799"/>
      <c r="D104" s="799"/>
      <c r="E104" s="799"/>
      <c r="F104" s="799"/>
      <c r="G104" s="799"/>
      <c r="H104" s="799"/>
      <c r="I104" s="799"/>
      <c r="J104" s="799"/>
      <c r="K104" s="799"/>
      <c r="L104" s="799"/>
      <c r="M104" s="799"/>
      <c r="N104" s="799"/>
    </row>
    <row r="105" spans="1:16" ht="15.6" hidden="1" thickTop="1"/>
    <row r="107" spans="1:16">
      <c r="N107" s="763">
        <v>1000</v>
      </c>
    </row>
    <row r="108" spans="1:16">
      <c r="C108" s="1847" t="s">
        <v>1314</v>
      </c>
      <c r="D108" s="1847"/>
      <c r="E108" s="1847"/>
      <c r="F108" s="1847"/>
      <c r="G108" s="1847"/>
      <c r="H108" s="1847"/>
      <c r="I108" s="1847"/>
      <c r="J108" s="1847"/>
      <c r="K108" s="1847"/>
      <c r="L108" s="1847"/>
      <c r="M108" s="1847"/>
      <c r="N108" s="1847"/>
      <c r="O108" s="1847"/>
      <c r="P108" s="1847"/>
    </row>
    <row r="109" spans="1:16">
      <c r="C109" s="800"/>
      <c r="D109" s="800"/>
      <c r="E109" s="800"/>
      <c r="F109" s="800"/>
      <c r="G109" s="800"/>
      <c r="H109" s="800"/>
      <c r="I109" s="800"/>
      <c r="J109" s="800"/>
      <c r="K109" s="800"/>
      <c r="L109" s="800"/>
      <c r="M109" s="800"/>
      <c r="N109" s="800"/>
      <c r="O109" s="800"/>
      <c r="P109" s="800"/>
    </row>
    <row r="110" spans="1:16">
      <c r="C110" s="1847" t="s">
        <v>1312</v>
      </c>
      <c r="D110" s="1847"/>
      <c r="E110" s="1847"/>
      <c r="F110" s="1847"/>
      <c r="G110" s="1847"/>
      <c r="H110" s="1847"/>
      <c r="I110" s="1847"/>
      <c r="J110" s="1847"/>
      <c r="K110" s="1847"/>
      <c r="L110" s="1847"/>
      <c r="M110" s="1847"/>
      <c r="N110" s="1847"/>
      <c r="O110" s="800"/>
      <c r="P110" s="800"/>
    </row>
    <row r="111" spans="1:16" ht="15.6" thickBot="1">
      <c r="C111" s="801"/>
      <c r="D111" s="801"/>
      <c r="E111" s="801"/>
      <c r="F111" s="801"/>
      <c r="G111" s="801"/>
      <c r="H111" s="801"/>
      <c r="I111" s="801"/>
      <c r="J111" s="801"/>
      <c r="K111" s="801"/>
      <c r="L111" s="801"/>
      <c r="M111" s="801"/>
      <c r="N111" s="801"/>
      <c r="O111" s="801"/>
      <c r="P111" s="801"/>
    </row>
    <row r="112" spans="1:16" ht="15.6" thickTop="1">
      <c r="C112" s="802"/>
      <c r="D112" s="802"/>
      <c r="E112" s="802"/>
      <c r="F112" s="802"/>
      <c r="G112" s="802"/>
      <c r="H112" s="802"/>
      <c r="I112" s="802"/>
      <c r="J112" s="802"/>
      <c r="K112" s="802"/>
      <c r="L112" s="802"/>
      <c r="M112" s="802"/>
      <c r="N112" s="802"/>
      <c r="O112" s="802"/>
      <c r="P112" s="802"/>
    </row>
    <row r="113" spans="3:16">
      <c r="C113" s="803" t="s">
        <v>263</v>
      </c>
      <c r="D113" s="803" t="s">
        <v>392</v>
      </c>
      <c r="E113" s="803" t="s">
        <v>393</v>
      </c>
      <c r="F113" s="803" t="s">
        <v>772</v>
      </c>
      <c r="G113" s="803" t="s">
        <v>396</v>
      </c>
      <c r="H113" s="803" t="s">
        <v>401</v>
      </c>
      <c r="I113" s="803" t="s">
        <v>402</v>
      </c>
      <c r="J113" s="803" t="s">
        <v>403</v>
      </c>
      <c r="K113" s="803" t="s">
        <v>404</v>
      </c>
      <c r="L113" s="803" t="s">
        <v>405</v>
      </c>
      <c r="M113" s="803" t="s">
        <v>406</v>
      </c>
      <c r="N113" s="803" t="s">
        <v>407</v>
      </c>
      <c r="O113" s="803" t="s">
        <v>1313</v>
      </c>
      <c r="P113" s="803" t="s">
        <v>287</v>
      </c>
    </row>
    <row r="114" spans="3:16">
      <c r="C114" s="804"/>
      <c r="D114" s="804"/>
      <c r="E114" s="804"/>
      <c r="F114" s="804"/>
      <c r="G114" s="804"/>
      <c r="H114" s="803" t="s">
        <v>408</v>
      </c>
      <c r="I114" s="803" t="s">
        <v>409</v>
      </c>
      <c r="J114" s="804"/>
      <c r="K114" s="804"/>
      <c r="L114" s="804"/>
      <c r="M114" s="804"/>
      <c r="N114" s="804"/>
      <c r="O114" s="804"/>
      <c r="P114" s="804"/>
    </row>
    <row r="115" spans="3:16" ht="15.6" thickBot="1">
      <c r="C115" s="805"/>
      <c r="D115" s="805"/>
      <c r="E115" s="805"/>
      <c r="F115" s="805"/>
      <c r="G115" s="805"/>
      <c r="H115" s="805"/>
      <c r="I115" s="805"/>
      <c r="J115" s="805"/>
      <c r="K115" s="805"/>
      <c r="L115" s="805"/>
      <c r="M115" s="805"/>
      <c r="N115" s="805"/>
      <c r="O115" s="805"/>
      <c r="P115" s="805"/>
    </row>
    <row r="116" spans="3:16" ht="15.6" thickTop="1">
      <c r="C116" s="806"/>
      <c r="D116" s="807"/>
      <c r="E116" s="807"/>
      <c r="F116" s="807"/>
      <c r="G116" s="807"/>
      <c r="H116" s="807"/>
      <c r="I116" s="807"/>
      <c r="J116" s="807"/>
      <c r="K116" s="807"/>
      <c r="L116" s="807"/>
      <c r="M116" s="807"/>
      <c r="N116" s="807"/>
      <c r="O116" s="807"/>
      <c r="P116" s="807"/>
    </row>
    <row r="117" spans="3:16" hidden="1">
      <c r="C117" s="808">
        <v>2012</v>
      </c>
      <c r="D117" s="809"/>
      <c r="E117" s="809"/>
      <c r="F117" s="809"/>
      <c r="G117" s="809"/>
      <c r="H117" s="809"/>
      <c r="I117" s="809"/>
      <c r="J117" s="809"/>
      <c r="K117" s="809"/>
      <c r="L117" s="809"/>
      <c r="M117" s="809"/>
      <c r="N117" s="809"/>
      <c r="O117" s="809"/>
      <c r="P117" s="809"/>
    </row>
    <row r="118" spans="3:16" hidden="1">
      <c r="C118" s="804"/>
      <c r="D118" s="809"/>
      <c r="E118" s="809"/>
      <c r="F118" s="809"/>
      <c r="G118" s="809"/>
      <c r="H118" s="809"/>
      <c r="I118" s="809"/>
      <c r="J118" s="809"/>
      <c r="K118" s="809"/>
      <c r="L118" s="809"/>
      <c r="M118" s="809"/>
      <c r="N118" s="809"/>
      <c r="O118" s="809"/>
      <c r="P118" s="809"/>
    </row>
    <row r="119" spans="3:16" hidden="1">
      <c r="C119" s="804" t="s">
        <v>303</v>
      </c>
      <c r="D119" s="810">
        <v>84589.8</v>
      </c>
      <c r="E119" s="810">
        <v>51354</v>
      </c>
      <c r="F119" s="810">
        <v>132428.70000000001</v>
      </c>
      <c r="G119" s="810">
        <v>351179.8</v>
      </c>
      <c r="H119" s="810">
        <v>98785.600000000006</v>
      </c>
      <c r="I119" s="810">
        <v>375613.6</v>
      </c>
      <c r="J119" s="810">
        <v>214696.7</v>
      </c>
      <c r="K119" s="810">
        <v>76370.100000000006</v>
      </c>
      <c r="L119" s="810">
        <v>727955.7</v>
      </c>
      <c r="M119" s="810">
        <v>36208.400000000001</v>
      </c>
      <c r="N119" s="810">
        <v>456454.40000000002</v>
      </c>
      <c r="O119" s="810">
        <v>18727.599999999999</v>
      </c>
      <c r="P119" s="810">
        <v>2624364.4</v>
      </c>
    </row>
    <row r="120" spans="3:16" hidden="1">
      <c r="C120" s="804" t="s">
        <v>304</v>
      </c>
      <c r="D120" s="810">
        <v>106470.8</v>
      </c>
      <c r="E120" s="810">
        <v>47401</v>
      </c>
      <c r="F120" s="810">
        <v>131489</v>
      </c>
      <c r="G120" s="810">
        <v>345036.3</v>
      </c>
      <c r="H120" s="810" t="s">
        <v>1220</v>
      </c>
      <c r="I120" s="810">
        <v>397969.7</v>
      </c>
      <c r="J120" s="810">
        <v>213370.5</v>
      </c>
      <c r="K120" s="810">
        <v>89915.4</v>
      </c>
      <c r="L120" s="810">
        <v>726447.6</v>
      </c>
      <c r="M120" s="810">
        <v>46000.4</v>
      </c>
      <c r="N120" s="810">
        <v>505054.1</v>
      </c>
      <c r="O120" s="810">
        <v>29735.3</v>
      </c>
      <c r="P120" s="810">
        <v>2709378</v>
      </c>
    </row>
    <row r="121" spans="3:16" hidden="1">
      <c r="C121" s="804" t="s">
        <v>305</v>
      </c>
      <c r="D121" s="810">
        <v>99151.6</v>
      </c>
      <c r="E121" s="810">
        <v>49226.400000000001</v>
      </c>
      <c r="F121" s="810">
        <v>116820.6</v>
      </c>
      <c r="G121" s="810">
        <v>363080.1</v>
      </c>
      <c r="H121" s="810">
        <v>382619.4</v>
      </c>
      <c r="I121" s="810">
        <v>71775.899999999994</v>
      </c>
      <c r="J121" s="810">
        <v>216433</v>
      </c>
      <c r="K121" s="810">
        <v>73978.5</v>
      </c>
      <c r="L121" s="810">
        <v>737065.6</v>
      </c>
      <c r="M121" s="810">
        <v>48183.8</v>
      </c>
      <c r="N121" s="810">
        <v>488183.8</v>
      </c>
      <c r="O121" s="810">
        <v>28785.3</v>
      </c>
      <c r="P121" s="810">
        <v>2663379.7999999998</v>
      </c>
    </row>
    <row r="122" spans="3:16" hidden="1">
      <c r="C122" s="804" t="s">
        <v>306</v>
      </c>
      <c r="D122" s="810">
        <v>113907.6</v>
      </c>
      <c r="E122" s="810">
        <v>43671</v>
      </c>
      <c r="F122" s="810">
        <v>125801.3</v>
      </c>
      <c r="G122" s="810">
        <v>276363</v>
      </c>
      <c r="H122" s="810">
        <v>177790.6</v>
      </c>
      <c r="I122" s="810">
        <v>429596.7</v>
      </c>
      <c r="J122" s="810">
        <v>228342.2</v>
      </c>
      <c r="K122" s="810">
        <v>82777.7</v>
      </c>
      <c r="L122" s="810">
        <v>651389.19999999995</v>
      </c>
      <c r="M122" s="810">
        <v>48764.9</v>
      </c>
      <c r="N122" s="810">
        <v>517788.8</v>
      </c>
      <c r="O122" s="810">
        <v>29019.9</v>
      </c>
      <c r="P122" s="810">
        <v>2725213</v>
      </c>
    </row>
    <row r="123" spans="3:16" hidden="1">
      <c r="C123" s="804" t="s">
        <v>307</v>
      </c>
      <c r="D123" s="810">
        <v>101122.4</v>
      </c>
      <c r="E123" s="810">
        <v>48716.9</v>
      </c>
      <c r="F123" s="810">
        <v>155798.29999999999</v>
      </c>
      <c r="G123" s="810">
        <v>313982.40000000002</v>
      </c>
      <c r="H123" s="810">
        <v>257300.6</v>
      </c>
      <c r="I123" s="810">
        <v>409730</v>
      </c>
      <c r="J123" s="810">
        <v>245131.8</v>
      </c>
      <c r="K123" s="810">
        <v>83995.5</v>
      </c>
      <c r="L123" s="810">
        <v>661217.19999999995</v>
      </c>
      <c r="M123" s="810">
        <v>48396.800000000003</v>
      </c>
      <c r="N123" s="810">
        <v>534643.6</v>
      </c>
      <c r="O123" s="810">
        <v>26158</v>
      </c>
      <c r="P123" s="810">
        <v>2886193.5</v>
      </c>
    </row>
    <row r="124" spans="3:16" hidden="1">
      <c r="C124" s="804" t="s">
        <v>308</v>
      </c>
      <c r="D124" s="810">
        <v>104695.1</v>
      </c>
      <c r="E124" s="810">
        <v>53233.8</v>
      </c>
      <c r="F124" s="810">
        <v>151359.5</v>
      </c>
      <c r="G124" s="810">
        <v>348390.40000000002</v>
      </c>
      <c r="H124" s="810">
        <v>185802.5</v>
      </c>
      <c r="I124" s="810">
        <v>464782.4</v>
      </c>
      <c r="J124" s="810">
        <v>269513.8</v>
      </c>
      <c r="K124" s="810">
        <v>85906.9</v>
      </c>
      <c r="L124" s="810">
        <v>962840.9</v>
      </c>
      <c r="M124" s="810">
        <v>47647.199999999997</v>
      </c>
      <c r="N124" s="810">
        <v>548847.69999999995</v>
      </c>
      <c r="O124" s="810">
        <v>23130.6</v>
      </c>
      <c r="P124" s="810">
        <v>3246150.7</v>
      </c>
    </row>
    <row r="125" spans="3:16" hidden="1">
      <c r="C125" s="804" t="s">
        <v>311</v>
      </c>
      <c r="D125" s="810">
        <v>96098.4</v>
      </c>
      <c r="E125" s="810">
        <v>50492.7</v>
      </c>
      <c r="F125" s="810">
        <v>126343.5</v>
      </c>
      <c r="G125" s="810">
        <v>379068</v>
      </c>
      <c r="H125" s="810">
        <v>198323.3</v>
      </c>
      <c r="I125" s="810">
        <v>509241.59999999998</v>
      </c>
      <c r="J125" s="810">
        <v>280975.40000000002</v>
      </c>
      <c r="K125" s="810">
        <v>95457.1</v>
      </c>
      <c r="L125" s="810">
        <v>582286.19999999995</v>
      </c>
      <c r="M125" s="810">
        <v>41852.199999999997</v>
      </c>
      <c r="N125" s="810">
        <v>538135.19999999995</v>
      </c>
      <c r="O125" s="810">
        <v>26491.3</v>
      </c>
      <c r="P125" s="810">
        <v>2924764.8</v>
      </c>
    </row>
    <row r="126" spans="3:16" hidden="1">
      <c r="C126" s="804"/>
      <c r="D126" s="810"/>
      <c r="E126" s="810"/>
      <c r="F126" s="810"/>
      <c r="G126" s="810"/>
      <c r="H126" s="810"/>
      <c r="I126" s="810"/>
      <c r="J126" s="810"/>
      <c r="K126" s="810"/>
      <c r="L126" s="810"/>
      <c r="M126" s="810"/>
      <c r="N126" s="810"/>
      <c r="O126" s="810"/>
      <c r="P126" s="810"/>
    </row>
    <row r="127" spans="3:16">
      <c r="C127" s="808">
        <v>2013</v>
      </c>
      <c r="D127" s="810"/>
      <c r="E127" s="810"/>
      <c r="F127" s="810"/>
      <c r="G127" s="810"/>
      <c r="H127" s="810"/>
      <c r="I127" s="810"/>
      <c r="J127" s="810"/>
      <c r="K127" s="810"/>
      <c r="L127" s="810"/>
      <c r="M127" s="810"/>
      <c r="N127" s="810"/>
      <c r="O127" s="810"/>
      <c r="P127" s="810"/>
    </row>
    <row r="128" spans="3:16">
      <c r="C128" s="804"/>
      <c r="D128" s="810"/>
      <c r="E128" s="810"/>
      <c r="F128" s="810"/>
      <c r="G128" s="810"/>
      <c r="H128" s="810"/>
      <c r="I128" s="810"/>
      <c r="J128" s="810"/>
      <c r="K128" s="810"/>
      <c r="L128" s="810"/>
      <c r="M128" s="810"/>
      <c r="N128" s="810"/>
      <c r="O128" s="810"/>
      <c r="P128" s="810"/>
    </row>
    <row r="129" spans="3:16">
      <c r="C129" s="804" t="s">
        <v>298</v>
      </c>
      <c r="D129" s="811">
        <v>91648.8</v>
      </c>
      <c r="E129" s="811">
        <v>48329.1</v>
      </c>
      <c r="F129" s="811">
        <v>128426</v>
      </c>
      <c r="G129" s="811">
        <v>351566.7</v>
      </c>
      <c r="H129" s="811">
        <v>212401.7</v>
      </c>
      <c r="I129" s="811">
        <v>494823.6</v>
      </c>
      <c r="J129" s="811">
        <v>252389.7</v>
      </c>
      <c r="K129" s="811">
        <v>93470</v>
      </c>
      <c r="L129" s="811">
        <v>658260.1</v>
      </c>
      <c r="M129" s="811">
        <v>44091.4</v>
      </c>
      <c r="N129" s="811">
        <v>512289.8</v>
      </c>
      <c r="O129" s="811">
        <v>32145.9</v>
      </c>
      <c r="P129" s="811">
        <v>2919842.6</v>
      </c>
    </row>
    <row r="130" spans="3:16">
      <c r="C130" s="812" t="s">
        <v>1311</v>
      </c>
      <c r="D130" s="811">
        <v>96796.5</v>
      </c>
      <c r="E130" s="811">
        <v>48491.5</v>
      </c>
      <c r="F130" s="811">
        <v>147571.5</v>
      </c>
      <c r="G130" s="811">
        <v>360757.9</v>
      </c>
      <c r="H130" s="811">
        <v>147995.9</v>
      </c>
      <c r="I130" s="811">
        <v>578306.4</v>
      </c>
      <c r="J130" s="811">
        <v>284603.8</v>
      </c>
      <c r="K130" s="811">
        <v>64530.5</v>
      </c>
      <c r="L130" s="811">
        <v>679554.8</v>
      </c>
      <c r="M130" s="811">
        <v>41983.6</v>
      </c>
      <c r="N130" s="811">
        <v>516431.2</v>
      </c>
      <c r="O130" s="811">
        <v>25275.3</v>
      </c>
      <c r="P130" s="811" t="s">
        <v>1277</v>
      </c>
    </row>
    <row r="131" spans="3:16">
      <c r="C131" s="804" t="s">
        <v>300</v>
      </c>
      <c r="D131" s="811">
        <v>96752.8</v>
      </c>
      <c r="E131" s="811">
        <v>44883.3</v>
      </c>
      <c r="F131" s="811">
        <v>139327.79999999999</v>
      </c>
      <c r="G131" s="811">
        <v>354627.8</v>
      </c>
      <c r="H131" s="811">
        <v>155915.20000000001</v>
      </c>
      <c r="I131" s="811">
        <v>610758.40000000002</v>
      </c>
      <c r="J131" s="811">
        <v>290072.8</v>
      </c>
      <c r="K131" s="811">
        <v>87143</v>
      </c>
      <c r="L131" s="811">
        <v>594397.69999999995</v>
      </c>
      <c r="M131" s="811">
        <v>38345.5</v>
      </c>
      <c r="N131" s="811">
        <v>523913.8</v>
      </c>
      <c r="O131" s="811">
        <v>141404.6</v>
      </c>
      <c r="P131" s="811">
        <v>3077542.7</v>
      </c>
    </row>
    <row r="132" spans="3:16">
      <c r="C132" s="804" t="s">
        <v>301</v>
      </c>
      <c r="D132" s="811">
        <v>98671</v>
      </c>
      <c r="E132" s="811">
        <v>49093.8</v>
      </c>
      <c r="F132" s="811">
        <v>152390.79999999999</v>
      </c>
      <c r="G132" s="811">
        <v>350269.2</v>
      </c>
      <c r="H132" s="811">
        <v>166578.5</v>
      </c>
      <c r="I132" s="811">
        <v>545118.19999999995</v>
      </c>
      <c r="J132" s="811">
        <v>311310.8</v>
      </c>
      <c r="K132" s="811">
        <v>105766.9</v>
      </c>
      <c r="L132" s="811">
        <v>638341.80000000005</v>
      </c>
      <c r="M132" s="811">
        <v>39837.1</v>
      </c>
      <c r="N132" s="811">
        <v>533691.30000000005</v>
      </c>
      <c r="O132" s="811">
        <v>99053.9</v>
      </c>
      <c r="P132" s="811">
        <v>3090123.4</v>
      </c>
    </row>
    <row r="133" spans="3:16">
      <c r="C133" s="804" t="s">
        <v>302</v>
      </c>
      <c r="D133" s="811">
        <v>114053.3</v>
      </c>
      <c r="E133" s="811">
        <v>55427.4</v>
      </c>
      <c r="F133" s="811">
        <v>142023.29999999999</v>
      </c>
      <c r="G133" s="811">
        <v>389384.7</v>
      </c>
      <c r="H133" s="811">
        <v>255352.1</v>
      </c>
      <c r="I133" s="811">
        <v>484429.7</v>
      </c>
      <c r="J133" s="811">
        <v>318129.40000000002</v>
      </c>
      <c r="K133" s="811">
        <v>92777.2</v>
      </c>
      <c r="L133" s="811">
        <v>700668.7</v>
      </c>
      <c r="M133" s="811">
        <v>46593.8</v>
      </c>
      <c r="N133" s="811">
        <v>578509.19999999995</v>
      </c>
      <c r="O133" s="811">
        <v>32297.7</v>
      </c>
      <c r="P133" s="811">
        <v>3209646.5</v>
      </c>
    </row>
    <row r="134" spans="3:16">
      <c r="C134" s="804" t="s">
        <v>303</v>
      </c>
      <c r="D134" s="811">
        <v>116635.2</v>
      </c>
      <c r="E134" s="811">
        <v>58578.8</v>
      </c>
      <c r="F134" s="811">
        <v>147313.79999999999</v>
      </c>
      <c r="G134" s="811">
        <v>447394.5</v>
      </c>
      <c r="H134" s="811">
        <v>183146.3</v>
      </c>
      <c r="I134" s="811">
        <v>352600.3</v>
      </c>
      <c r="J134" s="811">
        <v>366824.2</v>
      </c>
      <c r="K134" s="811">
        <v>96685.8</v>
      </c>
      <c r="L134" s="811">
        <v>701195.7</v>
      </c>
      <c r="M134" s="811">
        <v>46578.5</v>
      </c>
      <c r="N134" s="811">
        <v>597373.1</v>
      </c>
      <c r="O134" s="811">
        <v>104843.6</v>
      </c>
      <c r="P134" s="811">
        <v>3219169.8</v>
      </c>
    </row>
    <row r="135" spans="3:16">
      <c r="C135" s="804" t="s">
        <v>304</v>
      </c>
      <c r="D135" s="811">
        <v>108086.6</v>
      </c>
      <c r="E135" s="811">
        <v>46449.5</v>
      </c>
      <c r="F135" s="811">
        <v>120982.3</v>
      </c>
      <c r="G135" s="811">
        <v>380448.8</v>
      </c>
      <c r="H135" s="811">
        <v>178341.4</v>
      </c>
      <c r="I135" s="811">
        <v>677700.7</v>
      </c>
      <c r="J135" s="811">
        <v>301575.90000000002</v>
      </c>
      <c r="K135" s="811">
        <v>97583.8</v>
      </c>
      <c r="L135" s="811">
        <v>710856.1</v>
      </c>
      <c r="M135" s="811">
        <v>39395.9</v>
      </c>
      <c r="N135" s="811">
        <v>487954.4</v>
      </c>
      <c r="O135" s="811">
        <v>102531.4</v>
      </c>
      <c r="P135" s="811">
        <v>3251906.9</v>
      </c>
    </row>
    <row r="136" spans="3:16">
      <c r="C136" s="804" t="s">
        <v>305</v>
      </c>
      <c r="D136" s="811">
        <v>137107.1</v>
      </c>
      <c r="E136" s="811">
        <v>48726.1</v>
      </c>
      <c r="F136" s="811">
        <v>135788.5</v>
      </c>
      <c r="G136" s="811">
        <v>319106</v>
      </c>
      <c r="H136" s="811">
        <v>174593.9</v>
      </c>
      <c r="I136" s="811">
        <v>637190.69999999995</v>
      </c>
      <c r="J136" s="811">
        <v>333255.3</v>
      </c>
      <c r="K136" s="811">
        <v>99194.1</v>
      </c>
      <c r="L136" s="811">
        <v>639401.6</v>
      </c>
      <c r="M136" s="811">
        <v>41996.5</v>
      </c>
      <c r="N136" s="811">
        <v>417762.6</v>
      </c>
      <c r="O136" s="811">
        <v>93772.1</v>
      </c>
      <c r="P136" s="811">
        <v>3077894.4</v>
      </c>
    </row>
    <row r="137" spans="3:16">
      <c r="C137" s="804" t="s">
        <v>306</v>
      </c>
      <c r="D137" s="811">
        <v>100028.3</v>
      </c>
      <c r="E137" s="811">
        <v>57039.8</v>
      </c>
      <c r="F137" s="811">
        <v>145652.5</v>
      </c>
      <c r="G137" s="811">
        <v>380781.4</v>
      </c>
      <c r="H137" s="811">
        <v>207379.20000000001</v>
      </c>
      <c r="I137" s="811">
        <v>612131.5</v>
      </c>
      <c r="J137" s="811">
        <v>408359.1</v>
      </c>
      <c r="K137" s="811">
        <v>103872.8</v>
      </c>
      <c r="L137" s="811">
        <v>795047.6</v>
      </c>
      <c r="M137" s="811">
        <v>46982.9</v>
      </c>
      <c r="N137" s="811">
        <v>435912.4</v>
      </c>
      <c r="O137" s="811">
        <v>90265.8</v>
      </c>
      <c r="P137" s="811">
        <v>3383453.4</v>
      </c>
    </row>
    <row r="138" spans="3:16">
      <c r="C138" s="804" t="s">
        <v>307</v>
      </c>
      <c r="D138" s="811">
        <v>94346.3</v>
      </c>
      <c r="E138" s="811">
        <v>52722.400000000001</v>
      </c>
      <c r="F138" s="811">
        <v>141401.4</v>
      </c>
      <c r="G138" s="811">
        <v>338625.9</v>
      </c>
      <c r="H138" s="811">
        <v>223223.8</v>
      </c>
      <c r="I138" s="811">
        <v>754145.4</v>
      </c>
      <c r="J138" s="811">
        <v>339305.6</v>
      </c>
      <c r="K138" s="811">
        <v>99583.3</v>
      </c>
      <c r="L138" s="811">
        <v>754116.1</v>
      </c>
      <c r="M138" s="811">
        <v>41527.199999999997</v>
      </c>
      <c r="N138" s="811">
        <v>440197.9</v>
      </c>
      <c r="O138" s="811">
        <v>97771.1</v>
      </c>
      <c r="P138" s="811">
        <v>3376966.4</v>
      </c>
    </row>
    <row r="139" spans="3:16">
      <c r="C139" s="804" t="s">
        <v>308</v>
      </c>
      <c r="D139" s="811">
        <v>114178.7</v>
      </c>
      <c r="E139" s="811">
        <v>47740.9</v>
      </c>
      <c r="F139" s="811">
        <v>128399.3</v>
      </c>
      <c r="G139" s="811">
        <v>312639.2</v>
      </c>
      <c r="H139" s="811">
        <v>241628.79999999999</v>
      </c>
      <c r="I139" s="811">
        <v>741885.4</v>
      </c>
      <c r="J139" s="811">
        <v>283426</v>
      </c>
      <c r="K139" s="811">
        <v>80507.600000000006</v>
      </c>
      <c r="L139" s="811">
        <v>727492.5</v>
      </c>
      <c r="M139" s="811">
        <v>42901</v>
      </c>
      <c r="N139" s="811">
        <v>458479.9</v>
      </c>
      <c r="O139" s="811">
        <v>89292.5</v>
      </c>
      <c r="P139" s="811">
        <v>3268571.8</v>
      </c>
    </row>
    <row r="140" spans="3:16">
      <c r="C140" s="804" t="s">
        <v>311</v>
      </c>
      <c r="D140" s="811">
        <v>113914.2</v>
      </c>
      <c r="E140" s="811">
        <v>51981.7</v>
      </c>
      <c r="F140" s="811">
        <v>142938.1</v>
      </c>
      <c r="G140" s="811">
        <v>342785.1</v>
      </c>
      <c r="H140" s="811">
        <v>213125.2</v>
      </c>
      <c r="I140" s="811">
        <v>755299.4</v>
      </c>
      <c r="J140" s="811">
        <v>327658.09999999998</v>
      </c>
      <c r="K140" s="811">
        <v>83103.100000000006</v>
      </c>
      <c r="L140" s="811">
        <v>762884.4</v>
      </c>
      <c r="M140" s="811">
        <v>41827.9</v>
      </c>
      <c r="N140" s="811">
        <v>432436.3</v>
      </c>
      <c r="O140" s="811">
        <v>61038.7</v>
      </c>
      <c r="P140" s="811">
        <v>3328992.1</v>
      </c>
    </row>
    <row r="141" spans="3:16">
      <c r="C141" s="804"/>
      <c r="D141" s="811"/>
      <c r="E141" s="811"/>
      <c r="F141" s="811"/>
      <c r="G141" s="811"/>
      <c r="H141" s="811"/>
      <c r="I141" s="811"/>
      <c r="J141" s="811"/>
      <c r="K141" s="811"/>
      <c r="L141" s="811"/>
      <c r="M141" s="811"/>
      <c r="N141" s="811"/>
      <c r="O141" s="811"/>
      <c r="P141" s="811"/>
    </row>
    <row r="142" spans="3:16">
      <c r="C142" s="808">
        <v>2014</v>
      </c>
      <c r="D142" s="811"/>
      <c r="E142" s="811"/>
      <c r="F142" s="811"/>
      <c r="G142" s="811"/>
      <c r="H142" s="811"/>
      <c r="I142" s="811"/>
      <c r="J142" s="811"/>
      <c r="K142" s="811"/>
      <c r="L142" s="811"/>
      <c r="M142" s="811"/>
      <c r="N142" s="811"/>
      <c r="O142" s="811"/>
      <c r="P142" s="811"/>
    </row>
    <row r="143" spans="3:16">
      <c r="C143" s="804"/>
      <c r="D143" s="811"/>
      <c r="E143" s="811"/>
      <c r="F143" s="811"/>
      <c r="G143" s="811"/>
      <c r="H143" s="811"/>
      <c r="I143" s="811"/>
      <c r="J143" s="811"/>
      <c r="K143" s="811"/>
      <c r="L143" s="811"/>
      <c r="M143" s="811"/>
      <c r="N143" s="811"/>
      <c r="O143" s="811"/>
      <c r="P143" s="811"/>
    </row>
    <row r="144" spans="3:16">
      <c r="C144" s="804" t="s">
        <v>298</v>
      </c>
      <c r="D144" s="811">
        <v>130154.6</v>
      </c>
      <c r="E144" s="811">
        <v>53292.9</v>
      </c>
      <c r="F144" s="811">
        <v>146876.1</v>
      </c>
      <c r="G144" s="811">
        <v>353793.8</v>
      </c>
      <c r="H144" s="811">
        <v>259569.6</v>
      </c>
      <c r="I144" s="811">
        <v>731703.3</v>
      </c>
      <c r="J144" s="811">
        <v>304033.2</v>
      </c>
      <c r="K144" s="811">
        <v>93776.7</v>
      </c>
      <c r="L144" s="811">
        <v>770435.4</v>
      </c>
      <c r="M144" s="811">
        <v>40085.9</v>
      </c>
      <c r="N144" s="811">
        <v>485573.1</v>
      </c>
      <c r="O144" s="811">
        <v>60897.7</v>
      </c>
      <c r="P144" s="811">
        <v>3430192.5</v>
      </c>
    </row>
    <row r="145" spans="3:16">
      <c r="C145" s="812" t="s">
        <v>1311</v>
      </c>
      <c r="D145" s="811">
        <v>138812.29999999999</v>
      </c>
      <c r="E145" s="811">
        <v>55092.2</v>
      </c>
      <c r="F145" s="811">
        <v>134813.9</v>
      </c>
      <c r="G145" s="811">
        <v>420181</v>
      </c>
      <c r="H145" s="811">
        <v>262183.8</v>
      </c>
      <c r="I145" s="811">
        <v>786295.6</v>
      </c>
      <c r="J145" s="811">
        <v>270062.5</v>
      </c>
      <c r="K145" s="811">
        <v>131134.79999999999</v>
      </c>
      <c r="L145" s="811">
        <v>779640.3</v>
      </c>
      <c r="M145" s="811">
        <v>39169.199999999997</v>
      </c>
      <c r="N145" s="811">
        <v>508813.7</v>
      </c>
      <c r="O145" s="811">
        <v>61822.3</v>
      </c>
      <c r="P145" s="811">
        <v>3588021.6</v>
      </c>
    </row>
    <row r="146" spans="3:16">
      <c r="C146" s="804" t="s">
        <v>300</v>
      </c>
      <c r="D146" s="811">
        <v>118239.1</v>
      </c>
      <c r="E146" s="811">
        <v>55167.5</v>
      </c>
      <c r="F146" s="811">
        <v>135807.9</v>
      </c>
      <c r="G146" s="811">
        <v>382675.5</v>
      </c>
      <c r="H146" s="811">
        <v>216025.3</v>
      </c>
      <c r="I146" s="811">
        <v>791776</v>
      </c>
      <c r="J146" s="811">
        <v>275549.09999999998</v>
      </c>
      <c r="K146" s="811">
        <v>103298.7</v>
      </c>
      <c r="L146" s="811">
        <v>806185.9</v>
      </c>
      <c r="M146" s="811">
        <v>42432.800000000003</v>
      </c>
      <c r="N146" s="811">
        <v>521381.5</v>
      </c>
      <c r="O146" s="811">
        <v>72990.899999999994</v>
      </c>
      <c r="P146" s="811">
        <v>3521530.3</v>
      </c>
    </row>
    <row r="147" spans="3:16">
      <c r="C147" s="804" t="s">
        <v>301</v>
      </c>
      <c r="D147" s="811">
        <v>164347.5</v>
      </c>
      <c r="E147" s="811">
        <v>59289.3</v>
      </c>
      <c r="F147" s="811">
        <v>102323.7</v>
      </c>
      <c r="G147" s="811">
        <v>408823.5</v>
      </c>
      <c r="H147" s="811">
        <v>325559.7</v>
      </c>
      <c r="I147" s="811">
        <v>780207</v>
      </c>
      <c r="J147" s="811">
        <v>325659.8</v>
      </c>
      <c r="K147" s="811">
        <v>135187.4</v>
      </c>
      <c r="L147" s="811">
        <v>888876.2</v>
      </c>
      <c r="M147" s="811">
        <v>43746.5</v>
      </c>
      <c r="N147" s="811">
        <v>582848.80000000005</v>
      </c>
      <c r="O147" s="811">
        <v>82009.8</v>
      </c>
      <c r="P147" s="811">
        <v>3898879.1</v>
      </c>
    </row>
    <row r="148" spans="3:16">
      <c r="C148" s="804" t="s">
        <v>302</v>
      </c>
      <c r="D148" s="811">
        <v>149474.1</v>
      </c>
      <c r="E148" s="811">
        <v>60669.4</v>
      </c>
      <c r="F148" s="811">
        <v>108977.60000000001</v>
      </c>
      <c r="G148" s="811">
        <v>355802.3</v>
      </c>
      <c r="H148" s="811">
        <v>332850.8</v>
      </c>
      <c r="I148" s="811">
        <v>800256.8</v>
      </c>
      <c r="J148" s="811">
        <v>303599.40000000002</v>
      </c>
      <c r="K148" s="811">
        <v>132132.79999999999</v>
      </c>
      <c r="L148" s="811">
        <v>1027552.7</v>
      </c>
      <c r="M148" s="811">
        <v>38921</v>
      </c>
      <c r="N148" s="811">
        <v>581930.19999999995</v>
      </c>
      <c r="O148" s="811">
        <v>93334.9</v>
      </c>
      <c r="P148" s="811">
        <v>3985501.8</v>
      </c>
    </row>
    <row r="149" spans="3:16">
      <c r="C149" s="804" t="s">
        <v>303</v>
      </c>
      <c r="D149" s="811">
        <v>194685.1</v>
      </c>
      <c r="E149" s="811">
        <v>64188.9</v>
      </c>
      <c r="F149" s="811">
        <v>95595.6</v>
      </c>
      <c r="G149" s="811">
        <v>470267.7</v>
      </c>
      <c r="H149" s="811">
        <v>291594.59999999998</v>
      </c>
      <c r="I149" s="811">
        <v>812999.7</v>
      </c>
      <c r="J149" s="811">
        <v>348303.5</v>
      </c>
      <c r="K149" s="811">
        <v>130453.4</v>
      </c>
      <c r="L149" s="811">
        <v>895698</v>
      </c>
      <c r="M149" s="811">
        <v>44735.5</v>
      </c>
      <c r="N149" s="811">
        <v>575149.1</v>
      </c>
      <c r="O149" s="811">
        <v>91392.4</v>
      </c>
      <c r="P149" s="811">
        <v>4015063.5</v>
      </c>
    </row>
    <row r="150" spans="3:16">
      <c r="C150" s="804" t="s">
        <v>304</v>
      </c>
      <c r="D150" s="811">
        <v>163335.6</v>
      </c>
      <c r="E150" s="811">
        <v>56812</v>
      </c>
      <c r="F150" s="811">
        <v>87587.5</v>
      </c>
      <c r="G150" s="811">
        <v>370121.7</v>
      </c>
      <c r="H150" s="811">
        <v>303367.3</v>
      </c>
      <c r="I150" s="811">
        <v>830988.6</v>
      </c>
      <c r="J150" s="811">
        <v>334436.8</v>
      </c>
      <c r="K150" s="811">
        <v>112985</v>
      </c>
      <c r="L150" s="811">
        <v>880761.1</v>
      </c>
      <c r="M150" s="811">
        <v>44675.4</v>
      </c>
      <c r="N150" s="811">
        <v>587756.69999999995</v>
      </c>
      <c r="O150" s="811">
        <v>94841.5</v>
      </c>
      <c r="P150" s="811">
        <v>3867669.2</v>
      </c>
    </row>
    <row r="151" spans="3:16">
      <c r="C151" s="804" t="s">
        <v>305</v>
      </c>
      <c r="D151" s="811">
        <v>128794.1</v>
      </c>
      <c r="E151" s="811">
        <v>38934.1</v>
      </c>
      <c r="F151" s="811">
        <v>90012.5</v>
      </c>
      <c r="G151" s="811">
        <v>271204.3</v>
      </c>
      <c r="H151" s="811">
        <v>270009.90000000002</v>
      </c>
      <c r="I151" s="811">
        <v>755141.6</v>
      </c>
      <c r="J151" s="811">
        <v>236267.5</v>
      </c>
      <c r="K151" s="811">
        <v>130548.6</v>
      </c>
      <c r="L151" s="811">
        <v>865566.6</v>
      </c>
      <c r="M151" s="811">
        <v>31180.400000000001</v>
      </c>
      <c r="N151" s="811">
        <v>467724.2</v>
      </c>
      <c r="O151" s="811">
        <v>89582.399999999994</v>
      </c>
      <c r="P151" s="811">
        <v>3374966.2</v>
      </c>
    </row>
    <row r="152" spans="3:16">
      <c r="C152" s="804" t="s">
        <v>306</v>
      </c>
      <c r="D152" s="803"/>
      <c r="E152" s="803"/>
      <c r="F152" s="803"/>
      <c r="G152" s="803"/>
      <c r="H152" s="803"/>
      <c r="I152" s="803"/>
      <c r="J152" s="803"/>
      <c r="K152" s="803"/>
      <c r="L152" s="803"/>
      <c r="M152" s="803"/>
      <c r="N152" s="803"/>
      <c r="O152" s="803"/>
      <c r="P152" s="803"/>
    </row>
    <row r="153" spans="3:16" ht="15.6" thickBot="1">
      <c r="C153" s="813"/>
      <c r="D153" s="814"/>
      <c r="E153" s="814"/>
      <c r="F153" s="814"/>
      <c r="G153" s="814"/>
      <c r="H153" s="814"/>
      <c r="I153" s="814"/>
      <c r="J153" s="814"/>
      <c r="K153" s="814"/>
      <c r="L153" s="814"/>
      <c r="M153" s="814"/>
      <c r="N153" s="814"/>
      <c r="O153" s="814"/>
      <c r="P153" s="814"/>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5"/>
    <col min="3" max="5" width="17.36328125" style="815" customWidth="1"/>
    <col min="6" max="6" width="17.36328125" style="815"/>
    <col min="7" max="7" width="17.36328125" style="815" customWidth="1"/>
    <col min="8" max="8" width="17.36328125" style="815"/>
    <col min="9" max="10" width="17.36328125" style="815" customWidth="1"/>
    <col min="11" max="11" width="17.36328125" style="815"/>
    <col min="12" max="12" width="17.36328125" style="815" customWidth="1"/>
    <col min="13" max="13" width="17.36328125" style="815"/>
    <col min="14" max="15" width="17.36328125" style="815" customWidth="1"/>
    <col min="16" max="16384" width="17.36328125" style="815"/>
  </cols>
  <sheetData>
    <row r="3" spans="2:15">
      <c r="B3" s="1848" t="s">
        <v>1105</v>
      </c>
      <c r="C3" s="1848"/>
      <c r="D3" s="1848"/>
      <c r="E3" s="1848"/>
      <c r="F3" s="1848"/>
      <c r="G3" s="1848"/>
      <c r="H3" s="1848"/>
      <c r="I3" s="1848"/>
      <c r="J3" s="1848"/>
      <c r="K3" s="1848"/>
      <c r="L3" s="1848"/>
      <c r="M3" s="1848"/>
      <c r="N3" s="1848"/>
      <c r="O3" s="1848"/>
    </row>
    <row r="4" spans="2:15">
      <c r="B4" s="816"/>
      <c r="C4" s="817"/>
      <c r="D4" s="817"/>
      <c r="E4" s="817"/>
      <c r="F4" s="818"/>
      <c r="G4" s="818"/>
      <c r="H4" s="818"/>
      <c r="I4" s="818"/>
      <c r="J4" s="818"/>
      <c r="K4" s="818"/>
      <c r="L4" s="818"/>
      <c r="M4" s="818"/>
      <c r="N4" s="817"/>
      <c r="O4" s="817"/>
    </row>
    <row r="5" spans="2:15">
      <c r="B5" s="1849" t="s">
        <v>2</v>
      </c>
      <c r="C5" s="1849"/>
      <c r="D5" s="1849"/>
      <c r="E5" s="1849"/>
      <c r="F5" s="1849"/>
      <c r="G5" s="1849"/>
      <c r="H5" s="1849"/>
      <c r="I5" s="1849"/>
      <c r="J5" s="1849"/>
      <c r="K5" s="1849"/>
      <c r="L5" s="1849"/>
      <c r="M5" s="1849"/>
      <c r="N5" s="817"/>
      <c r="O5" s="817"/>
    </row>
    <row r="6" spans="2:15" ht="14.4" thickBot="1">
      <c r="B6" s="819"/>
      <c r="C6" s="818"/>
      <c r="D6" s="818"/>
      <c r="E6" s="818"/>
      <c r="F6" s="818"/>
      <c r="G6" s="818"/>
      <c r="H6" s="818"/>
      <c r="I6" s="818"/>
      <c r="J6" s="818"/>
      <c r="K6" s="818"/>
      <c r="L6" s="818"/>
      <c r="M6" s="818"/>
      <c r="N6" s="818"/>
      <c r="O6" s="818"/>
    </row>
    <row r="7" spans="2:15" ht="14.4" thickTop="1">
      <c r="B7" s="820"/>
      <c r="C7" s="821"/>
      <c r="D7" s="821"/>
      <c r="E7" s="821"/>
      <c r="F7" s="821"/>
      <c r="G7" s="821"/>
      <c r="H7" s="821"/>
      <c r="I7" s="821"/>
      <c r="J7" s="821"/>
      <c r="K7" s="821"/>
      <c r="L7" s="821"/>
      <c r="M7" s="821"/>
      <c r="N7" s="821"/>
      <c r="O7" s="822"/>
    </row>
    <row r="8" spans="2:15">
      <c r="B8" s="823" t="s">
        <v>263</v>
      </c>
      <c r="C8" s="824" t="s">
        <v>392</v>
      </c>
      <c r="D8" s="824" t="s">
        <v>393</v>
      </c>
      <c r="E8" s="824" t="s">
        <v>772</v>
      </c>
      <c r="F8" s="824" t="s">
        <v>396</v>
      </c>
      <c r="G8" s="824" t="s">
        <v>401</v>
      </c>
      <c r="H8" s="824" t="s">
        <v>402</v>
      </c>
      <c r="I8" s="824" t="s">
        <v>403</v>
      </c>
      <c r="J8" s="824" t="s">
        <v>404</v>
      </c>
      <c r="K8" s="824" t="s">
        <v>405</v>
      </c>
      <c r="L8" s="824" t="s">
        <v>406</v>
      </c>
      <c r="M8" s="824" t="s">
        <v>407</v>
      </c>
      <c r="N8" s="824" t="s">
        <v>295</v>
      </c>
      <c r="O8" s="825" t="s">
        <v>287</v>
      </c>
    </row>
    <row r="9" spans="2:15">
      <c r="B9" s="826"/>
      <c r="C9" s="827"/>
      <c r="D9" s="827"/>
      <c r="E9" s="827"/>
      <c r="F9" s="827"/>
      <c r="G9" s="824" t="s">
        <v>408</v>
      </c>
      <c r="H9" s="824" t="s">
        <v>409</v>
      </c>
      <c r="I9" s="827"/>
      <c r="J9" s="827"/>
      <c r="K9" s="827"/>
      <c r="L9" s="827"/>
      <c r="M9" s="827"/>
      <c r="N9" s="827"/>
      <c r="O9" s="828"/>
    </row>
    <row r="10" spans="2:15" ht="14.4" thickBot="1">
      <c r="B10" s="829"/>
      <c r="C10" s="830"/>
      <c r="D10" s="830"/>
      <c r="E10" s="830"/>
      <c r="F10" s="830"/>
      <c r="G10" s="830"/>
      <c r="H10" s="830"/>
      <c r="I10" s="830"/>
      <c r="J10" s="830"/>
      <c r="K10" s="830"/>
      <c r="L10" s="830"/>
      <c r="M10" s="830"/>
      <c r="N10" s="830"/>
      <c r="O10" s="831"/>
    </row>
    <row r="11" spans="2:15" ht="14.4" thickTop="1">
      <c r="B11" s="832"/>
      <c r="C11" s="833"/>
      <c r="D11" s="833"/>
      <c r="E11" s="833"/>
      <c r="F11" s="833"/>
      <c r="G11" s="833"/>
      <c r="H11" s="833"/>
      <c r="I11" s="833"/>
      <c r="J11" s="833"/>
      <c r="K11" s="833"/>
      <c r="L11" s="833"/>
      <c r="M11" s="833"/>
      <c r="N11" s="833"/>
      <c r="O11" s="834"/>
    </row>
    <row r="12" spans="2:15" ht="15.6">
      <c r="B12" s="835">
        <v>2009</v>
      </c>
      <c r="C12" s="769"/>
      <c r="D12" s="769"/>
      <c r="E12" s="772"/>
      <c r="F12" s="772"/>
      <c r="G12" s="772"/>
      <c r="H12" s="772"/>
      <c r="I12" s="772"/>
      <c r="J12" s="772"/>
      <c r="K12" s="772"/>
      <c r="L12" s="772"/>
      <c r="M12" s="772"/>
      <c r="N12" s="772"/>
      <c r="O12" s="773"/>
    </row>
    <row r="13" spans="2:15" ht="15.6">
      <c r="B13" s="836"/>
      <c r="C13" s="769"/>
      <c r="D13" s="769"/>
      <c r="E13" s="772"/>
      <c r="F13" s="772"/>
      <c r="G13" s="772"/>
      <c r="H13" s="772"/>
      <c r="I13" s="772"/>
      <c r="J13" s="772"/>
      <c r="K13" s="772"/>
      <c r="L13" s="772"/>
      <c r="M13" s="772"/>
      <c r="N13" s="772"/>
      <c r="O13" s="773"/>
    </row>
    <row r="14" spans="2:15" ht="15.6">
      <c r="B14" s="836" t="s">
        <v>298</v>
      </c>
      <c r="C14" s="769">
        <v>2518.0518480000001</v>
      </c>
      <c r="D14" s="769">
        <v>1070.447678</v>
      </c>
      <c r="E14" s="772">
        <v>686.65448800000001</v>
      </c>
      <c r="F14" s="772">
        <v>6623.5338519999996</v>
      </c>
      <c r="G14" s="772">
        <v>1792.2836239999999</v>
      </c>
      <c r="H14" s="772">
        <v>6125.2962150000003</v>
      </c>
      <c r="I14" s="772">
        <v>4852.6006420000003</v>
      </c>
      <c r="J14" s="772">
        <v>1062.4414039999999</v>
      </c>
      <c r="K14" s="772">
        <v>14192.634575</v>
      </c>
      <c r="L14" s="772">
        <v>1273.3944080000001</v>
      </c>
      <c r="M14" s="772">
        <v>8875.9697639999995</v>
      </c>
      <c r="N14" s="772">
        <v>100.676946</v>
      </c>
      <c r="O14" s="773">
        <v>49173.985443999998</v>
      </c>
    </row>
    <row r="15" spans="2:15" ht="15.6">
      <c r="B15" s="836"/>
      <c r="C15" s="769"/>
      <c r="D15" s="769"/>
      <c r="E15" s="772"/>
      <c r="F15" s="772"/>
      <c r="G15" s="772"/>
      <c r="H15" s="772"/>
      <c r="I15" s="772"/>
      <c r="J15" s="772"/>
      <c r="K15" s="772"/>
      <c r="L15" s="772"/>
      <c r="M15" s="772"/>
      <c r="N15" s="772"/>
      <c r="O15" s="773"/>
    </row>
    <row r="16" spans="2:15" ht="15.6">
      <c r="B16" s="836" t="s">
        <v>299</v>
      </c>
      <c r="C16" s="837">
        <v>4759841</v>
      </c>
      <c r="D16" s="837">
        <v>2985910</v>
      </c>
      <c r="E16" s="837">
        <v>7806849</v>
      </c>
      <c r="F16" s="837">
        <v>27751104</v>
      </c>
      <c r="G16" s="837">
        <v>21157828</v>
      </c>
      <c r="H16" s="837">
        <v>10647265</v>
      </c>
      <c r="I16" s="837">
        <v>33681185</v>
      </c>
      <c r="J16" s="837">
        <v>10152437</v>
      </c>
      <c r="K16" s="837">
        <v>116088574</v>
      </c>
      <c r="L16" s="837">
        <v>18885697</v>
      </c>
      <c r="M16" s="837">
        <v>174276176</v>
      </c>
      <c r="N16" s="837">
        <v>1888</v>
      </c>
      <c r="O16" s="838">
        <f>SUM(C16:N16)</f>
        <v>428194754</v>
      </c>
    </row>
    <row r="17" spans="2:15" ht="15.6">
      <c r="B17" s="836"/>
      <c r="C17" s="837"/>
      <c r="D17" s="837"/>
      <c r="E17" s="837"/>
      <c r="F17" s="837"/>
      <c r="G17" s="837"/>
      <c r="H17" s="837"/>
      <c r="I17" s="837"/>
      <c r="J17" s="837"/>
      <c r="K17" s="837"/>
      <c r="L17" s="837"/>
      <c r="M17" s="837"/>
      <c r="N17" s="837"/>
      <c r="O17" s="838"/>
    </row>
    <row r="18" spans="2:15" ht="15.6">
      <c r="B18" s="839" t="s">
        <v>300</v>
      </c>
      <c r="C18" s="837">
        <v>11499459</v>
      </c>
      <c r="D18" s="837">
        <v>5324203</v>
      </c>
      <c r="E18" s="837">
        <v>7382936</v>
      </c>
      <c r="F18" s="837">
        <v>33303160</v>
      </c>
      <c r="G18" s="837">
        <v>9533999</v>
      </c>
      <c r="H18" s="837">
        <v>15086501</v>
      </c>
      <c r="I18" s="837">
        <v>32203522</v>
      </c>
      <c r="J18" s="837">
        <v>12925508</v>
      </c>
      <c r="K18" s="837">
        <v>118989643</v>
      </c>
      <c r="L18" s="837">
        <v>21908747</v>
      </c>
      <c r="M18" s="837">
        <v>47098362</v>
      </c>
      <c r="N18" s="837">
        <v>4370</v>
      </c>
      <c r="O18" s="838">
        <f>SUM(C18:N18)</f>
        <v>315260410</v>
      </c>
    </row>
    <row r="19" spans="2:15" ht="15.6">
      <c r="B19" s="836"/>
      <c r="C19" s="837"/>
      <c r="D19" s="837"/>
      <c r="E19" s="837"/>
      <c r="F19" s="837"/>
      <c r="G19" s="837"/>
      <c r="H19" s="837"/>
      <c r="I19" s="837"/>
      <c r="J19" s="837"/>
      <c r="K19" s="837"/>
      <c r="L19" s="837"/>
      <c r="M19" s="837"/>
      <c r="N19" s="837"/>
      <c r="O19" s="838"/>
    </row>
    <row r="20" spans="2:15" ht="15.6">
      <c r="B20" s="836" t="s">
        <v>301</v>
      </c>
      <c r="C20" s="837">
        <v>12854030</v>
      </c>
      <c r="D20" s="837">
        <v>5787465</v>
      </c>
      <c r="E20" s="837">
        <v>11579173</v>
      </c>
      <c r="F20" s="837">
        <v>47022191</v>
      </c>
      <c r="G20" s="837">
        <v>9926801</v>
      </c>
      <c r="H20" s="837">
        <v>19358374</v>
      </c>
      <c r="I20" s="837">
        <v>36253825</v>
      </c>
      <c r="J20" s="837">
        <v>12829936</v>
      </c>
      <c r="K20" s="837">
        <v>171211340</v>
      </c>
      <c r="L20" s="837">
        <v>16479605</v>
      </c>
      <c r="M20" s="837">
        <v>50151323</v>
      </c>
      <c r="N20" s="837">
        <v>1471231</v>
      </c>
      <c r="O20" s="838">
        <f>SUM(C20:N20)</f>
        <v>394925294</v>
      </c>
    </row>
    <row r="21" spans="2:15" ht="15.6">
      <c r="B21" s="836"/>
      <c r="C21" s="837"/>
      <c r="D21" s="837"/>
      <c r="E21" s="837"/>
      <c r="F21" s="837"/>
      <c r="G21" s="837"/>
      <c r="H21" s="837"/>
      <c r="I21" s="837"/>
      <c r="J21" s="837"/>
      <c r="K21" s="837"/>
      <c r="L21" s="837"/>
      <c r="M21" s="837"/>
      <c r="N21" s="837"/>
      <c r="O21" s="838"/>
    </row>
    <row r="22" spans="2:15" ht="15.6">
      <c r="B22" s="836" t="s">
        <v>302</v>
      </c>
      <c r="C22" s="837">
        <v>18771875</v>
      </c>
      <c r="D22" s="837">
        <v>8487119</v>
      </c>
      <c r="E22" s="837">
        <v>16330826</v>
      </c>
      <c r="F22" s="837">
        <v>40792442</v>
      </c>
      <c r="G22" s="837">
        <v>20654900</v>
      </c>
      <c r="H22" s="837">
        <v>20510692</v>
      </c>
      <c r="I22" s="837">
        <v>40219671</v>
      </c>
      <c r="J22" s="837">
        <v>14666473</v>
      </c>
      <c r="K22" s="837">
        <v>238556121</v>
      </c>
      <c r="L22" s="837">
        <v>14046194</v>
      </c>
      <c r="M22" s="837">
        <v>54419467</v>
      </c>
      <c r="N22" s="837">
        <v>1088468</v>
      </c>
      <c r="O22" s="838">
        <f>SUM(C22:N22)</f>
        <v>488544248</v>
      </c>
    </row>
    <row r="23" spans="2:15" ht="15.6">
      <c r="B23" s="836"/>
      <c r="C23" s="837"/>
      <c r="D23" s="837"/>
      <c r="E23" s="837"/>
      <c r="F23" s="837"/>
      <c r="G23" s="837"/>
      <c r="H23" s="837"/>
      <c r="I23" s="837"/>
      <c r="J23" s="837"/>
      <c r="K23" s="837"/>
      <c r="L23" s="837"/>
      <c r="M23" s="837"/>
      <c r="N23" s="837"/>
      <c r="O23" s="838"/>
    </row>
    <row r="24" spans="2:15" ht="15.6">
      <c r="B24" s="836" t="s">
        <v>303</v>
      </c>
      <c r="C24" s="837">
        <v>32983464</v>
      </c>
      <c r="D24" s="837">
        <v>5059256</v>
      </c>
      <c r="E24" s="837">
        <v>9706358</v>
      </c>
      <c r="F24" s="837">
        <v>30946801</v>
      </c>
      <c r="G24" s="837">
        <v>59804106</v>
      </c>
      <c r="H24" s="837">
        <v>56197694</v>
      </c>
      <c r="I24" s="837">
        <v>35169208</v>
      </c>
      <c r="J24" s="837">
        <v>17126146</v>
      </c>
      <c r="K24" s="837">
        <v>253785766</v>
      </c>
      <c r="L24" s="837">
        <v>13254615</v>
      </c>
      <c r="M24" s="837">
        <v>62507686</v>
      </c>
      <c r="N24" s="837">
        <v>1830356</v>
      </c>
      <c r="O24" s="838">
        <f>SUM(C24:N24)</f>
        <v>578371456</v>
      </c>
    </row>
    <row r="25" spans="2:15" ht="15.6">
      <c r="B25" s="836"/>
      <c r="C25" s="837"/>
      <c r="D25" s="837"/>
      <c r="E25" s="837"/>
      <c r="F25" s="837"/>
      <c r="G25" s="837"/>
      <c r="H25" s="837"/>
      <c r="I25" s="837"/>
      <c r="J25" s="837"/>
      <c r="K25" s="837"/>
      <c r="L25" s="837"/>
      <c r="M25" s="837"/>
      <c r="N25" s="837"/>
      <c r="O25" s="838"/>
    </row>
    <row r="26" spans="2:15" ht="15.6">
      <c r="B26" s="836" t="s">
        <v>304</v>
      </c>
      <c r="C26" s="837">
        <v>68550531</v>
      </c>
      <c r="D26" s="837">
        <v>2078765</v>
      </c>
      <c r="E26" s="837">
        <v>22835355</v>
      </c>
      <c r="F26" s="837">
        <v>41452416</v>
      </c>
      <c r="G26" s="837">
        <v>47158323</v>
      </c>
      <c r="H26" s="837">
        <v>61284262</v>
      </c>
      <c r="I26" s="837">
        <v>35061639</v>
      </c>
      <c r="J26" s="837">
        <v>19262315</v>
      </c>
      <c r="K26" s="837">
        <v>233687753</v>
      </c>
      <c r="L26" s="837">
        <v>12377493</v>
      </c>
      <c r="M26" s="837">
        <v>87138389</v>
      </c>
      <c r="N26" s="837">
        <v>2333197</v>
      </c>
      <c r="O26" s="838">
        <f>SUM(C26:N26)</f>
        <v>633220438</v>
      </c>
    </row>
    <row r="27" spans="2:15" ht="15.6">
      <c r="B27" s="836"/>
      <c r="C27" s="837"/>
      <c r="D27" s="837"/>
      <c r="E27" s="837"/>
      <c r="F27" s="837"/>
      <c r="G27" s="837"/>
      <c r="H27" s="837"/>
      <c r="I27" s="837"/>
      <c r="J27" s="837"/>
      <c r="K27" s="837"/>
      <c r="L27" s="837"/>
      <c r="M27" s="837"/>
      <c r="N27" s="837"/>
      <c r="O27" s="838"/>
    </row>
    <row r="28" spans="2:15" ht="15.6">
      <c r="B28" s="839" t="s">
        <v>305</v>
      </c>
      <c r="C28" s="837">
        <v>43051449.399999999</v>
      </c>
      <c r="D28" s="837">
        <v>1921019.8</v>
      </c>
      <c r="E28" s="837">
        <v>21690678.100000001</v>
      </c>
      <c r="F28" s="837">
        <v>69595988.799999997</v>
      </c>
      <c r="G28" s="837">
        <v>46626278.200000003</v>
      </c>
      <c r="H28" s="837">
        <v>59062373.700000003</v>
      </c>
      <c r="I28" s="837">
        <v>37961289.200000003</v>
      </c>
      <c r="J28" s="837">
        <v>21738851.600000001</v>
      </c>
      <c r="K28" s="837">
        <v>277626205.80000001</v>
      </c>
      <c r="L28" s="837">
        <v>9628104.6999999993</v>
      </c>
      <c r="M28" s="837">
        <v>103850203.7</v>
      </c>
      <c r="N28" s="837">
        <v>1725844.5</v>
      </c>
      <c r="O28" s="838">
        <f>SUM(C28:N28)</f>
        <v>694478287.50000012</v>
      </c>
    </row>
    <row r="29" spans="2:15" ht="15.6">
      <c r="B29" s="836"/>
      <c r="C29" s="837"/>
      <c r="D29" s="837"/>
      <c r="E29" s="837"/>
      <c r="F29" s="837"/>
      <c r="G29" s="837"/>
      <c r="H29" s="837"/>
      <c r="I29" s="837"/>
      <c r="J29" s="837"/>
      <c r="K29" s="837"/>
      <c r="L29" s="837"/>
      <c r="M29" s="837"/>
      <c r="N29" s="837"/>
      <c r="O29" s="838"/>
    </row>
    <row r="30" spans="2:15" ht="15.6">
      <c r="B30" s="836" t="s">
        <v>306</v>
      </c>
      <c r="C30" s="837">
        <v>50169629</v>
      </c>
      <c r="D30" s="837">
        <v>2897866</v>
      </c>
      <c r="E30" s="837">
        <v>25935263</v>
      </c>
      <c r="F30" s="837">
        <v>74566403</v>
      </c>
      <c r="G30" s="837">
        <v>38003053</v>
      </c>
      <c r="H30" s="837">
        <v>69346883</v>
      </c>
      <c r="I30" s="837">
        <v>61884938</v>
      </c>
      <c r="J30" s="837">
        <v>26521980</v>
      </c>
      <c r="K30" s="837">
        <v>280574722</v>
      </c>
      <c r="L30" s="837">
        <v>13466199</v>
      </c>
      <c r="M30" s="837">
        <v>117598801</v>
      </c>
      <c r="N30" s="837">
        <v>3258187</v>
      </c>
      <c r="O30" s="838">
        <f>SUM(C30:N30)</f>
        <v>764223924</v>
      </c>
    </row>
    <row r="31" spans="2:15" ht="15.6">
      <c r="B31" s="836"/>
      <c r="C31" s="837"/>
      <c r="D31" s="837"/>
      <c r="E31" s="837"/>
      <c r="F31" s="837"/>
      <c r="G31" s="837"/>
      <c r="H31" s="837"/>
      <c r="I31" s="837"/>
      <c r="J31" s="837"/>
      <c r="K31" s="837"/>
      <c r="L31" s="837"/>
      <c r="M31" s="837"/>
      <c r="N31" s="837"/>
      <c r="O31" s="838"/>
    </row>
    <row r="32" spans="2:15" ht="15.6">
      <c r="B32" s="839" t="s">
        <v>307</v>
      </c>
      <c r="C32" s="837">
        <v>55618152</v>
      </c>
      <c r="D32" s="837">
        <v>2423973</v>
      </c>
      <c r="E32" s="837">
        <v>22148142</v>
      </c>
      <c r="F32" s="837">
        <v>84659482</v>
      </c>
      <c r="G32" s="837">
        <v>32413784</v>
      </c>
      <c r="H32" s="837">
        <v>67330309</v>
      </c>
      <c r="I32" s="837">
        <v>71392906</v>
      </c>
      <c r="J32" s="837">
        <v>23246168</v>
      </c>
      <c r="K32" s="837">
        <v>270980091</v>
      </c>
      <c r="L32" s="837">
        <v>9568634</v>
      </c>
      <c r="M32" s="837">
        <v>109889487</v>
      </c>
      <c r="N32" s="837">
        <v>3844791</v>
      </c>
      <c r="O32" s="838">
        <f>SUM(C32:N32)</f>
        <v>753515919</v>
      </c>
    </row>
    <row r="33" spans="2:15" ht="15.6">
      <c r="B33" s="836"/>
      <c r="C33" s="837"/>
      <c r="D33" s="837"/>
      <c r="E33" s="837"/>
      <c r="F33" s="837"/>
      <c r="G33" s="837"/>
      <c r="H33" s="837"/>
      <c r="I33" s="837"/>
      <c r="J33" s="837"/>
      <c r="K33" s="837"/>
      <c r="L33" s="837"/>
      <c r="M33" s="837"/>
      <c r="N33" s="837"/>
      <c r="O33" s="838"/>
    </row>
    <row r="34" spans="2:15" ht="15.6">
      <c r="B34" s="839" t="s">
        <v>308</v>
      </c>
      <c r="C34" s="837">
        <v>55654297</v>
      </c>
      <c r="D34" s="837">
        <v>2431735</v>
      </c>
      <c r="E34" s="837">
        <v>22132513</v>
      </c>
      <c r="F34" s="837">
        <v>83019884</v>
      </c>
      <c r="G34" s="837">
        <v>32441187</v>
      </c>
      <c r="H34" s="837">
        <v>68033282</v>
      </c>
      <c r="I34" s="837">
        <v>71269166</v>
      </c>
      <c r="J34" s="837">
        <v>23157961</v>
      </c>
      <c r="K34" s="837">
        <v>270173059</v>
      </c>
      <c r="L34" s="837">
        <v>9622828</v>
      </c>
      <c r="M34" s="837">
        <v>110478966</v>
      </c>
      <c r="N34" s="837">
        <v>5615695</v>
      </c>
      <c r="O34" s="838">
        <f>SUM(C34:N34)</f>
        <v>754030573</v>
      </c>
    </row>
    <row r="35" spans="2:15" ht="15.6">
      <c r="B35" s="836"/>
      <c r="C35" s="837"/>
      <c r="D35" s="837"/>
      <c r="E35" s="837"/>
      <c r="F35" s="837"/>
      <c r="G35" s="837"/>
      <c r="H35" s="837"/>
      <c r="I35" s="837"/>
      <c r="J35" s="837"/>
      <c r="K35" s="837"/>
      <c r="L35" s="837"/>
      <c r="M35" s="837"/>
      <c r="N35" s="837"/>
      <c r="O35" s="838"/>
    </row>
    <row r="36" spans="2:15" ht="15.6">
      <c r="B36" s="839" t="s">
        <v>311</v>
      </c>
      <c r="C36" s="837">
        <v>61792717</v>
      </c>
      <c r="D36" s="837">
        <v>6467231</v>
      </c>
      <c r="E36" s="837">
        <v>35365843</v>
      </c>
      <c r="F36" s="837">
        <v>81470729</v>
      </c>
      <c r="G36" s="837">
        <v>45127545</v>
      </c>
      <c r="H36" s="837">
        <v>68001800</v>
      </c>
      <c r="I36" s="837">
        <v>111397926</v>
      </c>
      <c r="J36" s="837">
        <v>30218267</v>
      </c>
      <c r="K36" s="837">
        <v>480954648</v>
      </c>
      <c r="L36" s="837">
        <v>14728806</v>
      </c>
      <c r="M36" s="837">
        <v>180117529</v>
      </c>
      <c r="N36" s="837">
        <v>3415491</v>
      </c>
      <c r="O36" s="838">
        <f>SUM(C36:N36)</f>
        <v>1119058532</v>
      </c>
    </row>
    <row r="37" spans="2:15" ht="15.6">
      <c r="B37" s="836"/>
      <c r="C37" s="837"/>
      <c r="D37" s="837"/>
      <c r="E37" s="837"/>
      <c r="F37" s="837"/>
      <c r="G37" s="837"/>
      <c r="H37" s="837"/>
      <c r="I37" s="837"/>
      <c r="J37" s="837"/>
      <c r="K37" s="837"/>
      <c r="L37" s="837"/>
      <c r="M37" s="837"/>
      <c r="N37" s="837"/>
      <c r="O37" s="838"/>
    </row>
    <row r="38" spans="2:15" ht="15.6">
      <c r="B38" s="835">
        <v>2010</v>
      </c>
      <c r="C38" s="837"/>
      <c r="D38" s="837"/>
      <c r="E38" s="837"/>
      <c r="F38" s="837"/>
      <c r="G38" s="837"/>
      <c r="H38" s="837"/>
      <c r="I38" s="837"/>
      <c r="J38" s="837"/>
      <c r="K38" s="837"/>
      <c r="L38" s="837"/>
      <c r="M38" s="837"/>
      <c r="N38" s="837"/>
      <c r="O38" s="838"/>
    </row>
    <row r="39" spans="2:15" ht="15.6">
      <c r="B39" s="836"/>
      <c r="C39" s="837"/>
      <c r="D39" s="837"/>
      <c r="E39" s="837"/>
      <c r="F39" s="837"/>
      <c r="G39" s="837"/>
      <c r="H39" s="837"/>
      <c r="I39" s="837"/>
      <c r="J39" s="837"/>
      <c r="K39" s="837"/>
      <c r="L39" s="837"/>
      <c r="M39" s="837"/>
      <c r="N39" s="837"/>
      <c r="O39" s="838"/>
    </row>
    <row r="40" spans="2:15" ht="15.6">
      <c r="B40" s="836" t="s">
        <v>298</v>
      </c>
      <c r="C40" s="837">
        <v>52746055</v>
      </c>
      <c r="D40" s="837">
        <v>6898103</v>
      </c>
      <c r="E40" s="837">
        <v>37133870</v>
      </c>
      <c r="F40" s="837">
        <v>128348699</v>
      </c>
      <c r="G40" s="837">
        <v>41987904</v>
      </c>
      <c r="H40" s="837">
        <v>66416027</v>
      </c>
      <c r="I40" s="837">
        <v>112703090</v>
      </c>
      <c r="J40" s="837">
        <v>30726065</v>
      </c>
      <c r="K40" s="837">
        <v>437760534</v>
      </c>
      <c r="L40" s="837">
        <v>15811700</v>
      </c>
      <c r="M40" s="837">
        <v>199828026</v>
      </c>
      <c r="N40" s="837">
        <v>2852870</v>
      </c>
      <c r="O40" s="838">
        <f>SUM(C40:N40)</f>
        <v>1133212943</v>
      </c>
    </row>
    <row r="41" spans="2:15" ht="15.6">
      <c r="B41" s="836"/>
      <c r="C41" s="837"/>
      <c r="D41" s="837"/>
      <c r="E41" s="837"/>
      <c r="F41" s="837"/>
      <c r="G41" s="837"/>
      <c r="H41" s="837"/>
      <c r="I41" s="837"/>
      <c r="J41" s="837"/>
      <c r="K41" s="837"/>
      <c r="L41" s="837"/>
      <c r="M41" s="837"/>
      <c r="N41" s="837"/>
      <c r="O41" s="838"/>
    </row>
    <row r="42" spans="2:15" ht="15.6">
      <c r="B42" s="836" t="s">
        <v>299</v>
      </c>
      <c r="C42" s="837">
        <v>49366341</v>
      </c>
      <c r="D42" s="837">
        <v>7072013</v>
      </c>
      <c r="E42" s="837">
        <v>32626468</v>
      </c>
      <c r="F42" s="837">
        <v>163425492</v>
      </c>
      <c r="G42" s="837">
        <v>42355670</v>
      </c>
      <c r="H42" s="837">
        <v>77153155</v>
      </c>
      <c r="I42" s="837">
        <v>118987642</v>
      </c>
      <c r="J42" s="837">
        <v>31397966</v>
      </c>
      <c r="K42" s="837">
        <v>470582117</v>
      </c>
      <c r="L42" s="837">
        <v>16074306</v>
      </c>
      <c r="M42" s="837">
        <v>226141076</v>
      </c>
      <c r="N42" s="837">
        <v>3286705</v>
      </c>
      <c r="O42" s="838">
        <f>SUM(C42:N42)</f>
        <v>1238468951</v>
      </c>
    </row>
    <row r="43" spans="2:15" ht="15.6">
      <c r="B43" s="836"/>
      <c r="C43" s="837"/>
      <c r="D43" s="837"/>
      <c r="E43" s="837"/>
      <c r="F43" s="837"/>
      <c r="G43" s="837"/>
      <c r="H43" s="837"/>
      <c r="I43" s="837"/>
      <c r="J43" s="837"/>
      <c r="K43" s="837"/>
      <c r="L43" s="837"/>
      <c r="M43" s="837"/>
      <c r="N43" s="837"/>
      <c r="O43" s="838"/>
    </row>
    <row r="44" spans="2:15" ht="15.6">
      <c r="B44" s="839" t="s">
        <v>300</v>
      </c>
      <c r="C44" s="837">
        <v>53286966</v>
      </c>
      <c r="D44" s="837">
        <v>6934758</v>
      </c>
      <c r="E44" s="837">
        <v>39298087</v>
      </c>
      <c r="F44" s="837">
        <v>170832349</v>
      </c>
      <c r="G44" s="837">
        <v>50862305</v>
      </c>
      <c r="H44" s="837">
        <v>85479552</v>
      </c>
      <c r="I44" s="837">
        <v>134415419</v>
      </c>
      <c r="J44" s="837">
        <v>32604941</v>
      </c>
      <c r="K44" s="837">
        <v>486576788</v>
      </c>
      <c r="L44" s="837">
        <v>28015066</v>
      </c>
      <c r="M44" s="837">
        <v>239881899</v>
      </c>
      <c r="N44" s="837">
        <v>2959852</v>
      </c>
      <c r="O44" s="838">
        <f>SUM(C44:N44)</f>
        <v>1331147982</v>
      </c>
    </row>
    <row r="45" spans="2:15" ht="15.6">
      <c r="B45" s="836"/>
      <c r="C45" s="837"/>
      <c r="D45" s="837"/>
      <c r="E45" s="837"/>
      <c r="F45" s="837"/>
      <c r="G45" s="837"/>
      <c r="H45" s="837"/>
      <c r="I45" s="837"/>
      <c r="J45" s="837"/>
      <c r="K45" s="837"/>
      <c r="L45" s="837"/>
      <c r="M45" s="837"/>
      <c r="N45" s="837"/>
      <c r="O45" s="838"/>
    </row>
    <row r="46" spans="2:15" ht="15.6">
      <c r="B46" s="836" t="s">
        <v>301</v>
      </c>
      <c r="C46" s="837">
        <v>54643830</v>
      </c>
      <c r="D46" s="837">
        <v>8141874</v>
      </c>
      <c r="E46" s="837">
        <v>45988401</v>
      </c>
      <c r="F46" s="837">
        <v>156411221</v>
      </c>
      <c r="G46" s="837">
        <v>77252920</v>
      </c>
      <c r="H46" s="837">
        <v>93994397</v>
      </c>
      <c r="I46" s="837">
        <v>137844861</v>
      </c>
      <c r="J46" s="837">
        <v>35557479</v>
      </c>
      <c r="K46" s="837">
        <v>474141191</v>
      </c>
      <c r="L46" s="837">
        <v>17876327</v>
      </c>
      <c r="M46" s="837">
        <v>231378777</v>
      </c>
      <c r="N46" s="837">
        <v>3035014</v>
      </c>
      <c r="O46" s="838">
        <f>SUM(C46:N46)</f>
        <v>1336266292</v>
      </c>
    </row>
    <row r="47" spans="2:15" ht="15.6">
      <c r="B47" s="836"/>
      <c r="C47" s="837"/>
      <c r="D47" s="837"/>
      <c r="E47" s="837"/>
      <c r="F47" s="837"/>
      <c r="G47" s="837"/>
      <c r="H47" s="837"/>
      <c r="I47" s="837"/>
      <c r="J47" s="837"/>
      <c r="K47" s="837"/>
      <c r="L47" s="837"/>
      <c r="M47" s="837"/>
      <c r="N47" s="837"/>
      <c r="O47" s="838"/>
    </row>
    <row r="48" spans="2:15" ht="15.6">
      <c r="B48" s="836" t="s">
        <v>302</v>
      </c>
      <c r="C48" s="837">
        <v>51843636</v>
      </c>
      <c r="D48" s="837">
        <v>23925073</v>
      </c>
      <c r="E48" s="837">
        <v>51521671</v>
      </c>
      <c r="F48" s="837">
        <v>150250877</v>
      </c>
      <c r="G48" s="837">
        <v>58005320</v>
      </c>
      <c r="H48" s="837">
        <v>147062794</v>
      </c>
      <c r="I48" s="837">
        <v>97643142</v>
      </c>
      <c r="J48" s="837">
        <v>47341724</v>
      </c>
      <c r="K48" s="837">
        <v>497755511</v>
      </c>
      <c r="L48" s="837">
        <v>17685012</v>
      </c>
      <c r="M48" s="837">
        <v>240809995</v>
      </c>
      <c r="N48" s="837">
        <v>4517580</v>
      </c>
      <c r="O48" s="838">
        <f>SUM(C48:N48)</f>
        <v>1388362335</v>
      </c>
    </row>
    <row r="49" spans="2:15" ht="15.6">
      <c r="B49" s="840"/>
      <c r="C49" s="841"/>
      <c r="D49" s="841"/>
      <c r="E49" s="841"/>
      <c r="F49" s="841"/>
      <c r="G49" s="841"/>
      <c r="H49" s="841"/>
      <c r="I49" s="841"/>
      <c r="J49" s="841"/>
      <c r="K49" s="841"/>
      <c r="L49" s="841"/>
      <c r="M49" s="841"/>
      <c r="N49" s="841"/>
      <c r="O49" s="842"/>
    </row>
    <row r="50" spans="2:15" ht="15.6">
      <c r="B50" s="840" t="s">
        <v>303</v>
      </c>
      <c r="C50" s="843">
        <v>52974871</v>
      </c>
      <c r="D50" s="843">
        <v>8653343</v>
      </c>
      <c r="E50" s="843">
        <v>45943238</v>
      </c>
      <c r="F50" s="843">
        <v>175974695</v>
      </c>
      <c r="G50" s="843">
        <v>98823367</v>
      </c>
      <c r="H50" s="843">
        <v>139559016</v>
      </c>
      <c r="I50" s="843">
        <v>95727465</v>
      </c>
      <c r="J50" s="843">
        <v>46389830</v>
      </c>
      <c r="K50" s="843">
        <v>498416248</v>
      </c>
      <c r="L50" s="843">
        <v>16385597</v>
      </c>
      <c r="M50" s="843">
        <v>216230397</v>
      </c>
      <c r="N50" s="843">
        <v>5720126</v>
      </c>
      <c r="O50" s="838">
        <f>SUM(C50:N50)</f>
        <v>1400798193</v>
      </c>
    </row>
    <row r="51" spans="2:15" ht="15.6">
      <c r="B51" s="840"/>
      <c r="C51" s="843"/>
      <c r="D51" s="843"/>
      <c r="E51" s="843"/>
      <c r="F51" s="843"/>
      <c r="G51" s="843"/>
      <c r="H51" s="843"/>
      <c r="I51" s="843"/>
      <c r="J51" s="843"/>
      <c r="K51" s="843"/>
      <c r="L51" s="843"/>
      <c r="M51" s="843"/>
      <c r="N51" s="843"/>
      <c r="O51" s="844"/>
    </row>
    <row r="52" spans="2:15" ht="15.6">
      <c r="B52" s="840" t="s">
        <v>304</v>
      </c>
      <c r="C52" s="843">
        <v>68526601</v>
      </c>
      <c r="D52" s="843">
        <v>16038855</v>
      </c>
      <c r="E52" s="843">
        <v>51261373</v>
      </c>
      <c r="F52" s="843">
        <v>147912258</v>
      </c>
      <c r="G52" s="843">
        <v>82745726</v>
      </c>
      <c r="H52" s="843">
        <v>123693078</v>
      </c>
      <c r="I52" s="843">
        <v>87915247</v>
      </c>
      <c r="J52" s="843">
        <v>49761264</v>
      </c>
      <c r="K52" s="843">
        <v>512154974</v>
      </c>
      <c r="L52" s="843">
        <v>26288109</v>
      </c>
      <c r="M52" s="843">
        <v>245449897</v>
      </c>
      <c r="N52" s="843">
        <v>5539375</v>
      </c>
      <c r="O52" s="838">
        <f>SUM(C52:N52)</f>
        <v>1417286757</v>
      </c>
    </row>
    <row r="53" spans="2:15" ht="15.6">
      <c r="B53" s="840"/>
      <c r="C53" s="843"/>
      <c r="D53" s="843"/>
      <c r="E53" s="843"/>
      <c r="F53" s="843"/>
      <c r="G53" s="843"/>
      <c r="H53" s="843"/>
      <c r="I53" s="843"/>
      <c r="J53" s="843"/>
      <c r="K53" s="843"/>
      <c r="L53" s="843"/>
      <c r="M53" s="843"/>
      <c r="N53" s="843"/>
      <c r="O53" s="844"/>
    </row>
    <row r="54" spans="2:15" ht="15.6">
      <c r="B54" s="840" t="s">
        <v>305</v>
      </c>
      <c r="C54" s="843">
        <v>58993128</v>
      </c>
      <c r="D54" s="843">
        <v>24267089</v>
      </c>
      <c r="E54" s="843">
        <v>74570769</v>
      </c>
      <c r="F54" s="843">
        <v>154173538</v>
      </c>
      <c r="G54" s="843">
        <v>113656901</v>
      </c>
      <c r="H54" s="843">
        <v>104524746</v>
      </c>
      <c r="I54" s="843">
        <v>81972282</v>
      </c>
      <c r="J54" s="843">
        <v>46456514</v>
      </c>
      <c r="K54" s="843">
        <v>546072133</v>
      </c>
      <c r="L54" s="843">
        <v>16054562</v>
      </c>
      <c r="M54" s="843">
        <v>254180316</v>
      </c>
      <c r="N54" s="843">
        <v>4994419</v>
      </c>
      <c r="O54" s="838">
        <f>SUM(C54:N54)</f>
        <v>1479916397</v>
      </c>
    </row>
    <row r="55" spans="2:15" ht="15.6">
      <c r="B55" s="840"/>
      <c r="C55" s="843"/>
      <c r="D55" s="843"/>
      <c r="E55" s="843"/>
      <c r="F55" s="843"/>
      <c r="G55" s="843"/>
      <c r="H55" s="843"/>
      <c r="I55" s="843"/>
      <c r="J55" s="843"/>
      <c r="K55" s="843"/>
      <c r="L55" s="843"/>
      <c r="M55" s="843"/>
      <c r="N55" s="843"/>
      <c r="O55" s="844"/>
    </row>
    <row r="56" spans="2:15" ht="15.6">
      <c r="B56" s="840" t="s">
        <v>306</v>
      </c>
      <c r="C56" s="843">
        <v>121751301</v>
      </c>
      <c r="D56" s="843">
        <v>15759635</v>
      </c>
      <c r="E56" s="843">
        <v>61928831</v>
      </c>
      <c r="F56" s="843">
        <v>161856598</v>
      </c>
      <c r="G56" s="843">
        <v>90518259</v>
      </c>
      <c r="H56" s="843">
        <v>129713218</v>
      </c>
      <c r="I56" s="843">
        <v>115455695</v>
      </c>
      <c r="J56" s="843">
        <v>44185892</v>
      </c>
      <c r="K56" s="843">
        <v>569254456</v>
      </c>
      <c r="L56" s="843">
        <v>33596534</v>
      </c>
      <c r="M56" s="843">
        <v>255518995</v>
      </c>
      <c r="N56" s="843">
        <v>6803883</v>
      </c>
      <c r="O56" s="838">
        <f>SUM(C56:N56)</f>
        <v>1606343297</v>
      </c>
    </row>
    <row r="57" spans="2:15" ht="15.6">
      <c r="B57" s="840"/>
      <c r="C57" s="843"/>
      <c r="D57" s="843"/>
      <c r="E57" s="843"/>
      <c r="F57" s="843"/>
      <c r="G57" s="843"/>
      <c r="H57" s="843"/>
      <c r="I57" s="843"/>
      <c r="J57" s="843"/>
      <c r="K57" s="843"/>
      <c r="L57" s="843"/>
      <c r="M57" s="843"/>
      <c r="N57" s="843"/>
      <c r="O57" s="844"/>
    </row>
    <row r="58" spans="2:15" ht="15.6">
      <c r="B58" s="840" t="s">
        <v>307</v>
      </c>
      <c r="C58" s="843">
        <v>115474967</v>
      </c>
      <c r="D58" s="843">
        <v>16591704</v>
      </c>
      <c r="E58" s="843">
        <v>61511257</v>
      </c>
      <c r="F58" s="843">
        <v>176540887</v>
      </c>
      <c r="G58" s="843">
        <v>110321918</v>
      </c>
      <c r="H58" s="843">
        <v>127747608</v>
      </c>
      <c r="I58" s="843">
        <v>184475305</v>
      </c>
      <c r="J58" s="843">
        <v>40827595</v>
      </c>
      <c r="K58" s="843">
        <v>430959062</v>
      </c>
      <c r="L58" s="843">
        <v>33291691</v>
      </c>
      <c r="M58" s="843">
        <v>265061015</v>
      </c>
      <c r="N58" s="843">
        <v>6389910</v>
      </c>
      <c r="O58" s="838">
        <f>SUM(C58:N58)</f>
        <v>1569192919</v>
      </c>
    </row>
    <row r="59" spans="2:15" ht="15.6">
      <c r="B59" s="840"/>
      <c r="C59" s="843"/>
      <c r="D59" s="843"/>
      <c r="E59" s="843"/>
      <c r="F59" s="843"/>
      <c r="G59" s="843"/>
      <c r="H59" s="843"/>
      <c r="I59" s="843"/>
      <c r="J59" s="843"/>
      <c r="K59" s="843"/>
      <c r="L59" s="843"/>
      <c r="M59" s="843"/>
      <c r="N59" s="843"/>
      <c r="O59" s="843"/>
    </row>
    <row r="60" spans="2:15" ht="15.6">
      <c r="B60" s="840" t="s">
        <v>308</v>
      </c>
      <c r="C60" s="843">
        <v>73395298</v>
      </c>
      <c r="D60" s="843">
        <v>12086456</v>
      </c>
      <c r="E60" s="843">
        <v>52443446</v>
      </c>
      <c r="F60" s="843">
        <v>166741113</v>
      </c>
      <c r="G60" s="843">
        <v>113277502</v>
      </c>
      <c r="H60" s="843">
        <v>148533959</v>
      </c>
      <c r="I60" s="843">
        <v>237347156</v>
      </c>
      <c r="J60" s="843">
        <v>44612216</v>
      </c>
      <c r="K60" s="843">
        <v>510889340</v>
      </c>
      <c r="L60" s="843">
        <v>17332305</v>
      </c>
      <c r="M60" s="843">
        <v>287717965</v>
      </c>
      <c r="N60" s="843">
        <v>5962382</v>
      </c>
      <c r="O60" s="838">
        <f>SUM(C60:N60)</f>
        <v>1670339138</v>
      </c>
    </row>
    <row r="61" spans="2:15" ht="15.6">
      <c r="B61" s="840"/>
      <c r="C61" s="843"/>
      <c r="D61" s="843"/>
      <c r="E61" s="843"/>
      <c r="F61" s="843"/>
      <c r="G61" s="843"/>
      <c r="H61" s="843"/>
      <c r="I61" s="843"/>
      <c r="J61" s="843"/>
      <c r="K61" s="843"/>
      <c r="L61" s="843"/>
      <c r="M61" s="843"/>
      <c r="N61" s="843"/>
      <c r="O61" s="843"/>
    </row>
    <row r="62" spans="2:15" ht="15.6">
      <c r="B62" s="840" t="s">
        <v>311</v>
      </c>
      <c r="C62" s="843">
        <v>113727052</v>
      </c>
      <c r="D62" s="843">
        <v>13189909</v>
      </c>
      <c r="E62" s="843">
        <v>52087130</v>
      </c>
      <c r="F62" s="843">
        <v>195080228</v>
      </c>
      <c r="G62" s="843">
        <v>84886789</v>
      </c>
      <c r="H62" s="843">
        <v>146548662</v>
      </c>
      <c r="I62" s="843">
        <v>144660921</v>
      </c>
      <c r="J62" s="843">
        <v>67916425</v>
      </c>
      <c r="K62" s="843">
        <v>504291241</v>
      </c>
      <c r="L62" s="843">
        <v>17349671</v>
      </c>
      <c r="M62" s="843">
        <v>300489056</v>
      </c>
      <c r="N62" s="843">
        <v>5962382</v>
      </c>
      <c r="O62" s="838">
        <f>SUM(C62:N62)</f>
        <v>1646189466</v>
      </c>
    </row>
    <row r="63" spans="2:15" ht="16.2" thickBot="1">
      <c r="B63" s="845"/>
      <c r="C63" s="845"/>
      <c r="D63" s="845"/>
      <c r="E63" s="845"/>
      <c r="F63" s="845"/>
      <c r="G63" s="845"/>
      <c r="H63" s="845"/>
      <c r="I63" s="845"/>
      <c r="J63" s="845"/>
      <c r="K63" s="845"/>
      <c r="L63" s="845"/>
      <c r="M63" s="845"/>
      <c r="N63" s="845"/>
      <c r="O63" s="845"/>
    </row>
    <row r="64" spans="2:15" ht="14.4" thickTop="1">
      <c r="B64" s="787">
        <v>2011</v>
      </c>
      <c r="C64" s="846"/>
      <c r="D64" s="846"/>
      <c r="E64" s="846"/>
      <c r="F64" s="846"/>
      <c r="G64" s="846"/>
      <c r="H64" s="846"/>
      <c r="I64" s="846"/>
      <c r="J64" s="846"/>
      <c r="K64" s="846"/>
      <c r="L64" s="846"/>
      <c r="M64" s="846"/>
      <c r="N64" s="846"/>
      <c r="O64" s="846"/>
    </row>
    <row r="65" spans="2:15">
      <c r="B65" s="788"/>
      <c r="C65" s="846"/>
      <c r="D65" s="846"/>
      <c r="E65" s="846"/>
      <c r="F65" s="846"/>
      <c r="G65" s="846"/>
      <c r="H65" s="846"/>
      <c r="I65" s="846"/>
      <c r="J65" s="846"/>
      <c r="K65" s="846"/>
      <c r="L65" s="846"/>
      <c r="M65" s="846"/>
      <c r="N65" s="846"/>
      <c r="O65" s="846"/>
    </row>
    <row r="66" spans="2:15">
      <c r="B66" s="788" t="s">
        <v>298</v>
      </c>
      <c r="C66" s="847">
        <v>94390.399999999994</v>
      </c>
      <c r="D66" s="847">
        <v>20628.599999999999</v>
      </c>
      <c r="E66" s="847">
        <v>54617.2</v>
      </c>
      <c r="F66" s="847">
        <v>194886.6</v>
      </c>
      <c r="G66" s="847">
        <v>95039.5</v>
      </c>
      <c r="H66" s="847">
        <v>172893.2</v>
      </c>
      <c r="I66" s="847">
        <v>186958.4</v>
      </c>
      <c r="J66" s="847">
        <v>89729.2</v>
      </c>
      <c r="K66" s="847">
        <v>520911.6</v>
      </c>
      <c r="L66" s="847">
        <v>24613.5</v>
      </c>
      <c r="M66" s="847">
        <v>295838.3</v>
      </c>
      <c r="N66" s="847">
        <v>6388.8</v>
      </c>
      <c r="O66" s="847">
        <v>1756895.4</v>
      </c>
    </row>
    <row r="67" spans="2:15">
      <c r="B67" s="788" t="s">
        <v>299</v>
      </c>
      <c r="C67" s="847">
        <v>133717.9</v>
      </c>
      <c r="D67" s="847">
        <v>25834.3</v>
      </c>
      <c r="E67" s="847">
        <v>61714.3</v>
      </c>
      <c r="F67" s="847">
        <v>200791.9</v>
      </c>
      <c r="G67" s="847">
        <v>119665.3</v>
      </c>
      <c r="H67" s="847">
        <v>202629.5</v>
      </c>
      <c r="I67" s="847">
        <v>170980.3</v>
      </c>
      <c r="J67" s="847">
        <v>34762.5</v>
      </c>
      <c r="K67" s="847">
        <v>470724.5</v>
      </c>
      <c r="L67" s="847">
        <v>23809.8</v>
      </c>
      <c r="M67" s="847">
        <v>321623.59999999998</v>
      </c>
      <c r="N67" s="847">
        <v>8841.7000000000007</v>
      </c>
      <c r="O67" s="847">
        <v>1775095.5</v>
      </c>
    </row>
    <row r="68" spans="2:15">
      <c r="B68" s="788" t="s">
        <v>300</v>
      </c>
      <c r="C68" s="847">
        <v>77101</v>
      </c>
      <c r="D68" s="847">
        <v>15938.2</v>
      </c>
      <c r="E68" s="847">
        <v>58193.9</v>
      </c>
      <c r="F68" s="847">
        <v>223181.8</v>
      </c>
      <c r="G68" s="847">
        <v>117197.8</v>
      </c>
      <c r="H68" s="847">
        <v>236622.2</v>
      </c>
      <c r="I68" s="847">
        <v>119977.4</v>
      </c>
      <c r="J68" s="847">
        <v>46400.6</v>
      </c>
      <c r="K68" s="847">
        <v>602307.1</v>
      </c>
      <c r="L68" s="847">
        <v>16940.8</v>
      </c>
      <c r="M68" s="847">
        <v>325373.2</v>
      </c>
      <c r="N68" s="847">
        <v>8669.7999999999993</v>
      </c>
      <c r="O68" s="847">
        <v>1847903.8</v>
      </c>
    </row>
    <row r="69" spans="2:15">
      <c r="B69" s="788" t="s">
        <v>301</v>
      </c>
      <c r="C69" s="847">
        <v>102543.3</v>
      </c>
      <c r="D69" s="847">
        <v>20429.5</v>
      </c>
      <c r="E69" s="847">
        <v>64824.7</v>
      </c>
      <c r="F69" s="847">
        <v>238548.9</v>
      </c>
      <c r="G69" s="847">
        <v>80726.5</v>
      </c>
      <c r="H69" s="847">
        <v>225800.8</v>
      </c>
      <c r="I69" s="847">
        <v>147702.6</v>
      </c>
      <c r="J69" s="847">
        <v>49469.9</v>
      </c>
      <c r="K69" s="847">
        <v>524595.4</v>
      </c>
      <c r="L69" s="847">
        <v>23835.5</v>
      </c>
      <c r="M69" s="847">
        <v>417515.3</v>
      </c>
      <c r="N69" s="847">
        <v>8071.9</v>
      </c>
      <c r="O69" s="847">
        <v>1904064.4</v>
      </c>
    </row>
    <row r="70" spans="2:15">
      <c r="B70" s="788" t="s">
        <v>302</v>
      </c>
      <c r="C70" s="847">
        <v>93812.6</v>
      </c>
      <c r="D70" s="847">
        <v>19640.3</v>
      </c>
      <c r="E70" s="847">
        <v>61878.6</v>
      </c>
      <c r="F70" s="847">
        <v>267258.2</v>
      </c>
      <c r="G70" s="847">
        <v>92889.1</v>
      </c>
      <c r="H70" s="847">
        <v>252592.2</v>
      </c>
      <c r="I70" s="847">
        <v>157059.9</v>
      </c>
      <c r="J70" s="847">
        <v>39483.5</v>
      </c>
      <c r="K70" s="847">
        <v>564888</v>
      </c>
      <c r="L70" s="847">
        <v>26103.4</v>
      </c>
      <c r="M70" s="847">
        <v>411671.1</v>
      </c>
      <c r="N70" s="847">
        <v>13011.7</v>
      </c>
      <c r="O70" s="847">
        <v>2000288.5</v>
      </c>
    </row>
    <row r="71" spans="2:15">
      <c r="B71" s="788" t="s">
        <v>303</v>
      </c>
      <c r="C71" s="847">
        <v>76484.3</v>
      </c>
      <c r="D71" s="847">
        <v>23968.6</v>
      </c>
      <c r="E71" s="847">
        <v>67950.3</v>
      </c>
      <c r="F71" s="847">
        <v>301067.09999999998</v>
      </c>
      <c r="G71" s="847">
        <v>113720.4</v>
      </c>
      <c r="H71" s="847">
        <v>255439</v>
      </c>
      <c r="I71" s="847">
        <v>155982.70000000001</v>
      </c>
      <c r="J71" s="847">
        <v>44627.5</v>
      </c>
      <c r="K71" s="847">
        <v>621716.9</v>
      </c>
      <c r="L71" s="847">
        <v>31259.5</v>
      </c>
      <c r="M71" s="847">
        <v>432494.7</v>
      </c>
      <c r="N71" s="847">
        <v>12539.2</v>
      </c>
      <c r="O71" s="847">
        <v>2137250.1</v>
      </c>
    </row>
    <row r="72" spans="2:15">
      <c r="B72" s="788" t="s">
        <v>304</v>
      </c>
      <c r="C72" s="847">
        <v>86383.9</v>
      </c>
      <c r="D72" s="847">
        <v>26999.5</v>
      </c>
      <c r="E72" s="847">
        <v>66179.899999999994</v>
      </c>
      <c r="F72" s="847">
        <v>299595.59999999998</v>
      </c>
      <c r="G72" s="847">
        <v>94962</v>
      </c>
      <c r="H72" s="847">
        <v>253042</v>
      </c>
      <c r="I72" s="847">
        <v>163296.79999999999</v>
      </c>
      <c r="J72" s="847">
        <v>41455.9</v>
      </c>
      <c r="K72" s="847">
        <v>622835</v>
      </c>
      <c r="L72" s="847">
        <v>46710.1</v>
      </c>
      <c r="M72" s="847">
        <v>469790.7</v>
      </c>
      <c r="N72" s="847">
        <v>16584.3</v>
      </c>
      <c r="O72" s="847">
        <v>2187835.7000000002</v>
      </c>
    </row>
    <row r="73" spans="2:15">
      <c r="B73" s="788" t="s">
        <v>305</v>
      </c>
      <c r="C73" s="847">
        <v>112415.1</v>
      </c>
      <c r="D73" s="847">
        <v>59705.5</v>
      </c>
      <c r="E73" s="847">
        <v>75979.5</v>
      </c>
      <c r="F73" s="847">
        <v>279782.3</v>
      </c>
      <c r="G73" s="847">
        <v>100445.2</v>
      </c>
      <c r="H73" s="847">
        <v>268505.5</v>
      </c>
      <c r="I73" s="847">
        <v>184963.8</v>
      </c>
      <c r="J73" s="847">
        <v>66622.600000000006</v>
      </c>
      <c r="K73" s="847">
        <v>577045.4</v>
      </c>
      <c r="L73" s="847">
        <v>62380.800000000003</v>
      </c>
      <c r="M73" s="847">
        <v>438287</v>
      </c>
      <c r="N73" s="847">
        <v>17369.400000000001</v>
      </c>
      <c r="O73" s="847">
        <v>2243502</v>
      </c>
    </row>
    <row r="74" spans="2:15">
      <c r="B74" s="788" t="s">
        <v>306</v>
      </c>
      <c r="C74" s="847">
        <v>147621.70000000001</v>
      </c>
      <c r="D74" s="847">
        <v>65120.3</v>
      </c>
      <c r="E74" s="847">
        <v>77069.2</v>
      </c>
      <c r="F74" s="847">
        <v>311834</v>
      </c>
      <c r="G74" s="847">
        <v>86441</v>
      </c>
      <c r="H74" s="847">
        <v>262574</v>
      </c>
      <c r="I74" s="847">
        <v>175246.1</v>
      </c>
      <c r="J74" s="847">
        <v>74781.600000000006</v>
      </c>
      <c r="K74" s="847">
        <v>513888</v>
      </c>
      <c r="L74" s="847">
        <v>66793.8</v>
      </c>
      <c r="M74" s="847">
        <v>475822</v>
      </c>
      <c r="N74" s="847">
        <v>13952.5</v>
      </c>
      <c r="O74" s="847">
        <v>2271144</v>
      </c>
    </row>
    <row r="75" spans="2:15">
      <c r="B75" s="788" t="s">
        <v>307</v>
      </c>
      <c r="C75" s="847">
        <v>122658.8</v>
      </c>
      <c r="D75" s="847">
        <v>50310.9</v>
      </c>
      <c r="E75" s="847">
        <v>112599.7</v>
      </c>
      <c r="F75" s="847">
        <v>318080.09999999998</v>
      </c>
      <c r="G75" s="847">
        <v>86261.8</v>
      </c>
      <c r="H75" s="847">
        <v>282990.2</v>
      </c>
      <c r="I75" s="847">
        <v>163299</v>
      </c>
      <c r="J75" s="847">
        <v>74107.8</v>
      </c>
      <c r="K75" s="847">
        <v>562077.80000000005</v>
      </c>
      <c r="L75" s="847">
        <v>32280.7</v>
      </c>
      <c r="M75" s="847">
        <v>460614.3</v>
      </c>
      <c r="N75" s="847">
        <v>19378.3</v>
      </c>
      <c r="O75" s="847">
        <v>2284659.4</v>
      </c>
    </row>
    <row r="76" spans="2:15">
      <c r="B76" s="788" t="s">
        <v>308</v>
      </c>
      <c r="C76" s="846" t="s">
        <v>1217</v>
      </c>
      <c r="D76" s="847">
        <v>30524.1</v>
      </c>
      <c r="E76" s="847">
        <v>79461.899999999994</v>
      </c>
      <c r="F76" s="847">
        <v>310533.5</v>
      </c>
      <c r="G76" s="847">
        <v>79201.3</v>
      </c>
      <c r="H76" s="847">
        <v>259924.7</v>
      </c>
      <c r="I76" s="847">
        <v>204651</v>
      </c>
      <c r="J76" s="847">
        <v>95981.1</v>
      </c>
      <c r="K76" s="847">
        <v>577348.5</v>
      </c>
      <c r="L76" s="847">
        <v>25970.400000000001</v>
      </c>
      <c r="M76" s="847">
        <v>456874</v>
      </c>
      <c r="N76" s="847">
        <v>13736.1</v>
      </c>
      <c r="O76" s="847">
        <v>2241937.2999999998</v>
      </c>
    </row>
    <row r="77" spans="2:15" ht="14.4" thickBot="1">
      <c r="B77" s="848" t="s">
        <v>311</v>
      </c>
      <c r="C77" s="849">
        <v>120665.7</v>
      </c>
      <c r="D77" s="849">
        <v>35860.199999999997</v>
      </c>
      <c r="E77" s="849">
        <v>107439.2</v>
      </c>
      <c r="F77" s="849">
        <v>295439.3</v>
      </c>
      <c r="G77" s="849">
        <v>94854.2</v>
      </c>
      <c r="H77" s="849">
        <v>277933.7</v>
      </c>
      <c r="I77" s="849">
        <v>267305.3</v>
      </c>
      <c r="J77" s="849">
        <v>69436</v>
      </c>
      <c r="K77" s="849">
        <v>518311.2</v>
      </c>
      <c r="L77" s="849">
        <v>24462.2</v>
      </c>
      <c r="M77" s="849">
        <v>444051.7</v>
      </c>
      <c r="N77" s="849">
        <v>15849.9</v>
      </c>
      <c r="O77" s="849">
        <v>2271608.5</v>
      </c>
    </row>
    <row r="78" spans="2:15" ht="14.4" thickTop="1">
      <c r="B78" s="787">
        <v>2012</v>
      </c>
      <c r="C78" s="846"/>
      <c r="D78" s="846"/>
      <c r="E78" s="846"/>
      <c r="F78" s="846"/>
      <c r="G78" s="846"/>
      <c r="H78" s="846"/>
      <c r="I78" s="846"/>
      <c r="J78" s="846"/>
      <c r="K78" s="846"/>
      <c r="L78" s="846"/>
      <c r="M78" s="846"/>
      <c r="N78" s="846"/>
      <c r="O78" s="846"/>
    </row>
    <row r="79" spans="2:15">
      <c r="B79" s="788"/>
      <c r="C79" s="846"/>
      <c r="D79" s="846"/>
      <c r="E79" s="846"/>
      <c r="F79" s="846"/>
      <c r="G79" s="846"/>
      <c r="H79" s="846"/>
      <c r="I79" s="846"/>
      <c r="J79" s="846"/>
      <c r="K79" s="846"/>
      <c r="L79" s="846"/>
      <c r="M79" s="846"/>
      <c r="N79" s="846"/>
      <c r="O79" s="846"/>
    </row>
    <row r="80" spans="2:15">
      <c r="B80" s="788" t="s">
        <v>298</v>
      </c>
      <c r="C80" s="847">
        <v>137919.4</v>
      </c>
      <c r="D80" s="847">
        <v>35324.800000000003</v>
      </c>
      <c r="E80" s="847">
        <v>106812.5</v>
      </c>
      <c r="F80" s="847">
        <v>296807.8</v>
      </c>
      <c r="G80" s="847">
        <v>116945.8</v>
      </c>
      <c r="H80" s="847">
        <v>277304.7</v>
      </c>
      <c r="I80" s="847">
        <v>268525.2</v>
      </c>
      <c r="J80" s="847">
        <v>119278.5</v>
      </c>
      <c r="K80" s="847">
        <v>515754.9</v>
      </c>
      <c r="L80" s="847">
        <v>21989.9</v>
      </c>
      <c r="M80" s="847">
        <v>431208.6</v>
      </c>
      <c r="N80" s="847">
        <v>14582.8</v>
      </c>
      <c r="O80" s="847">
        <v>2342454.9</v>
      </c>
    </row>
    <row r="81" spans="2:15">
      <c r="B81" s="850" t="s">
        <v>1218</v>
      </c>
      <c r="C81" s="847">
        <v>132404.53</v>
      </c>
      <c r="D81" s="847">
        <v>36283.33</v>
      </c>
      <c r="E81" s="847">
        <v>110794.26</v>
      </c>
      <c r="F81" s="847">
        <v>341462.75</v>
      </c>
      <c r="G81" s="847">
        <v>99165.46</v>
      </c>
      <c r="H81" s="847">
        <v>288834.34000000003</v>
      </c>
      <c r="I81" s="847">
        <v>264450.53000000003</v>
      </c>
      <c r="J81" s="847">
        <v>104923.38</v>
      </c>
      <c r="K81" s="847">
        <v>577378.61</v>
      </c>
      <c r="L81" s="847">
        <v>22873.9</v>
      </c>
      <c r="M81" s="847">
        <v>467084.94</v>
      </c>
      <c r="N81" s="847">
        <v>14234.06</v>
      </c>
      <c r="O81" s="847">
        <v>2459890.1</v>
      </c>
    </row>
    <row r="82" spans="2:15">
      <c r="B82" s="788" t="s">
        <v>300</v>
      </c>
      <c r="C82" s="847">
        <v>121233.1</v>
      </c>
      <c r="D82" s="847">
        <v>38555.4</v>
      </c>
      <c r="E82" s="847">
        <v>124038.5</v>
      </c>
      <c r="F82" s="847">
        <v>348687.2</v>
      </c>
      <c r="G82" s="847">
        <v>93320</v>
      </c>
      <c r="H82" s="846" t="s">
        <v>1219</v>
      </c>
      <c r="I82" s="847">
        <v>276941.5</v>
      </c>
      <c r="J82" s="847">
        <v>76084.399999999994</v>
      </c>
      <c r="K82" s="847">
        <v>629624.30000000005</v>
      </c>
      <c r="L82" s="847">
        <v>24984.1</v>
      </c>
      <c r="M82" s="847">
        <v>468608.5</v>
      </c>
      <c r="N82" s="847">
        <v>14756.2</v>
      </c>
      <c r="O82" s="847">
        <v>2480386.1</v>
      </c>
    </row>
    <row r="83" spans="2:15">
      <c r="B83" s="788" t="s">
        <v>301</v>
      </c>
      <c r="C83" s="847">
        <v>127168.8</v>
      </c>
      <c r="D83" s="847">
        <v>39606.6</v>
      </c>
      <c r="E83" s="847">
        <v>115033.7</v>
      </c>
      <c r="F83" s="847">
        <v>331306.5</v>
      </c>
      <c r="G83" s="847">
        <v>83707.8</v>
      </c>
      <c r="H83" s="847">
        <v>289829.09999999998</v>
      </c>
      <c r="I83" s="847">
        <v>276208.7</v>
      </c>
      <c r="J83" s="847">
        <v>75855.899999999994</v>
      </c>
      <c r="K83" s="847">
        <v>644979.80000000005</v>
      </c>
      <c r="L83" s="847">
        <v>24822.5</v>
      </c>
      <c r="M83" s="851">
        <v>465129</v>
      </c>
      <c r="N83" s="847">
        <v>14829.3</v>
      </c>
      <c r="O83" s="847">
        <v>2488477.6</v>
      </c>
    </row>
    <row r="84" spans="2:15">
      <c r="B84" s="788" t="s">
        <v>302</v>
      </c>
      <c r="C84" s="847">
        <v>124277.7</v>
      </c>
      <c r="D84" s="847">
        <v>43333.7</v>
      </c>
      <c r="E84" s="847">
        <v>142130.1</v>
      </c>
      <c r="F84" s="847">
        <v>370561.1</v>
      </c>
      <c r="G84" s="847">
        <v>93500</v>
      </c>
      <c r="H84" s="847">
        <v>249454.2</v>
      </c>
      <c r="I84" s="847">
        <v>299116.59999999998</v>
      </c>
      <c r="J84" s="847">
        <v>86314.7</v>
      </c>
      <c r="K84" s="847">
        <v>648511.1</v>
      </c>
      <c r="L84" s="847">
        <v>28279.3</v>
      </c>
      <c r="M84" s="847">
        <v>516523</v>
      </c>
      <c r="N84" s="847">
        <v>16891.5</v>
      </c>
      <c r="O84" s="847">
        <v>2618892.9</v>
      </c>
    </row>
    <row r="85" spans="2:15">
      <c r="B85" s="788" t="s">
        <v>303</v>
      </c>
      <c r="C85" s="847">
        <v>84589.8</v>
      </c>
      <c r="D85" s="847">
        <v>51354</v>
      </c>
      <c r="E85" s="847">
        <v>132428.70000000001</v>
      </c>
      <c r="F85" s="847">
        <v>351179.8</v>
      </c>
      <c r="G85" s="847">
        <v>98785.600000000006</v>
      </c>
      <c r="H85" s="847">
        <v>375613.6</v>
      </c>
      <c r="I85" s="847">
        <v>214696.7</v>
      </c>
      <c r="J85" s="847">
        <v>76370.100000000006</v>
      </c>
      <c r="K85" s="847">
        <v>727955.7</v>
      </c>
      <c r="L85" s="847">
        <v>36208.400000000001</v>
      </c>
      <c r="M85" s="847">
        <v>456454.40000000002</v>
      </c>
      <c r="N85" s="847">
        <v>18727.599999999999</v>
      </c>
      <c r="O85" s="847">
        <v>2624364.4</v>
      </c>
    </row>
    <row r="86" spans="2:15">
      <c r="B86" s="788" t="s">
        <v>304</v>
      </c>
      <c r="C86" s="847">
        <v>106470.8</v>
      </c>
      <c r="D86" s="847">
        <v>47401</v>
      </c>
      <c r="E86" s="847">
        <v>131489</v>
      </c>
      <c r="F86" s="847">
        <v>345036.3</v>
      </c>
      <c r="G86" s="846" t="s">
        <v>1220</v>
      </c>
      <c r="H86" s="847">
        <v>397969.7</v>
      </c>
      <c r="I86" s="847">
        <v>213370.5</v>
      </c>
      <c r="J86" s="847">
        <v>89915.4</v>
      </c>
      <c r="K86" s="847">
        <v>726447.6</v>
      </c>
      <c r="L86" s="847">
        <v>46000.4</v>
      </c>
      <c r="M86" s="847">
        <v>505054.1</v>
      </c>
      <c r="N86" s="847">
        <v>29735.3</v>
      </c>
      <c r="O86" s="847">
        <v>2709378</v>
      </c>
    </row>
    <row r="87" spans="2:15">
      <c r="B87" s="788" t="s">
        <v>305</v>
      </c>
      <c r="C87" s="847">
        <v>99151.6</v>
      </c>
      <c r="D87" s="847">
        <v>49226.400000000001</v>
      </c>
      <c r="E87" s="847">
        <v>116820.6</v>
      </c>
      <c r="F87" s="847">
        <v>363080.1</v>
      </c>
      <c r="G87" s="847">
        <v>382619.4</v>
      </c>
      <c r="H87" s="847">
        <v>71775.899999999994</v>
      </c>
      <c r="I87" s="847">
        <v>216433</v>
      </c>
      <c r="J87" s="847">
        <v>73978.5</v>
      </c>
      <c r="K87" s="847">
        <v>737065.6</v>
      </c>
      <c r="L87" s="847">
        <v>48183.8</v>
      </c>
      <c r="M87" s="847">
        <v>488183.8</v>
      </c>
      <c r="N87" s="847">
        <v>28785.3</v>
      </c>
      <c r="O87" s="847">
        <v>2663379.7999999998</v>
      </c>
    </row>
    <row r="88" spans="2:15">
      <c r="B88" s="788" t="s">
        <v>306</v>
      </c>
      <c r="C88" s="847">
        <v>113907.6</v>
      </c>
      <c r="D88" s="847">
        <v>43671</v>
      </c>
      <c r="E88" s="847">
        <v>125801.3</v>
      </c>
      <c r="F88" s="847">
        <v>276363</v>
      </c>
      <c r="G88" s="847">
        <v>177790.6</v>
      </c>
      <c r="H88" s="847">
        <v>429596.7</v>
      </c>
      <c r="I88" s="847">
        <v>228342.2</v>
      </c>
      <c r="J88" s="847">
        <v>82777.7</v>
      </c>
      <c r="K88" s="847">
        <v>651389.19999999995</v>
      </c>
      <c r="L88" s="847">
        <v>48764.9</v>
      </c>
      <c r="M88" s="847">
        <v>517788.8</v>
      </c>
      <c r="N88" s="847">
        <v>29019.9</v>
      </c>
      <c r="O88" s="847">
        <v>2725213</v>
      </c>
    </row>
    <row r="89" spans="2:15">
      <c r="B89" s="788" t="s">
        <v>307</v>
      </c>
      <c r="C89" s="847">
        <v>101122.4</v>
      </c>
      <c r="D89" s="847">
        <v>48716.9</v>
      </c>
      <c r="E89" s="847">
        <v>155798.29999999999</v>
      </c>
      <c r="F89" s="847">
        <v>313982.40000000002</v>
      </c>
      <c r="G89" s="847">
        <v>257300.6</v>
      </c>
      <c r="H89" s="847">
        <v>409730</v>
      </c>
      <c r="I89" s="847">
        <v>245131.8</v>
      </c>
      <c r="J89" s="847">
        <v>83995.5</v>
      </c>
      <c r="K89" s="847">
        <v>661217.19999999995</v>
      </c>
      <c r="L89" s="847">
        <v>48396.800000000003</v>
      </c>
      <c r="M89" s="847">
        <v>534643.6</v>
      </c>
      <c r="N89" s="847">
        <v>26158</v>
      </c>
      <c r="O89" s="847">
        <v>2886193.5</v>
      </c>
    </row>
    <row r="90" spans="2:15">
      <c r="B90" s="788" t="s">
        <v>308</v>
      </c>
      <c r="C90" s="847">
        <v>104695.1</v>
      </c>
      <c r="D90" s="847">
        <v>53233.8</v>
      </c>
      <c r="E90" s="847">
        <v>151359.5</v>
      </c>
      <c r="F90" s="847">
        <v>348390.40000000002</v>
      </c>
      <c r="G90" s="847">
        <v>185802.5</v>
      </c>
      <c r="H90" s="847">
        <v>464782.4</v>
      </c>
      <c r="I90" s="847">
        <v>269513.8</v>
      </c>
      <c r="J90" s="847">
        <v>85906.9</v>
      </c>
      <c r="K90" s="847">
        <v>962840.9</v>
      </c>
      <c r="L90" s="847">
        <v>47647.199999999997</v>
      </c>
      <c r="M90" s="847">
        <v>548847.69999999995</v>
      </c>
      <c r="N90" s="847">
        <v>23130.6</v>
      </c>
      <c r="O90" s="847">
        <v>3246150.7</v>
      </c>
    </row>
    <row r="91" spans="2:15">
      <c r="B91" s="788" t="s">
        <v>311</v>
      </c>
      <c r="C91" s="852">
        <v>96098.37</v>
      </c>
      <c r="D91" s="852">
        <v>50492.68</v>
      </c>
      <c r="E91" s="852">
        <v>126343.53</v>
      </c>
      <c r="F91" s="852">
        <v>379068.02</v>
      </c>
      <c r="G91" s="852">
        <v>198323.3</v>
      </c>
      <c r="H91" s="852">
        <v>509241.59</v>
      </c>
      <c r="I91" s="852">
        <v>280975.34999999998</v>
      </c>
      <c r="J91" s="852">
        <v>95457.07</v>
      </c>
      <c r="K91" s="852">
        <v>582286.18999999994</v>
      </c>
      <c r="L91" s="852">
        <v>41852.17</v>
      </c>
      <c r="M91" s="852">
        <v>538135.21</v>
      </c>
      <c r="N91" s="852">
        <v>26491.34</v>
      </c>
      <c r="O91" s="852">
        <f>SUM(C91:N91)</f>
        <v>2924764.8199999994</v>
      </c>
    </row>
    <row r="92" spans="2:15">
      <c r="B92" s="788"/>
      <c r="C92" s="852"/>
      <c r="D92" s="852"/>
      <c r="E92" s="852"/>
      <c r="F92" s="852"/>
      <c r="G92" s="852"/>
      <c r="H92" s="852"/>
      <c r="I92" s="852"/>
      <c r="J92" s="852"/>
      <c r="K92" s="852"/>
      <c r="L92" s="852"/>
      <c r="M92" s="852"/>
      <c r="N92" s="852"/>
      <c r="O92" s="852"/>
    </row>
    <row r="93" spans="2:15">
      <c r="B93" s="787">
        <v>2012</v>
      </c>
      <c r="C93" s="852"/>
      <c r="D93" s="852"/>
      <c r="E93" s="852"/>
      <c r="F93" s="852"/>
      <c r="G93" s="852"/>
      <c r="H93" s="852"/>
      <c r="I93" s="852"/>
      <c r="J93" s="852"/>
      <c r="K93" s="852"/>
      <c r="L93" s="852"/>
      <c r="M93" s="852"/>
      <c r="N93" s="852"/>
      <c r="O93" s="852"/>
    </row>
    <row r="94" spans="2:15">
      <c r="B94" s="788"/>
      <c r="C94" s="852"/>
      <c r="D94" s="852"/>
      <c r="E94" s="852"/>
      <c r="F94" s="852"/>
      <c r="G94" s="852"/>
      <c r="H94" s="852"/>
      <c r="I94" s="852"/>
      <c r="J94" s="852"/>
      <c r="K94" s="852"/>
      <c r="L94" s="852"/>
      <c r="M94" s="852"/>
      <c r="N94" s="852"/>
      <c r="O94" s="852"/>
    </row>
    <row r="95" spans="2:15">
      <c r="B95" s="788" t="s">
        <v>298</v>
      </c>
      <c r="C95" s="852">
        <v>91648.8</v>
      </c>
      <c r="D95" s="852">
        <v>48329.1</v>
      </c>
      <c r="E95" s="852">
        <v>128425.95</v>
      </c>
      <c r="F95" s="852">
        <v>351566.7</v>
      </c>
      <c r="G95" s="852">
        <v>212401.7</v>
      </c>
      <c r="H95" s="852">
        <v>494823.55</v>
      </c>
      <c r="I95" s="852">
        <v>252389.69899999999</v>
      </c>
      <c r="J95" s="852">
        <v>93469.95</v>
      </c>
      <c r="K95" s="852">
        <v>658260.06999999995</v>
      </c>
      <c r="L95" s="852">
        <v>44091.4</v>
      </c>
      <c r="M95" s="852">
        <v>512289.8</v>
      </c>
      <c r="N95" s="852">
        <v>32145.9</v>
      </c>
      <c r="O95" s="852">
        <f>SUM(C95:N95)</f>
        <v>2919842.6189999995</v>
      </c>
    </row>
    <row r="96" spans="2:15" ht="14.4" thickBot="1">
      <c r="B96" s="850" t="s">
        <v>1218</v>
      </c>
      <c r="C96" s="849">
        <v>96796.5</v>
      </c>
      <c r="D96" s="849">
        <v>48491.5</v>
      </c>
      <c r="E96" s="849">
        <v>147571.5</v>
      </c>
      <c r="F96" s="849">
        <v>360757.9</v>
      </c>
      <c r="G96" s="849">
        <v>147995.9</v>
      </c>
      <c r="H96" s="849">
        <v>578306.4</v>
      </c>
      <c r="I96" s="849">
        <v>284603.8</v>
      </c>
      <c r="J96" s="849">
        <v>64530.5</v>
      </c>
      <c r="K96" s="849">
        <v>679554.8</v>
      </c>
      <c r="L96" s="849">
        <v>41983.6</v>
      </c>
      <c r="M96" s="849">
        <v>516431.2</v>
      </c>
      <c r="N96" s="849">
        <v>25275.3</v>
      </c>
      <c r="O96" s="853" t="s">
        <v>1277</v>
      </c>
    </row>
    <row r="97" spans="2:15" ht="14.4" thickTop="1">
      <c r="B97" s="788" t="s">
        <v>300</v>
      </c>
      <c r="C97" s="852">
        <v>96752.83</v>
      </c>
      <c r="D97" s="852">
        <v>44883.31</v>
      </c>
      <c r="E97" s="852">
        <v>139327.79999999999</v>
      </c>
      <c r="F97" s="852">
        <v>354627.8</v>
      </c>
      <c r="G97" s="852">
        <v>155915.20000000001</v>
      </c>
      <c r="H97" s="852">
        <v>610758.39</v>
      </c>
      <c r="I97" s="852">
        <v>290072.83</v>
      </c>
      <c r="J97" s="852">
        <v>87142.96</v>
      </c>
      <c r="K97" s="852">
        <v>594397.69999999995</v>
      </c>
      <c r="L97" s="852">
        <v>38345.49</v>
      </c>
      <c r="M97" s="852">
        <v>523913.76</v>
      </c>
      <c r="N97" s="852">
        <v>141404.6</v>
      </c>
      <c r="O97" s="852">
        <f>SUM(C97:N97)</f>
        <v>3077542.6700000004</v>
      </c>
    </row>
    <row r="98" spans="2:15">
      <c r="B98" s="788" t="s">
        <v>301</v>
      </c>
      <c r="C98" s="852">
        <v>98671.01</v>
      </c>
      <c r="D98" s="852">
        <v>49093.8</v>
      </c>
      <c r="E98" s="852">
        <v>152390.82</v>
      </c>
      <c r="F98" s="852">
        <v>350269.24</v>
      </c>
      <c r="G98" s="852">
        <v>166578.49</v>
      </c>
      <c r="H98" s="852">
        <v>545118.18000000005</v>
      </c>
      <c r="I98" s="852">
        <v>311310.83</v>
      </c>
      <c r="J98" s="852">
        <v>105766.85</v>
      </c>
      <c r="K98" s="852">
        <v>638341.84</v>
      </c>
      <c r="L98" s="852">
        <v>39837.14</v>
      </c>
      <c r="M98" s="852">
        <v>533691.29</v>
      </c>
      <c r="N98" s="852">
        <v>99053.92</v>
      </c>
      <c r="O98" s="852">
        <v>3090123.41</v>
      </c>
    </row>
    <row r="99" spans="2:15">
      <c r="B99" s="788" t="s">
        <v>302</v>
      </c>
      <c r="C99" s="852">
        <v>114053.33</v>
      </c>
      <c r="D99" s="852">
        <v>55427.447999999997</v>
      </c>
      <c r="E99" s="852">
        <v>142023.28599999999</v>
      </c>
      <c r="F99" s="852">
        <v>389384.68699999998</v>
      </c>
      <c r="G99" s="852">
        <v>255352.1</v>
      </c>
      <c r="H99" s="852">
        <v>484429.73</v>
      </c>
      <c r="I99" s="852">
        <v>318129.39600000001</v>
      </c>
      <c r="J99" s="852">
        <v>92777.153999999995</v>
      </c>
      <c r="K99" s="852">
        <v>700668.69</v>
      </c>
      <c r="L99" s="852">
        <v>46593.756999999998</v>
      </c>
      <c r="M99" s="852">
        <v>578509.23300000001</v>
      </c>
      <c r="N99" s="852">
        <v>32297.735000000001</v>
      </c>
      <c r="O99" s="852">
        <f>SUM(C99:N99)</f>
        <v>3209646.5459999996</v>
      </c>
    </row>
    <row r="100" spans="2:15">
      <c r="B100" s="788" t="s">
        <v>303</v>
      </c>
      <c r="C100" s="852">
        <v>116635.2</v>
      </c>
      <c r="D100" s="852">
        <v>58578.8</v>
      </c>
      <c r="E100" s="852">
        <v>147313.79</v>
      </c>
      <c r="F100" s="852">
        <v>447394.5</v>
      </c>
      <c r="G100" s="852">
        <v>183146.3</v>
      </c>
      <c r="H100" s="852">
        <v>352600.3</v>
      </c>
      <c r="I100" s="852">
        <v>366824.2</v>
      </c>
      <c r="J100" s="852">
        <v>96685.8</v>
      </c>
      <c r="K100" s="852">
        <v>701195.66899999999</v>
      </c>
      <c r="L100" s="852">
        <v>46578.5</v>
      </c>
      <c r="M100" s="852">
        <v>597373.1</v>
      </c>
      <c r="N100" s="852">
        <v>104843.6</v>
      </c>
      <c r="O100" s="852">
        <f>SUM(C100:N100)</f>
        <v>3219169.7590000005</v>
      </c>
    </row>
    <row r="101" spans="2:15">
      <c r="B101" s="788" t="s">
        <v>304</v>
      </c>
      <c r="C101" s="852">
        <v>108086.64306</v>
      </c>
      <c r="D101" s="852">
        <v>46449.517339999999</v>
      </c>
      <c r="E101" s="852">
        <v>120982.31729000001</v>
      </c>
      <c r="F101" s="852">
        <v>380448.80583999999</v>
      </c>
      <c r="G101" s="852">
        <v>178341.43641999995</v>
      </c>
      <c r="H101" s="852">
        <v>677700.67196999991</v>
      </c>
      <c r="I101" s="852">
        <v>301575.93612999999</v>
      </c>
      <c r="J101" s="852">
        <v>97583.759120000032</v>
      </c>
      <c r="K101" s="852">
        <v>710856.11607000011</v>
      </c>
      <c r="L101" s="852">
        <v>39395.918549999995</v>
      </c>
      <c r="M101" s="852">
        <v>487954.37919000007</v>
      </c>
      <c r="N101" s="852">
        <v>102531.41172</v>
      </c>
      <c r="O101" s="852">
        <f>SUM(C101:N101)</f>
        <v>3251906.9127000007</v>
      </c>
    </row>
    <row r="102" spans="2:15">
      <c r="B102" s="788" t="s">
        <v>305</v>
      </c>
      <c r="C102" s="852"/>
      <c r="D102" s="852"/>
      <c r="E102" s="852"/>
      <c r="F102" s="852"/>
      <c r="G102" s="852"/>
      <c r="H102" s="852"/>
      <c r="I102" s="852"/>
      <c r="J102" s="852"/>
      <c r="K102" s="852"/>
      <c r="L102" s="852"/>
      <c r="M102" s="852"/>
      <c r="N102" s="852"/>
      <c r="O102" s="852"/>
    </row>
    <row r="103" spans="2:15">
      <c r="B103" s="788" t="s">
        <v>306</v>
      </c>
      <c r="C103" s="852">
        <v>100028.34603999999</v>
      </c>
      <c r="D103" s="852">
        <v>57039.767260000001</v>
      </c>
      <c r="E103" s="852">
        <v>145652.53678000002</v>
      </c>
      <c r="F103" s="852">
        <v>380781.36367999995</v>
      </c>
      <c r="G103" s="852">
        <v>207379.17168999999</v>
      </c>
      <c r="H103" s="852">
        <v>612131.54393999977</v>
      </c>
      <c r="I103" s="852">
        <v>408359.11811999994</v>
      </c>
      <c r="J103" s="852">
        <v>103872.83805000001</v>
      </c>
      <c r="K103" s="852">
        <v>795047.61849999998</v>
      </c>
      <c r="L103" s="852">
        <v>46982.922059999997</v>
      </c>
      <c r="M103" s="852">
        <v>435912.39500000008</v>
      </c>
      <c r="N103" s="852">
        <v>90265.757329999993</v>
      </c>
      <c r="O103" s="852">
        <f>SUM(C103:N103)</f>
        <v>3383453.3784499993</v>
      </c>
    </row>
    <row r="104" spans="2:15" ht="14.4" thickBot="1">
      <c r="B104" s="854"/>
      <c r="C104" s="854"/>
      <c r="D104" s="854"/>
      <c r="E104" s="854"/>
      <c r="F104" s="854"/>
      <c r="G104" s="854"/>
      <c r="H104" s="854"/>
      <c r="I104" s="854"/>
      <c r="J104" s="854"/>
      <c r="K104" s="854"/>
      <c r="L104" s="854"/>
      <c r="M104" s="854"/>
      <c r="N104" s="854"/>
      <c r="O104" s="854"/>
    </row>
    <row r="105" spans="2:15" ht="14.4" thickTop="1"/>
    <row r="107" spans="2:15">
      <c r="N107" s="815">
        <v>1000</v>
      </c>
    </row>
    <row r="111" spans="2:15">
      <c r="B111" s="823" t="s">
        <v>263</v>
      </c>
      <c r="C111" s="824" t="s">
        <v>392</v>
      </c>
      <c r="D111" s="824" t="s">
        <v>393</v>
      </c>
      <c r="E111" s="824" t="s">
        <v>772</v>
      </c>
      <c r="F111" s="824" t="s">
        <v>396</v>
      </c>
      <c r="G111" s="824" t="s">
        <v>401</v>
      </c>
      <c r="H111" s="824" t="s">
        <v>402</v>
      </c>
      <c r="I111" s="824" t="s">
        <v>403</v>
      </c>
      <c r="J111" s="824" t="s">
        <v>404</v>
      </c>
      <c r="K111" s="824" t="s">
        <v>405</v>
      </c>
      <c r="L111" s="824" t="s">
        <v>406</v>
      </c>
      <c r="M111" s="824" t="s">
        <v>407</v>
      </c>
      <c r="N111" s="824" t="s">
        <v>295</v>
      </c>
      <c r="O111" s="825" t="s">
        <v>287</v>
      </c>
    </row>
    <row r="112" spans="2:15">
      <c r="B112" s="788" t="s">
        <v>300</v>
      </c>
      <c r="C112" s="852">
        <v>96752.83</v>
      </c>
      <c r="D112" s="852">
        <v>44883.31</v>
      </c>
      <c r="E112" s="852">
        <v>139327.79999999999</v>
      </c>
      <c r="F112" s="852">
        <v>354627.8</v>
      </c>
      <c r="G112" s="852">
        <v>155915.20000000001</v>
      </c>
      <c r="H112" s="852">
        <v>610758.39</v>
      </c>
      <c r="I112" s="852">
        <v>290072.83</v>
      </c>
      <c r="J112" s="852">
        <v>87142.96</v>
      </c>
      <c r="K112" s="852">
        <v>594397.69999999995</v>
      </c>
      <c r="L112" s="852">
        <v>38345.49</v>
      </c>
      <c r="M112" s="852">
        <v>523913.76</v>
      </c>
      <c r="N112" s="852">
        <v>141404.6</v>
      </c>
      <c r="O112" s="852">
        <f>SUM(C112:N112)</f>
        <v>3077542.6700000004</v>
      </c>
    </row>
    <row r="113" spans="2:16">
      <c r="B113" s="788" t="s">
        <v>1221</v>
      </c>
      <c r="C113" s="797">
        <v>58914.7</v>
      </c>
      <c r="D113" s="797">
        <v>8588.1200000000008</v>
      </c>
      <c r="E113" s="797">
        <v>7605.76</v>
      </c>
      <c r="F113" s="797">
        <v>1590.67</v>
      </c>
      <c r="G113" s="797">
        <v>142308.68</v>
      </c>
      <c r="H113" s="797">
        <v>90728.25</v>
      </c>
      <c r="I113" s="797">
        <v>28015.03</v>
      </c>
      <c r="J113" s="797">
        <v>25273.9</v>
      </c>
      <c r="K113" s="797">
        <v>185705.5</v>
      </c>
      <c r="L113" s="797">
        <v>1965</v>
      </c>
      <c r="M113" s="797">
        <v>164230.76999999999</v>
      </c>
      <c r="N113" s="797">
        <v>29295.16</v>
      </c>
      <c r="O113" s="797">
        <f>SUM(C113:N113)</f>
        <v>744221.54</v>
      </c>
    </row>
    <row r="114" spans="2:16">
      <c r="C114" s="797">
        <f>+C113+C112</f>
        <v>155667.53</v>
      </c>
      <c r="D114" s="797">
        <f t="shared" ref="D114:O114" si="0">+D113+D112</f>
        <v>53471.43</v>
      </c>
      <c r="E114" s="797">
        <f t="shared" si="0"/>
        <v>146933.56</v>
      </c>
      <c r="F114" s="797">
        <f t="shared" si="0"/>
        <v>356218.47</v>
      </c>
      <c r="G114" s="797">
        <f t="shared" si="0"/>
        <v>298223.88</v>
      </c>
      <c r="H114" s="797">
        <f t="shared" si="0"/>
        <v>701486.64</v>
      </c>
      <c r="I114" s="797">
        <f t="shared" si="0"/>
        <v>318087.86</v>
      </c>
      <c r="J114" s="797">
        <f t="shared" si="0"/>
        <v>112416.86000000002</v>
      </c>
      <c r="K114" s="797">
        <f t="shared" si="0"/>
        <v>780103.2</v>
      </c>
      <c r="L114" s="797">
        <f t="shared" si="0"/>
        <v>40310.49</v>
      </c>
      <c r="M114" s="797">
        <f t="shared" si="0"/>
        <v>688144.53</v>
      </c>
      <c r="N114" s="797">
        <f t="shared" si="0"/>
        <v>170699.76</v>
      </c>
      <c r="O114" s="797">
        <f t="shared" si="0"/>
        <v>3821764.2100000004</v>
      </c>
    </row>
    <row r="115" spans="2:16">
      <c r="C115" s="855">
        <f>+C114/$O$114</f>
        <v>4.0731850906102859E-2</v>
      </c>
      <c r="D115" s="855">
        <f t="shared" ref="D115:O115" si="1">+D114/$O$114</f>
        <v>1.3991294873735812E-2</v>
      </c>
      <c r="E115" s="855">
        <f t="shared" si="1"/>
        <v>3.8446526767803912E-2</v>
      </c>
      <c r="F115" s="856">
        <f t="shared" si="1"/>
        <v>9.320786171682735E-2</v>
      </c>
      <c r="G115" s="855">
        <f t="shared" si="1"/>
        <v>7.8033040138810655E-2</v>
      </c>
      <c r="H115" s="856">
        <f t="shared" si="1"/>
        <v>0.18355047602478855</v>
      </c>
      <c r="I115" s="855">
        <f t="shared" si="1"/>
        <v>8.323063447182158E-2</v>
      </c>
      <c r="J115" s="855">
        <f t="shared" si="1"/>
        <v>2.9414912543754237E-2</v>
      </c>
      <c r="K115" s="856">
        <f t="shared" si="1"/>
        <v>0.20412122703927876</v>
      </c>
      <c r="L115" s="855">
        <f t="shared" si="1"/>
        <v>1.054761303549912E-2</v>
      </c>
      <c r="M115" s="856">
        <f t="shared" si="1"/>
        <v>0.18005938937818458</v>
      </c>
      <c r="N115" s="855">
        <f t="shared" si="1"/>
        <v>4.4665173103392478E-2</v>
      </c>
      <c r="O115" s="855">
        <f t="shared" si="1"/>
        <v>1</v>
      </c>
      <c r="P115" s="815"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4"/>
    <col min="3" max="3" width="14.81640625" style="874" bestFit="1" customWidth="1"/>
    <col min="4" max="4" width="13.81640625" style="874" customWidth="1"/>
    <col min="5" max="5" width="18.54296875" style="874" customWidth="1"/>
    <col min="6" max="6" width="16.6328125" style="874" customWidth="1"/>
    <col min="7" max="7" width="15.1796875" style="874" customWidth="1"/>
    <col min="8" max="8" width="14" style="874" customWidth="1"/>
    <col min="9" max="9" width="16.54296875" style="874" customWidth="1"/>
    <col min="10" max="10" width="16.08984375" style="874" customWidth="1"/>
    <col min="11" max="11" width="12.90625" style="874" customWidth="1"/>
    <col min="12" max="12" width="12.54296875" style="874" customWidth="1"/>
    <col min="13" max="13" width="13.08984375" style="874" customWidth="1"/>
    <col min="14" max="14" width="13.1796875" style="874" customWidth="1"/>
    <col min="15" max="15" width="9.81640625" style="874" customWidth="1"/>
    <col min="16" max="16" width="14.36328125" style="874" customWidth="1"/>
    <col min="17" max="16384" width="8.90625" style="874"/>
  </cols>
  <sheetData>
    <row r="4" spans="3:17" ht="23.25" customHeight="1">
      <c r="C4" s="1850" t="s">
        <v>1123</v>
      </c>
      <c r="D4" s="1850"/>
      <c r="E4" s="1850"/>
      <c r="F4" s="1850"/>
      <c r="G4" s="1850"/>
      <c r="H4" s="1850"/>
      <c r="I4" s="1850"/>
      <c r="J4" s="1850"/>
      <c r="K4" s="1850"/>
      <c r="L4" s="1850"/>
      <c r="M4" s="1850"/>
      <c r="N4" s="1850"/>
      <c r="O4" s="1850"/>
      <c r="P4" s="1850"/>
      <c r="Q4" s="873"/>
    </row>
    <row r="5" spans="3:17" ht="15.6">
      <c r="C5" s="765"/>
      <c r="D5" s="875"/>
      <c r="E5" s="875"/>
      <c r="F5" s="875"/>
      <c r="G5" s="876"/>
      <c r="H5" s="876"/>
      <c r="I5" s="876"/>
      <c r="J5" s="876"/>
      <c r="K5" s="876"/>
      <c r="L5" s="875"/>
      <c r="M5" s="875"/>
      <c r="N5" s="877"/>
      <c r="O5" s="877"/>
      <c r="P5" s="877"/>
      <c r="Q5" s="873"/>
    </row>
    <row r="6" spans="3:17" ht="23.25" customHeight="1">
      <c r="C6" s="1851" t="s">
        <v>2</v>
      </c>
      <c r="D6" s="1851"/>
      <c r="E6" s="1851"/>
      <c r="F6" s="1851"/>
      <c r="G6" s="1851"/>
      <c r="H6" s="1851"/>
      <c r="I6" s="1851"/>
      <c r="J6" s="1851"/>
      <c r="K6" s="1851"/>
      <c r="L6" s="1851"/>
      <c r="M6" s="1851"/>
      <c r="N6" s="1851"/>
      <c r="O6" s="1851"/>
      <c r="P6" s="1851"/>
      <c r="Q6" s="873"/>
    </row>
    <row r="7" spans="3:17" ht="16.2" thickBot="1">
      <c r="C7" s="764"/>
      <c r="D7" s="876"/>
      <c r="E7" s="876"/>
      <c r="F7" s="876"/>
      <c r="G7" s="876"/>
      <c r="H7" s="876"/>
      <c r="I7" s="876"/>
      <c r="J7" s="876"/>
      <c r="K7" s="876"/>
      <c r="L7" s="876"/>
      <c r="M7" s="876"/>
      <c r="N7" s="876"/>
      <c r="O7" s="876"/>
      <c r="P7" s="876"/>
      <c r="Q7" s="873"/>
    </row>
    <row r="8" spans="3:17" ht="16.2" thickTop="1">
      <c r="C8" s="766"/>
      <c r="D8" s="878"/>
      <c r="E8" s="878"/>
      <c r="F8" s="878"/>
      <c r="G8" s="878"/>
      <c r="H8" s="878"/>
      <c r="I8" s="878"/>
      <c r="J8" s="878"/>
      <c r="K8" s="878"/>
      <c r="L8" s="878"/>
      <c r="M8" s="878"/>
      <c r="N8" s="878"/>
      <c r="O8" s="878"/>
      <c r="P8" s="878"/>
      <c r="Q8" s="879"/>
    </row>
    <row r="9" spans="3:17" ht="15.6">
      <c r="C9" s="768"/>
      <c r="D9" s="880" t="s">
        <v>392</v>
      </c>
      <c r="E9" s="880" t="s">
        <v>772</v>
      </c>
      <c r="F9" s="880" t="s">
        <v>393</v>
      </c>
      <c r="G9" s="880" t="s">
        <v>396</v>
      </c>
      <c r="H9" s="880" t="s">
        <v>401</v>
      </c>
      <c r="I9" s="880" t="s">
        <v>402</v>
      </c>
      <c r="J9" s="880" t="s">
        <v>403</v>
      </c>
      <c r="K9" s="880" t="s">
        <v>404</v>
      </c>
      <c r="L9" s="880" t="s">
        <v>405</v>
      </c>
      <c r="M9" s="880" t="s">
        <v>406</v>
      </c>
      <c r="N9" s="880" t="s">
        <v>407</v>
      </c>
      <c r="O9" s="880" t="s">
        <v>295</v>
      </c>
      <c r="P9" s="880" t="s">
        <v>287</v>
      </c>
      <c r="Q9" s="879"/>
    </row>
    <row r="10" spans="3:17" ht="15.6">
      <c r="C10" s="769" t="s">
        <v>263</v>
      </c>
      <c r="D10" s="880" t="s">
        <v>296</v>
      </c>
      <c r="E10" s="881"/>
      <c r="F10" s="881"/>
      <c r="G10" s="880" t="s">
        <v>296</v>
      </c>
      <c r="H10" s="880" t="s">
        <v>408</v>
      </c>
      <c r="I10" s="880" t="s">
        <v>409</v>
      </c>
      <c r="J10" s="880" t="s">
        <v>296</v>
      </c>
      <c r="K10" s="880" t="s">
        <v>296</v>
      </c>
      <c r="L10" s="880" t="s">
        <v>296</v>
      </c>
      <c r="M10" s="880" t="s">
        <v>296</v>
      </c>
      <c r="N10" s="880" t="s">
        <v>296</v>
      </c>
      <c r="O10" s="881"/>
      <c r="P10" s="881"/>
      <c r="Q10" s="879"/>
    </row>
    <row r="11" spans="3:17" ht="16.2" thickBot="1">
      <c r="C11" s="882"/>
      <c r="D11" s="883"/>
      <c r="E11" s="883"/>
      <c r="F11" s="883"/>
      <c r="G11" s="883"/>
      <c r="H11" s="883"/>
      <c r="I11" s="883"/>
      <c r="J11" s="883"/>
      <c r="K11" s="883"/>
      <c r="L11" s="883"/>
      <c r="M11" s="883"/>
      <c r="N11" s="883"/>
      <c r="O11" s="883"/>
      <c r="P11" s="884"/>
      <c r="Q11" s="879"/>
    </row>
    <row r="12" spans="3:17" ht="16.2" thickTop="1">
      <c r="C12" s="771"/>
      <c r="D12" s="885"/>
      <c r="E12" s="885"/>
      <c r="F12" s="885"/>
      <c r="G12" s="885"/>
      <c r="H12" s="885"/>
      <c r="I12" s="885"/>
      <c r="J12" s="885"/>
      <c r="K12" s="885"/>
      <c r="L12" s="885"/>
      <c r="M12" s="885"/>
      <c r="N12" s="885"/>
      <c r="O12" s="885"/>
      <c r="P12" s="885"/>
      <c r="Q12" s="879"/>
    </row>
    <row r="13" spans="3:17" ht="15.6">
      <c r="C13" s="886">
        <v>2009</v>
      </c>
      <c r="D13" s="769"/>
      <c r="E13" s="769"/>
      <c r="F13" s="772"/>
      <c r="G13" s="772"/>
      <c r="H13" s="772"/>
      <c r="I13" s="772"/>
      <c r="J13" s="772"/>
      <c r="K13" s="772"/>
      <c r="L13" s="772"/>
      <c r="M13" s="772"/>
      <c r="N13" s="772"/>
      <c r="O13" s="772"/>
      <c r="P13" s="773"/>
      <c r="Q13" s="879"/>
    </row>
    <row r="14" spans="3:17" ht="15.6">
      <c r="C14" s="839"/>
      <c r="D14" s="769"/>
      <c r="E14" s="769"/>
      <c r="F14" s="772"/>
      <c r="G14" s="772"/>
      <c r="H14" s="772"/>
      <c r="I14" s="772"/>
      <c r="J14" s="772"/>
      <c r="K14" s="772"/>
      <c r="L14" s="772"/>
      <c r="M14" s="772"/>
      <c r="N14" s="772"/>
      <c r="O14" s="772"/>
      <c r="P14" s="773"/>
    </row>
    <row r="15" spans="3:17" ht="15.6">
      <c r="C15" s="839" t="s">
        <v>298</v>
      </c>
      <c r="D15" s="887">
        <v>27419.3</v>
      </c>
      <c r="E15" s="887">
        <v>1011434.63</v>
      </c>
      <c r="F15" s="887">
        <v>0</v>
      </c>
      <c r="G15" s="887">
        <v>437965.96</v>
      </c>
      <c r="H15" s="887">
        <v>361061.91</v>
      </c>
      <c r="I15" s="887">
        <v>0</v>
      </c>
      <c r="J15" s="887">
        <v>1515788.91</v>
      </c>
      <c r="K15" s="887">
        <v>586735.15</v>
      </c>
      <c r="L15" s="887">
        <v>459075.8</v>
      </c>
      <c r="M15" s="887">
        <v>0</v>
      </c>
      <c r="N15" s="887">
        <v>270586.84999999998</v>
      </c>
      <c r="O15" s="887">
        <v>531896.55000000005</v>
      </c>
      <c r="P15" s="888">
        <f>(SUM(D15:O15))</f>
        <v>5201965.0599999996</v>
      </c>
    </row>
    <row r="16" spans="3:17" ht="15.6">
      <c r="C16" s="839"/>
      <c r="D16" s="887"/>
      <c r="E16" s="887"/>
      <c r="F16" s="887"/>
      <c r="G16" s="887"/>
      <c r="H16" s="887"/>
      <c r="I16" s="887"/>
      <c r="J16" s="887"/>
      <c r="K16" s="887"/>
      <c r="L16" s="887"/>
      <c r="M16" s="887"/>
      <c r="N16" s="887"/>
      <c r="O16" s="887"/>
      <c r="P16" s="889"/>
    </row>
    <row r="17" spans="3:16" ht="15.6">
      <c r="C17" s="839" t="s">
        <v>299</v>
      </c>
      <c r="D17" s="887">
        <v>48555.199999999997</v>
      </c>
      <c r="E17" s="887">
        <v>94113.65</v>
      </c>
      <c r="F17" s="887">
        <v>0</v>
      </c>
      <c r="G17" s="887">
        <v>247665.14</v>
      </c>
      <c r="H17" s="887">
        <v>171453.52</v>
      </c>
      <c r="I17" s="887">
        <v>0</v>
      </c>
      <c r="J17" s="887">
        <v>1331165.3500000001</v>
      </c>
      <c r="K17" s="887">
        <v>819044</v>
      </c>
      <c r="L17" s="887">
        <v>459654.01</v>
      </c>
      <c r="M17" s="887">
        <v>0</v>
      </c>
      <c r="N17" s="887">
        <v>227508.55</v>
      </c>
      <c r="O17" s="887">
        <v>746211.36</v>
      </c>
      <c r="P17" s="889">
        <f>(SUM(D17:O17))</f>
        <v>4145370.78</v>
      </c>
    </row>
    <row r="18" spans="3:16" ht="15.6">
      <c r="C18" s="839"/>
      <c r="D18" s="887"/>
      <c r="E18" s="887"/>
      <c r="F18" s="887"/>
      <c r="G18" s="887"/>
      <c r="H18" s="887"/>
      <c r="I18" s="887"/>
      <c r="J18" s="887"/>
      <c r="K18" s="887"/>
      <c r="L18" s="887"/>
      <c r="M18" s="887"/>
      <c r="N18" s="887"/>
      <c r="O18" s="887"/>
      <c r="P18" s="889"/>
    </row>
    <row r="19" spans="3:16" ht="15.6">
      <c r="C19" s="839" t="s">
        <v>300</v>
      </c>
      <c r="D19" s="887">
        <v>0</v>
      </c>
      <c r="E19" s="887">
        <v>106941.89</v>
      </c>
      <c r="F19" s="887">
        <v>0</v>
      </c>
      <c r="G19" s="887">
        <v>450123.63</v>
      </c>
      <c r="H19" s="887">
        <v>1013680.9</v>
      </c>
      <c r="I19" s="887">
        <v>413066.07</v>
      </c>
      <c r="J19" s="887">
        <v>1702617.31</v>
      </c>
      <c r="K19" s="887">
        <v>1444504.56</v>
      </c>
      <c r="L19" s="887">
        <v>455779.63</v>
      </c>
      <c r="M19" s="887">
        <v>0</v>
      </c>
      <c r="N19" s="887">
        <v>473323</v>
      </c>
      <c r="O19" s="887">
        <v>1444504.56</v>
      </c>
      <c r="P19" s="889">
        <f>(SUM(D19:O19))</f>
        <v>7504541.5499999989</v>
      </c>
    </row>
    <row r="20" spans="3:16" ht="15.6">
      <c r="C20" s="839"/>
      <c r="D20" s="887"/>
      <c r="E20" s="887"/>
      <c r="F20" s="887"/>
      <c r="G20" s="887"/>
      <c r="H20" s="887"/>
      <c r="I20" s="887"/>
      <c r="J20" s="887"/>
      <c r="K20" s="887"/>
      <c r="L20" s="887"/>
      <c r="M20" s="887"/>
      <c r="N20" s="887"/>
      <c r="O20" s="887"/>
      <c r="P20" s="889"/>
    </row>
    <row r="21" spans="3:16" ht="15.6">
      <c r="C21" s="839" t="s">
        <v>301</v>
      </c>
      <c r="D21" s="887">
        <v>1402344</v>
      </c>
      <c r="E21" s="887">
        <v>5083</v>
      </c>
      <c r="F21" s="887">
        <v>87474</v>
      </c>
      <c r="G21" s="887">
        <v>653946</v>
      </c>
      <c r="H21" s="887">
        <v>931381</v>
      </c>
      <c r="I21" s="887">
        <v>2326814</v>
      </c>
      <c r="J21" s="887">
        <v>847347</v>
      </c>
      <c r="K21" s="887">
        <v>814855</v>
      </c>
      <c r="L21" s="887">
        <v>650920</v>
      </c>
      <c r="M21" s="887">
        <v>452922</v>
      </c>
      <c r="N21" s="887">
        <v>705892</v>
      </c>
      <c r="O21" s="887">
        <v>1239119</v>
      </c>
      <c r="P21" s="889">
        <f>(SUM(D21:O21))</f>
        <v>10118097</v>
      </c>
    </row>
    <row r="22" spans="3:16" ht="15.6">
      <c r="C22" s="839"/>
      <c r="D22" s="887"/>
      <c r="E22" s="887"/>
      <c r="F22" s="887"/>
      <c r="G22" s="887"/>
      <c r="H22" s="887"/>
      <c r="I22" s="887"/>
      <c r="J22" s="887"/>
      <c r="K22" s="887"/>
      <c r="L22" s="887"/>
      <c r="M22" s="887"/>
      <c r="N22" s="887"/>
      <c r="O22" s="887"/>
      <c r="P22" s="889"/>
    </row>
    <row r="23" spans="3:16" ht="15.6">
      <c r="C23" s="839" t="s">
        <v>302</v>
      </c>
      <c r="D23" s="887">
        <v>3622640</v>
      </c>
      <c r="E23" s="887">
        <v>2343</v>
      </c>
      <c r="F23" s="887">
        <v>202268</v>
      </c>
      <c r="G23" s="887">
        <v>576946</v>
      </c>
      <c r="H23" s="887">
        <v>2241449</v>
      </c>
      <c r="I23" s="887">
        <v>1238185</v>
      </c>
      <c r="J23" s="887">
        <v>916574</v>
      </c>
      <c r="K23" s="887">
        <v>1300523</v>
      </c>
      <c r="L23" s="887">
        <v>1201957</v>
      </c>
      <c r="M23" s="887">
        <v>442646</v>
      </c>
      <c r="N23" s="887">
        <v>707914</v>
      </c>
      <c r="O23" s="887">
        <v>798680</v>
      </c>
      <c r="P23" s="889">
        <f>(SUM(D23:O23))</f>
        <v>13252125</v>
      </c>
    </row>
    <row r="24" spans="3:16" ht="15.6">
      <c r="C24" s="839"/>
      <c r="D24" s="887"/>
      <c r="E24" s="887"/>
      <c r="F24" s="887"/>
      <c r="G24" s="887"/>
      <c r="H24" s="887"/>
      <c r="I24" s="887"/>
      <c r="J24" s="887"/>
      <c r="K24" s="887"/>
      <c r="L24" s="887"/>
      <c r="M24" s="887"/>
      <c r="N24" s="887"/>
      <c r="O24" s="887"/>
      <c r="P24" s="889"/>
    </row>
    <row r="25" spans="3:16" ht="15.6">
      <c r="C25" s="836" t="s">
        <v>303</v>
      </c>
      <c r="D25" s="887">
        <v>1420868.1</v>
      </c>
      <c r="E25" s="887">
        <v>7662499</v>
      </c>
      <c r="F25" s="887">
        <v>0</v>
      </c>
      <c r="G25" s="887">
        <v>3961486</v>
      </c>
      <c r="H25" s="887">
        <v>32542</v>
      </c>
      <c r="I25" s="887">
        <v>65796</v>
      </c>
      <c r="J25" s="887">
        <v>3979025</v>
      </c>
      <c r="K25" s="887">
        <v>2632937</v>
      </c>
      <c r="L25" s="887">
        <v>892554</v>
      </c>
      <c r="M25" s="887">
        <v>1034246</v>
      </c>
      <c r="N25" s="887">
        <v>383281</v>
      </c>
      <c r="O25" s="887">
        <v>221045</v>
      </c>
      <c r="P25" s="889">
        <f>(SUM(D25:O25))</f>
        <v>22286279.100000001</v>
      </c>
    </row>
    <row r="26" spans="3:16" ht="15.6">
      <c r="C26" s="836"/>
      <c r="D26" s="887"/>
      <c r="E26" s="887"/>
      <c r="F26" s="887"/>
      <c r="G26" s="887"/>
      <c r="H26" s="887"/>
      <c r="I26" s="887"/>
      <c r="J26" s="887"/>
      <c r="K26" s="887"/>
      <c r="L26" s="887"/>
      <c r="M26" s="887"/>
      <c r="N26" s="887"/>
      <c r="O26" s="887"/>
      <c r="P26" s="889"/>
    </row>
    <row r="27" spans="3:16" ht="15.6">
      <c r="C27" s="839" t="s">
        <v>304</v>
      </c>
      <c r="D27" s="890">
        <v>4272611.84</v>
      </c>
      <c r="E27" s="890">
        <v>765361.62</v>
      </c>
      <c r="F27" s="890">
        <v>48592.69</v>
      </c>
      <c r="G27" s="890">
        <v>1720261.1</v>
      </c>
      <c r="H27" s="890">
        <v>3579986.63</v>
      </c>
      <c r="I27" s="890">
        <v>9701512.7899999991</v>
      </c>
      <c r="J27" s="890">
        <v>5377678.5300000003</v>
      </c>
      <c r="K27" s="890">
        <v>3272654.15</v>
      </c>
      <c r="L27" s="890">
        <v>14410981.98</v>
      </c>
      <c r="M27" s="890">
        <v>1990771.59</v>
      </c>
      <c r="N27" s="890">
        <v>9862658.1099999994</v>
      </c>
      <c r="O27" s="890">
        <v>2827510.26</v>
      </c>
      <c r="P27" s="889">
        <f>(SUM(D27:O27))</f>
        <v>57830581.289999999</v>
      </c>
    </row>
    <row r="28" spans="3:16" ht="15.6">
      <c r="C28" s="839"/>
      <c r="D28" s="887"/>
      <c r="E28" s="887"/>
      <c r="F28" s="887"/>
      <c r="G28" s="887"/>
      <c r="H28" s="887"/>
      <c r="I28" s="887"/>
      <c r="J28" s="887"/>
      <c r="K28" s="887"/>
      <c r="L28" s="887"/>
      <c r="M28" s="887"/>
      <c r="N28" s="887"/>
      <c r="O28" s="887"/>
      <c r="P28" s="889"/>
    </row>
    <row r="29" spans="3:16" ht="15.6">
      <c r="C29" s="839" t="s">
        <v>305</v>
      </c>
      <c r="D29" s="890">
        <v>1739870.73</v>
      </c>
      <c r="E29" s="890">
        <v>3043060.16</v>
      </c>
      <c r="F29" s="890">
        <v>643627.22</v>
      </c>
      <c r="G29" s="890">
        <v>1424987.53</v>
      </c>
      <c r="H29" s="890">
        <v>9533282.6300000008</v>
      </c>
      <c r="I29" s="890">
        <v>14785211.48</v>
      </c>
      <c r="J29" s="890">
        <v>4781934.05</v>
      </c>
      <c r="K29" s="890">
        <v>660765.63</v>
      </c>
      <c r="L29" s="890">
        <v>15900006.430000002</v>
      </c>
      <c r="M29" s="890">
        <v>3165985.58</v>
      </c>
      <c r="N29" s="890">
        <v>7506101.5699999994</v>
      </c>
      <c r="O29" s="890">
        <v>1383832.56</v>
      </c>
      <c r="P29" s="889">
        <f>SUM(D29:O29)</f>
        <v>64568665.57</v>
      </c>
    </row>
    <row r="30" spans="3:16" ht="15.6">
      <c r="C30" s="839"/>
      <c r="D30" s="887"/>
      <c r="E30" s="887"/>
      <c r="F30" s="887"/>
      <c r="G30" s="887"/>
      <c r="H30" s="887"/>
      <c r="I30" s="887"/>
      <c r="J30" s="887"/>
      <c r="K30" s="887"/>
      <c r="L30" s="887"/>
      <c r="M30" s="887"/>
      <c r="N30" s="887"/>
      <c r="O30" s="887"/>
      <c r="P30" s="889"/>
    </row>
    <row r="31" spans="3:16" ht="15.6">
      <c r="C31" s="839" t="s">
        <v>306</v>
      </c>
      <c r="D31" s="890">
        <v>1705819.86</v>
      </c>
      <c r="E31" s="890">
        <v>3641074</v>
      </c>
      <c r="F31" s="890">
        <v>843201</v>
      </c>
      <c r="G31" s="890">
        <v>102150</v>
      </c>
      <c r="H31" s="890">
        <v>5202031.62</v>
      </c>
      <c r="I31" s="890">
        <v>19728869.620000001</v>
      </c>
      <c r="J31" s="890">
        <v>6366566</v>
      </c>
      <c r="K31" s="890">
        <v>742335.66</v>
      </c>
      <c r="L31" s="890">
        <v>20563197.699999999</v>
      </c>
      <c r="M31" s="890">
        <v>2002287.66</v>
      </c>
      <c r="N31" s="890">
        <v>8136519.9699999997</v>
      </c>
      <c r="O31" s="890">
        <v>455332</v>
      </c>
      <c r="P31" s="889">
        <f>SUM(D31:O31)</f>
        <v>69489385.089999989</v>
      </c>
    </row>
    <row r="32" spans="3:16" ht="15.6">
      <c r="C32" s="839"/>
      <c r="D32" s="887"/>
      <c r="E32" s="887"/>
      <c r="F32" s="887"/>
      <c r="G32" s="887"/>
      <c r="H32" s="887"/>
      <c r="I32" s="887"/>
      <c r="J32" s="887"/>
      <c r="K32" s="887"/>
      <c r="L32" s="887"/>
      <c r="M32" s="887"/>
      <c r="N32" s="887"/>
      <c r="O32" s="887"/>
      <c r="P32" s="889"/>
    </row>
    <row r="33" spans="3:16" ht="15.6">
      <c r="C33" s="839" t="s">
        <v>307</v>
      </c>
      <c r="D33" s="890">
        <v>2439026</v>
      </c>
      <c r="E33" s="890">
        <v>4806571.18</v>
      </c>
      <c r="F33" s="890">
        <v>52245</v>
      </c>
      <c r="G33" s="890">
        <v>1089172</v>
      </c>
      <c r="H33" s="890">
        <v>5043797</v>
      </c>
      <c r="I33" s="890">
        <v>19890530.889225516</v>
      </c>
      <c r="J33" s="890">
        <v>9939412.2829045355</v>
      </c>
      <c r="K33" s="890">
        <v>11051245.390000001</v>
      </c>
      <c r="L33" s="890">
        <v>26399608.299441051</v>
      </c>
      <c r="M33" s="890">
        <v>1927020.6199894028</v>
      </c>
      <c r="N33" s="890">
        <v>6999257.5339087788</v>
      </c>
      <c r="O33" s="890">
        <v>15159629.344245037</v>
      </c>
      <c r="P33" s="889">
        <f>SUM(D33:O33)</f>
        <v>104797515.53971434</v>
      </c>
    </row>
    <row r="34" spans="3:16" ht="15.6">
      <c r="C34" s="839"/>
      <c r="D34" s="769"/>
      <c r="E34" s="769"/>
      <c r="F34" s="772"/>
      <c r="G34" s="772"/>
      <c r="H34" s="772"/>
      <c r="I34" s="772"/>
      <c r="J34" s="772"/>
      <c r="K34" s="772"/>
      <c r="L34" s="772"/>
      <c r="M34" s="772"/>
      <c r="N34" s="772"/>
      <c r="O34" s="772"/>
      <c r="P34" s="889"/>
    </row>
    <row r="35" spans="3:16" ht="15.6">
      <c r="C35" s="839" t="s">
        <v>308</v>
      </c>
      <c r="D35" s="890">
        <v>7592405.9368179999</v>
      </c>
      <c r="E35" s="890">
        <v>3784318.42</v>
      </c>
      <c r="F35" s="890">
        <v>155404</v>
      </c>
      <c r="G35" s="890">
        <v>1110503</v>
      </c>
      <c r="H35" s="890">
        <v>15379597.685752476</v>
      </c>
      <c r="I35" s="890">
        <v>20586197</v>
      </c>
      <c r="J35" s="890">
        <v>10324288.967331357</v>
      </c>
      <c r="K35" s="890">
        <v>3195314.91</v>
      </c>
      <c r="L35" s="890">
        <v>28015888.065294638</v>
      </c>
      <c r="M35" s="890">
        <v>2132692.39</v>
      </c>
      <c r="N35" s="890">
        <v>5521862.7704306366</v>
      </c>
      <c r="O35" s="890">
        <v>8623077</v>
      </c>
      <c r="P35" s="889">
        <f>SUM(D35:O35)</f>
        <v>106421550.14562711</v>
      </c>
    </row>
    <row r="36" spans="3:16" ht="15.6">
      <c r="C36" s="839"/>
      <c r="D36" s="890"/>
      <c r="E36" s="890"/>
      <c r="F36" s="890"/>
      <c r="G36" s="890"/>
      <c r="H36" s="890"/>
      <c r="I36" s="890"/>
      <c r="J36" s="890"/>
      <c r="K36" s="890"/>
      <c r="L36" s="890"/>
      <c r="M36" s="890"/>
      <c r="N36" s="890"/>
      <c r="O36" s="772"/>
      <c r="P36" s="889"/>
    </row>
    <row r="37" spans="3:16" ht="15.6">
      <c r="C37" s="839" t="s">
        <v>311</v>
      </c>
      <c r="D37" s="890">
        <v>3994744</v>
      </c>
      <c r="E37" s="890">
        <v>13143782</v>
      </c>
      <c r="F37" s="890">
        <v>53039</v>
      </c>
      <c r="G37" s="890">
        <v>2508514</v>
      </c>
      <c r="H37" s="890">
        <v>2786792</v>
      </c>
      <c r="I37" s="890">
        <v>23196476</v>
      </c>
      <c r="J37" s="890">
        <v>9561668</v>
      </c>
      <c r="K37" s="890">
        <v>3202870</v>
      </c>
      <c r="L37" s="890">
        <v>46655137</v>
      </c>
      <c r="M37" s="890">
        <v>2022005</v>
      </c>
      <c r="N37" s="890">
        <v>13321243</v>
      </c>
      <c r="O37" s="890">
        <v>3178918</v>
      </c>
      <c r="P37" s="889">
        <f>SUM(D37:O37)</f>
        <v>123625188</v>
      </c>
    </row>
    <row r="38" spans="3:16" ht="15.6">
      <c r="C38" s="839"/>
      <c r="D38" s="890"/>
      <c r="E38" s="890"/>
      <c r="F38" s="890"/>
      <c r="G38" s="890"/>
      <c r="H38" s="890"/>
      <c r="I38" s="890"/>
      <c r="J38" s="890"/>
      <c r="K38" s="890"/>
      <c r="L38" s="890"/>
      <c r="M38" s="890"/>
      <c r="N38" s="890"/>
      <c r="O38" s="772"/>
      <c r="P38" s="889"/>
    </row>
    <row r="39" spans="3:16" ht="15.6">
      <c r="C39" s="886">
        <v>2010</v>
      </c>
      <c r="D39" s="890"/>
      <c r="E39" s="890"/>
      <c r="F39" s="890"/>
      <c r="G39" s="890"/>
      <c r="H39" s="890"/>
      <c r="I39" s="890"/>
      <c r="J39" s="890"/>
      <c r="K39" s="890"/>
      <c r="L39" s="890"/>
      <c r="M39" s="890"/>
      <c r="N39" s="890"/>
      <c r="O39" s="772"/>
      <c r="P39" s="889"/>
    </row>
    <row r="40" spans="3:16" ht="15.6">
      <c r="C40" s="886"/>
      <c r="D40" s="890"/>
      <c r="E40" s="890"/>
      <c r="F40" s="890"/>
      <c r="G40" s="890"/>
      <c r="H40" s="890"/>
      <c r="I40" s="890"/>
      <c r="J40" s="890"/>
      <c r="K40" s="890"/>
      <c r="L40" s="890"/>
      <c r="M40" s="890"/>
      <c r="N40" s="890"/>
      <c r="O40" s="772"/>
      <c r="P40" s="889"/>
    </row>
    <row r="41" spans="3:16" ht="15.6">
      <c r="C41" s="891" t="s">
        <v>298</v>
      </c>
      <c r="D41" s="890">
        <v>2442249</v>
      </c>
      <c r="E41" s="890">
        <v>12724009</v>
      </c>
      <c r="F41" s="890">
        <v>34568</v>
      </c>
      <c r="G41" s="890">
        <v>1649449</v>
      </c>
      <c r="H41" s="890">
        <v>3747712</v>
      </c>
      <c r="I41" s="890">
        <v>5533100</v>
      </c>
      <c r="J41" s="890">
        <v>10688815</v>
      </c>
      <c r="K41" s="890">
        <v>13800658</v>
      </c>
      <c r="L41" s="890">
        <v>51038871</v>
      </c>
      <c r="M41" s="890">
        <v>1191372</v>
      </c>
      <c r="N41" s="890">
        <v>10403473</v>
      </c>
      <c r="O41" s="890">
        <v>13482570</v>
      </c>
      <c r="P41" s="889">
        <f>SUM(D41:O41)</f>
        <v>126736846</v>
      </c>
    </row>
    <row r="42" spans="3:16" ht="15.6">
      <c r="C42" s="891"/>
      <c r="D42" s="890"/>
      <c r="E42" s="890"/>
      <c r="F42" s="890"/>
      <c r="G42" s="890"/>
      <c r="H42" s="890"/>
      <c r="I42" s="890"/>
      <c r="J42" s="890"/>
      <c r="K42" s="890"/>
      <c r="L42" s="890"/>
      <c r="M42" s="890"/>
      <c r="N42" s="890"/>
      <c r="O42" s="772"/>
      <c r="P42" s="889"/>
    </row>
    <row r="43" spans="3:16" ht="15.6">
      <c r="C43" s="891" t="s">
        <v>299</v>
      </c>
      <c r="D43" s="890">
        <v>3442212</v>
      </c>
      <c r="E43" s="890">
        <v>13170468</v>
      </c>
      <c r="F43" s="890">
        <v>27032</v>
      </c>
      <c r="G43" s="890">
        <v>981657</v>
      </c>
      <c r="H43" s="890">
        <v>3727616</v>
      </c>
      <c r="I43" s="890">
        <v>15785947</v>
      </c>
      <c r="J43" s="890">
        <v>10195901</v>
      </c>
      <c r="K43" s="890">
        <v>7215509</v>
      </c>
      <c r="L43" s="890">
        <v>53251271</v>
      </c>
      <c r="M43" s="890">
        <v>1123759</v>
      </c>
      <c r="N43" s="890">
        <v>10340312</v>
      </c>
      <c r="O43" s="772">
        <v>6897420</v>
      </c>
      <c r="P43" s="889">
        <f>SUM(D43:O43)</f>
        <v>126159104</v>
      </c>
    </row>
    <row r="44" spans="3:16" ht="15.6">
      <c r="C44" s="839"/>
      <c r="D44" s="890"/>
      <c r="E44" s="890"/>
      <c r="F44" s="890"/>
      <c r="G44" s="890"/>
      <c r="H44" s="890"/>
      <c r="I44" s="890"/>
      <c r="J44" s="890"/>
      <c r="K44" s="890"/>
      <c r="L44" s="890"/>
      <c r="M44" s="890"/>
      <c r="N44" s="890"/>
      <c r="O44" s="772"/>
      <c r="P44" s="889"/>
    </row>
    <row r="45" spans="3:16" ht="15.6">
      <c r="C45" s="839" t="s">
        <v>300</v>
      </c>
      <c r="D45" s="890">
        <v>3442212</v>
      </c>
      <c r="E45" s="890">
        <v>13170468</v>
      </c>
      <c r="F45" s="890">
        <v>27032</v>
      </c>
      <c r="G45" s="890">
        <v>981657</v>
      </c>
      <c r="H45" s="890">
        <v>3727616</v>
      </c>
      <c r="I45" s="890">
        <v>15785947</v>
      </c>
      <c r="J45" s="890">
        <v>12046449</v>
      </c>
      <c r="K45" s="890">
        <v>7215509</v>
      </c>
      <c r="L45" s="890">
        <v>60158753</v>
      </c>
      <c r="M45" s="890">
        <v>1123759</v>
      </c>
      <c r="N45" s="890">
        <v>10655790</v>
      </c>
      <c r="O45" s="890">
        <v>6897420</v>
      </c>
      <c r="P45" s="889">
        <f>SUM(D45:O45)</f>
        <v>135232612</v>
      </c>
    </row>
    <row r="46" spans="3:16" ht="15.6">
      <c r="C46" s="839"/>
      <c r="D46" s="890"/>
      <c r="E46" s="890"/>
      <c r="F46" s="890"/>
      <c r="G46" s="890"/>
      <c r="H46" s="890"/>
      <c r="I46" s="890"/>
      <c r="J46" s="890"/>
      <c r="K46" s="890"/>
      <c r="L46" s="890"/>
      <c r="M46" s="890"/>
      <c r="N46" s="890"/>
      <c r="O46" s="772"/>
      <c r="P46" s="889"/>
    </row>
    <row r="47" spans="3:16" ht="15.6">
      <c r="C47" s="839" t="s">
        <v>301</v>
      </c>
      <c r="D47" s="890">
        <v>5011214</v>
      </c>
      <c r="E47" s="890">
        <v>15686237</v>
      </c>
      <c r="F47" s="890">
        <v>784020</v>
      </c>
      <c r="G47" s="890">
        <v>1373649</v>
      </c>
      <c r="H47" s="890">
        <v>33482262</v>
      </c>
      <c r="I47" s="890">
        <v>5691182</v>
      </c>
      <c r="J47" s="890">
        <v>1969845</v>
      </c>
      <c r="K47" s="890">
        <v>730944</v>
      </c>
      <c r="L47" s="890">
        <v>34657825</v>
      </c>
      <c r="M47" s="890">
        <v>1194821</v>
      </c>
      <c r="N47" s="890">
        <v>12108196</v>
      </c>
      <c r="O47" s="890">
        <v>408765</v>
      </c>
      <c r="P47" s="889">
        <f>SUM(D47:O47)</f>
        <v>113098960</v>
      </c>
    </row>
    <row r="48" spans="3:16" ht="15.6">
      <c r="C48" s="839"/>
      <c r="D48" s="890"/>
      <c r="E48" s="890"/>
      <c r="F48" s="890"/>
      <c r="G48" s="890"/>
      <c r="H48" s="890"/>
      <c r="I48" s="890"/>
      <c r="J48" s="890"/>
      <c r="K48" s="890"/>
      <c r="L48" s="890"/>
      <c r="M48" s="890"/>
      <c r="N48" s="890"/>
      <c r="O48" s="772"/>
      <c r="P48" s="889"/>
    </row>
    <row r="49" spans="3:16" ht="15.6">
      <c r="C49" s="839" t="s">
        <v>302</v>
      </c>
      <c r="D49" s="890">
        <v>7687566</v>
      </c>
      <c r="E49" s="890">
        <v>1970375</v>
      </c>
      <c r="F49" s="890">
        <v>592402</v>
      </c>
      <c r="G49" s="890">
        <v>3655222</v>
      </c>
      <c r="H49" s="890">
        <v>21669471</v>
      </c>
      <c r="I49" s="890">
        <v>52834337</v>
      </c>
      <c r="J49" s="890">
        <v>7755498</v>
      </c>
      <c r="K49" s="890">
        <v>14894719</v>
      </c>
      <c r="L49" s="890">
        <v>43703461</v>
      </c>
      <c r="M49" s="890">
        <v>3789116</v>
      </c>
      <c r="N49" s="890">
        <v>22088101</v>
      </c>
      <c r="O49" s="772">
        <v>11646142</v>
      </c>
      <c r="P49" s="889">
        <f>SUM(D49:O49)</f>
        <v>192286410</v>
      </c>
    </row>
    <row r="50" spans="3:16" ht="15.6">
      <c r="C50" s="839"/>
      <c r="D50" s="890"/>
      <c r="E50" s="890"/>
      <c r="F50" s="890"/>
      <c r="G50" s="890"/>
      <c r="H50" s="890"/>
      <c r="I50" s="890"/>
      <c r="J50" s="890"/>
      <c r="K50" s="890"/>
      <c r="L50" s="890"/>
      <c r="M50" s="890"/>
      <c r="N50" s="890"/>
      <c r="O50" s="772"/>
      <c r="P50" s="889"/>
    </row>
    <row r="51" spans="3:16" ht="15.6">
      <c r="C51" s="836" t="s">
        <v>303</v>
      </c>
      <c r="D51" s="890">
        <v>9647545</v>
      </c>
      <c r="E51" s="890">
        <v>1277604</v>
      </c>
      <c r="F51" s="890">
        <v>1299785</v>
      </c>
      <c r="G51" s="890">
        <v>1108116</v>
      </c>
      <c r="H51" s="890">
        <v>57880712</v>
      </c>
      <c r="I51" s="890">
        <v>45584306</v>
      </c>
      <c r="J51" s="890">
        <v>4815913</v>
      </c>
      <c r="K51" s="890">
        <v>13133581</v>
      </c>
      <c r="L51" s="890">
        <v>65985323</v>
      </c>
      <c r="M51" s="890">
        <v>7592461</v>
      </c>
      <c r="N51" s="890">
        <v>23173776</v>
      </c>
      <c r="O51" s="890">
        <v>6735575</v>
      </c>
      <c r="P51" s="889">
        <f>SUM(D51:O51)</f>
        <v>238234697</v>
      </c>
    </row>
    <row r="52" spans="3:16" ht="15.6">
      <c r="C52" s="836"/>
      <c r="D52" s="890"/>
      <c r="E52" s="890"/>
      <c r="F52" s="890"/>
      <c r="G52" s="890"/>
      <c r="H52" s="890"/>
      <c r="I52" s="890"/>
      <c r="J52" s="890"/>
      <c r="K52" s="890"/>
      <c r="L52" s="890"/>
      <c r="M52" s="890"/>
      <c r="N52" s="890"/>
      <c r="O52" s="772"/>
      <c r="P52" s="889"/>
    </row>
    <row r="53" spans="3:16" ht="15.6">
      <c r="C53" s="839" t="s">
        <v>304</v>
      </c>
      <c r="D53" s="890">
        <v>6831394</v>
      </c>
      <c r="E53" s="890">
        <v>1520844</v>
      </c>
      <c r="F53" s="890">
        <v>915150</v>
      </c>
      <c r="G53" s="890">
        <v>4355584</v>
      </c>
      <c r="H53" s="890">
        <v>11278975</v>
      </c>
      <c r="I53" s="890">
        <v>86588632</v>
      </c>
      <c r="J53" s="890">
        <v>11052944</v>
      </c>
      <c r="K53" s="890">
        <v>19028354</v>
      </c>
      <c r="L53" s="890">
        <v>58667528</v>
      </c>
      <c r="M53" s="890">
        <v>8380786</v>
      </c>
      <c r="N53" s="890">
        <v>24574221</v>
      </c>
      <c r="O53" s="890">
        <v>13796449</v>
      </c>
      <c r="P53" s="889">
        <f>SUM(D53:O53)</f>
        <v>246990861</v>
      </c>
    </row>
    <row r="54" spans="3:16" ht="15.6">
      <c r="C54" s="839"/>
      <c r="D54" s="890"/>
      <c r="E54" s="890"/>
      <c r="F54" s="890"/>
      <c r="G54" s="890"/>
      <c r="H54" s="890"/>
      <c r="I54" s="890"/>
      <c r="J54" s="890"/>
      <c r="K54" s="890"/>
      <c r="L54" s="890"/>
      <c r="M54" s="890"/>
      <c r="N54" s="890"/>
      <c r="O54" s="772"/>
      <c r="P54" s="889"/>
    </row>
    <row r="55" spans="3:16" ht="15.6">
      <c r="C55" s="839" t="s">
        <v>305</v>
      </c>
      <c r="D55" s="890">
        <v>10560846</v>
      </c>
      <c r="E55" s="890">
        <v>3907106</v>
      </c>
      <c r="F55" s="890">
        <v>1252098</v>
      </c>
      <c r="G55" s="890">
        <v>3516366</v>
      </c>
      <c r="H55" s="890">
        <v>27507342</v>
      </c>
      <c r="I55" s="890">
        <v>91561627</v>
      </c>
      <c r="J55" s="890">
        <v>5030333</v>
      </c>
      <c r="K55" s="890">
        <v>16739458</v>
      </c>
      <c r="L55" s="890">
        <v>49080006</v>
      </c>
      <c r="M55" s="890">
        <v>8993399</v>
      </c>
      <c r="N55" s="890">
        <v>15946952</v>
      </c>
      <c r="O55" s="890">
        <v>12460720</v>
      </c>
      <c r="P55" s="889">
        <f>SUM(D55:O55)</f>
        <v>246556253</v>
      </c>
    </row>
    <row r="56" spans="3:16" ht="15.6">
      <c r="C56" s="839"/>
      <c r="D56" s="890"/>
      <c r="E56" s="890"/>
      <c r="F56" s="890"/>
      <c r="G56" s="890"/>
      <c r="H56" s="890"/>
      <c r="I56" s="890"/>
      <c r="J56" s="890"/>
      <c r="K56" s="890"/>
      <c r="L56" s="890"/>
      <c r="M56" s="890"/>
      <c r="N56" s="890"/>
      <c r="O56" s="772"/>
      <c r="P56" s="889"/>
    </row>
    <row r="57" spans="3:16" ht="15.6">
      <c r="C57" s="839" t="s">
        <v>306</v>
      </c>
      <c r="D57" s="890">
        <v>14636627</v>
      </c>
      <c r="E57" s="890">
        <v>6003152</v>
      </c>
      <c r="F57" s="890">
        <v>356190</v>
      </c>
      <c r="G57" s="890">
        <v>4060267</v>
      </c>
      <c r="H57" s="890">
        <v>23256757</v>
      </c>
      <c r="I57" s="890">
        <v>117849870</v>
      </c>
      <c r="J57" s="890">
        <v>31165296</v>
      </c>
      <c r="K57" s="890">
        <v>11141282</v>
      </c>
      <c r="L57" s="890">
        <v>59205964</v>
      </c>
      <c r="M57" s="890">
        <v>16427811</v>
      </c>
      <c r="N57" s="890">
        <v>18411760</v>
      </c>
      <c r="O57" s="890">
        <v>10447924</v>
      </c>
      <c r="P57" s="889">
        <f>SUM(D57:O57)</f>
        <v>312962900</v>
      </c>
    </row>
    <row r="58" spans="3:16" ht="15.6">
      <c r="C58" s="839"/>
      <c r="D58" s="890"/>
      <c r="E58" s="890"/>
      <c r="F58" s="890"/>
      <c r="G58" s="890"/>
      <c r="H58" s="890"/>
      <c r="I58" s="890"/>
      <c r="J58" s="890"/>
      <c r="K58" s="890"/>
      <c r="L58" s="890"/>
      <c r="M58" s="890"/>
      <c r="N58" s="890"/>
      <c r="O58" s="772"/>
      <c r="P58" s="889"/>
    </row>
    <row r="59" spans="3:16" ht="15.6">
      <c r="C59" s="839" t="s">
        <v>307</v>
      </c>
      <c r="D59" s="890">
        <v>16019491</v>
      </c>
      <c r="E59" s="890">
        <v>5968192</v>
      </c>
      <c r="F59" s="890">
        <v>222153</v>
      </c>
      <c r="G59" s="890">
        <v>3603629</v>
      </c>
      <c r="H59" s="890">
        <v>10753051</v>
      </c>
      <c r="I59" s="890">
        <v>115542570</v>
      </c>
      <c r="J59" s="890">
        <v>33653398</v>
      </c>
      <c r="K59" s="890">
        <v>17916698</v>
      </c>
      <c r="L59" s="890">
        <v>52984453</v>
      </c>
      <c r="M59" s="890">
        <v>16640377</v>
      </c>
      <c r="N59" s="890">
        <v>10741934</v>
      </c>
      <c r="O59" s="890">
        <v>10447924</v>
      </c>
      <c r="P59" s="889">
        <f>SUM(D59:O59)</f>
        <v>294493870</v>
      </c>
    </row>
    <row r="60" spans="3:16" ht="15.6">
      <c r="C60" s="839"/>
      <c r="D60" s="890"/>
      <c r="E60" s="890"/>
      <c r="F60" s="890"/>
      <c r="G60" s="890"/>
      <c r="H60" s="890"/>
      <c r="I60" s="890"/>
      <c r="J60" s="890"/>
      <c r="K60" s="890"/>
      <c r="L60" s="890"/>
      <c r="M60" s="890"/>
      <c r="N60" s="890"/>
      <c r="O60" s="772"/>
      <c r="P60" s="889"/>
    </row>
    <row r="61" spans="3:16" ht="15.6">
      <c r="C61" s="839" t="s">
        <v>308</v>
      </c>
      <c r="D61" s="890">
        <v>17746547</v>
      </c>
      <c r="E61" s="890">
        <v>5968192</v>
      </c>
      <c r="F61" s="890">
        <v>222153</v>
      </c>
      <c r="G61" s="890">
        <v>3603629</v>
      </c>
      <c r="H61" s="890">
        <v>10753051</v>
      </c>
      <c r="I61" s="890">
        <v>117543380</v>
      </c>
      <c r="J61" s="890">
        <v>36769205</v>
      </c>
      <c r="K61" s="890">
        <v>17916698</v>
      </c>
      <c r="L61" s="890">
        <v>57500770</v>
      </c>
      <c r="M61" s="890">
        <v>16870197</v>
      </c>
      <c r="N61" s="890">
        <v>11128885</v>
      </c>
      <c r="O61" s="890">
        <v>10447924</v>
      </c>
      <c r="P61" s="889">
        <f>SUM(D61:O61)</f>
        <v>306470631</v>
      </c>
    </row>
    <row r="62" spans="3:16" ht="15.6">
      <c r="C62" s="839"/>
      <c r="D62" s="890"/>
      <c r="E62" s="890"/>
      <c r="F62" s="890"/>
      <c r="G62" s="890"/>
      <c r="H62" s="890"/>
      <c r="I62" s="890"/>
      <c r="J62" s="890"/>
      <c r="K62" s="890"/>
      <c r="L62" s="890"/>
      <c r="M62" s="890"/>
      <c r="N62" s="890"/>
      <c r="O62" s="772"/>
      <c r="P62" s="889"/>
    </row>
    <row r="63" spans="3:16" ht="15.6">
      <c r="C63" s="839" t="s">
        <v>311</v>
      </c>
      <c r="D63" s="890">
        <v>7007457</v>
      </c>
      <c r="E63" s="890">
        <v>4611189</v>
      </c>
      <c r="F63" s="890">
        <v>343832</v>
      </c>
      <c r="G63" s="890">
        <v>4884216</v>
      </c>
      <c r="H63" s="890">
        <v>53435562</v>
      </c>
      <c r="I63" s="890">
        <v>150888639</v>
      </c>
      <c r="J63" s="890">
        <v>35569677</v>
      </c>
      <c r="K63" s="890">
        <v>1736239</v>
      </c>
      <c r="L63" s="890">
        <v>76715545</v>
      </c>
      <c r="M63" s="890">
        <v>12203591</v>
      </c>
      <c r="N63" s="890">
        <v>38576378</v>
      </c>
      <c r="O63" s="890">
        <v>1443916</v>
      </c>
      <c r="P63" s="889">
        <f>SUM(D63:O63)</f>
        <v>387416241</v>
      </c>
    </row>
    <row r="65" spans="3:16">
      <c r="C65" s="787">
        <v>2011</v>
      </c>
      <c r="D65" s="787"/>
      <c r="E65" s="787"/>
      <c r="F65" s="787"/>
      <c r="G65" s="787"/>
      <c r="H65" s="787"/>
      <c r="I65" s="787"/>
      <c r="J65" s="787"/>
      <c r="K65" s="787"/>
      <c r="L65" s="787"/>
      <c r="M65" s="787"/>
      <c r="N65" s="787"/>
      <c r="O65" s="787"/>
      <c r="P65" s="787"/>
    </row>
    <row r="66" spans="3:16">
      <c r="C66" s="788" t="s">
        <v>298</v>
      </c>
      <c r="D66" s="789">
        <v>6976.8</v>
      </c>
      <c r="E66" s="789">
        <v>4611.2</v>
      </c>
      <c r="F66" s="787">
        <v>343.8</v>
      </c>
      <c r="G66" s="789">
        <v>4884.2</v>
      </c>
      <c r="H66" s="789">
        <v>59522.3</v>
      </c>
      <c r="I66" s="789">
        <v>148707.9</v>
      </c>
      <c r="J66" s="789">
        <v>35201.9</v>
      </c>
      <c r="K66" s="789">
        <v>2730.7</v>
      </c>
      <c r="L66" s="789">
        <v>90218.2</v>
      </c>
      <c r="M66" s="789">
        <v>12203.6</v>
      </c>
      <c r="N66" s="789">
        <v>34763.1</v>
      </c>
      <c r="O66" s="789">
        <v>1443.9</v>
      </c>
      <c r="P66" s="789">
        <v>401607.6</v>
      </c>
    </row>
    <row r="67" spans="3:16">
      <c r="C67" s="788" t="s">
        <v>299</v>
      </c>
      <c r="D67" s="789">
        <v>6184</v>
      </c>
      <c r="E67" s="789">
        <v>9127.1</v>
      </c>
      <c r="F67" s="787">
        <v>17.8</v>
      </c>
      <c r="G67" s="789">
        <v>13842.7</v>
      </c>
      <c r="H67" s="789">
        <v>52916</v>
      </c>
      <c r="I67" s="789">
        <v>151689.70000000001</v>
      </c>
      <c r="J67" s="789">
        <v>36845</v>
      </c>
      <c r="K67" s="789">
        <v>13950</v>
      </c>
      <c r="L67" s="789">
        <v>96093.3</v>
      </c>
      <c r="M67" s="787">
        <v>0</v>
      </c>
      <c r="N67" s="789">
        <v>51833.2</v>
      </c>
      <c r="O67" s="789">
        <v>12218.6</v>
      </c>
      <c r="P67" s="789">
        <v>444717.5</v>
      </c>
    </row>
    <row r="68" spans="3:16">
      <c r="C68" s="788" t="s">
        <v>300</v>
      </c>
      <c r="D68" s="789">
        <v>8502.7999999999993</v>
      </c>
      <c r="E68" s="789">
        <v>13036.1</v>
      </c>
      <c r="F68" s="787">
        <v>866</v>
      </c>
      <c r="G68" s="789">
        <v>24058.9</v>
      </c>
      <c r="H68" s="789">
        <v>54301.5</v>
      </c>
      <c r="I68" s="789">
        <v>129602.8</v>
      </c>
      <c r="J68" s="789">
        <v>41714.400000000001</v>
      </c>
      <c r="K68" s="789">
        <v>17516.2</v>
      </c>
      <c r="L68" s="789">
        <v>89401.8</v>
      </c>
      <c r="M68" s="789">
        <v>5528.5</v>
      </c>
      <c r="N68" s="789">
        <v>33683</v>
      </c>
      <c r="O68" s="789">
        <v>16257.4</v>
      </c>
      <c r="P68" s="789">
        <v>434469.3</v>
      </c>
    </row>
    <row r="69" spans="3:16">
      <c r="C69" s="788" t="s">
        <v>301</v>
      </c>
      <c r="D69" s="789">
        <v>8079.5</v>
      </c>
      <c r="E69" s="789">
        <v>13068.7</v>
      </c>
      <c r="F69" s="789">
        <v>1554.6</v>
      </c>
      <c r="G69" s="789">
        <v>14988.9</v>
      </c>
      <c r="H69" s="789">
        <v>48934.1</v>
      </c>
      <c r="I69" s="789">
        <v>150866.9</v>
      </c>
      <c r="J69" s="789">
        <v>41563.699999999997</v>
      </c>
      <c r="K69" s="789">
        <v>17078.8</v>
      </c>
      <c r="L69" s="789">
        <v>92352.8</v>
      </c>
      <c r="M69" s="789">
        <v>8339.7000000000007</v>
      </c>
      <c r="N69" s="789">
        <v>30521.7</v>
      </c>
      <c r="O69" s="789">
        <v>16257.4</v>
      </c>
      <c r="P69" s="789">
        <v>443607</v>
      </c>
    </row>
    <row r="70" spans="3:16">
      <c r="C70" s="788" t="s">
        <v>302</v>
      </c>
      <c r="D70" s="789">
        <v>4325.3999999999996</v>
      </c>
      <c r="E70" s="789">
        <v>12661.5</v>
      </c>
      <c r="F70" s="787">
        <v>304</v>
      </c>
      <c r="G70" s="789">
        <v>4971.3</v>
      </c>
      <c r="H70" s="789">
        <v>58836.1</v>
      </c>
      <c r="I70" s="789">
        <v>138980.5</v>
      </c>
      <c r="J70" s="789">
        <v>47089.1</v>
      </c>
      <c r="K70" s="789">
        <v>96310.3</v>
      </c>
      <c r="L70" s="789">
        <v>88058.7</v>
      </c>
      <c r="M70" s="789">
        <v>10544.6</v>
      </c>
      <c r="N70" s="789">
        <v>46398.1</v>
      </c>
      <c r="O70" s="789">
        <v>95496.1</v>
      </c>
      <c r="P70" s="789">
        <v>603975.80000000005</v>
      </c>
    </row>
    <row r="71" spans="3:16">
      <c r="C71" s="788" t="s">
        <v>303</v>
      </c>
      <c r="D71" s="789">
        <v>5071.7</v>
      </c>
      <c r="E71" s="789">
        <v>13458.8</v>
      </c>
      <c r="F71" s="787">
        <v>524.20000000000005</v>
      </c>
      <c r="G71" s="789">
        <v>5139.1000000000004</v>
      </c>
      <c r="H71" s="789">
        <v>55332.800000000003</v>
      </c>
      <c r="I71" s="789">
        <v>172758.1</v>
      </c>
      <c r="J71" s="789">
        <v>38640.9</v>
      </c>
      <c r="K71" s="789">
        <v>23373.5</v>
      </c>
      <c r="L71" s="789">
        <v>82906.899999999994</v>
      </c>
      <c r="M71" s="789">
        <v>17988.599999999999</v>
      </c>
      <c r="N71" s="789">
        <v>38704.300000000003</v>
      </c>
      <c r="O71" s="789">
        <v>22559.3</v>
      </c>
      <c r="P71" s="789">
        <v>476458.2</v>
      </c>
    </row>
    <row r="72" spans="3:16">
      <c r="C72" s="788" t="s">
        <v>304</v>
      </c>
      <c r="D72" s="789">
        <v>3719.7</v>
      </c>
      <c r="E72" s="789">
        <v>4858.5</v>
      </c>
      <c r="F72" s="789">
        <v>3082.9</v>
      </c>
      <c r="G72" s="789">
        <v>2188.6</v>
      </c>
      <c r="H72" s="789">
        <v>63992.9</v>
      </c>
      <c r="I72" s="789">
        <v>173087.8</v>
      </c>
      <c r="J72" s="789">
        <v>3148.8</v>
      </c>
      <c r="K72" s="789">
        <v>18873.7</v>
      </c>
      <c r="L72" s="789">
        <v>79506.7</v>
      </c>
      <c r="M72" s="789">
        <v>18802.3</v>
      </c>
      <c r="N72" s="789">
        <v>115370.3</v>
      </c>
      <c r="O72" s="789">
        <v>18307.8</v>
      </c>
      <c r="P72" s="789">
        <v>504939.9</v>
      </c>
    </row>
    <row r="73" spans="3:16">
      <c r="C73" s="788" t="s">
        <v>305</v>
      </c>
      <c r="D73" s="789">
        <v>3801</v>
      </c>
      <c r="E73" s="789">
        <v>5423.5</v>
      </c>
      <c r="F73" s="787">
        <v>41.4</v>
      </c>
      <c r="G73" s="789">
        <v>19561.7</v>
      </c>
      <c r="H73" s="789">
        <v>119881.2</v>
      </c>
      <c r="I73" s="789">
        <v>116634.2</v>
      </c>
      <c r="J73" s="789">
        <v>38382.699999999997</v>
      </c>
      <c r="K73" s="789">
        <v>35133.4</v>
      </c>
      <c r="L73" s="789">
        <v>94715.6</v>
      </c>
      <c r="M73" s="789">
        <v>19468.3</v>
      </c>
      <c r="N73" s="789">
        <v>96338</v>
      </c>
      <c r="O73" s="789">
        <v>8680.2999999999993</v>
      </c>
      <c r="P73" s="789">
        <v>558061.19999999995</v>
      </c>
    </row>
    <row r="74" spans="3:16">
      <c r="C74" s="788" t="s">
        <v>306</v>
      </c>
      <c r="D74" s="789">
        <v>3795.8</v>
      </c>
      <c r="E74" s="789">
        <v>5423.5</v>
      </c>
      <c r="F74" s="787">
        <v>41.4</v>
      </c>
      <c r="G74" s="789">
        <v>19561.7</v>
      </c>
      <c r="H74" s="789">
        <v>140260.4</v>
      </c>
      <c r="I74" s="789">
        <v>124157.5</v>
      </c>
      <c r="J74" s="789">
        <v>10452.799999999999</v>
      </c>
      <c r="K74" s="789">
        <v>35171.599999999999</v>
      </c>
      <c r="L74" s="789">
        <v>112541.6</v>
      </c>
      <c r="M74" s="789">
        <v>19468.3</v>
      </c>
      <c r="N74" s="789">
        <v>104043.5</v>
      </c>
      <c r="O74" s="789">
        <v>11366.9</v>
      </c>
      <c r="P74" s="789">
        <v>586285.1</v>
      </c>
    </row>
    <row r="75" spans="3:16">
      <c r="C75" s="788" t="s">
        <v>307</v>
      </c>
      <c r="D75" s="789">
        <v>2276.5</v>
      </c>
      <c r="E75" s="789">
        <v>4190.7</v>
      </c>
      <c r="F75" s="789">
        <v>1734.2</v>
      </c>
      <c r="G75" s="789">
        <v>18554</v>
      </c>
      <c r="H75" s="789">
        <v>146637.29999999999</v>
      </c>
      <c r="I75" s="789">
        <v>130248.1</v>
      </c>
      <c r="J75" s="789">
        <v>9397.6</v>
      </c>
      <c r="K75" s="789">
        <v>18509.900000000001</v>
      </c>
      <c r="L75" s="789">
        <v>107205.6</v>
      </c>
      <c r="M75" s="789">
        <v>30073.200000000001</v>
      </c>
      <c r="N75" s="789">
        <v>113441.7</v>
      </c>
      <c r="O75" s="789">
        <v>13264.6</v>
      </c>
      <c r="P75" s="789">
        <v>595533.30000000005</v>
      </c>
    </row>
    <row r="76" spans="3:16">
      <c r="C76" s="788" t="s">
        <v>308</v>
      </c>
      <c r="D76" s="789">
        <v>2276.5</v>
      </c>
      <c r="E76" s="789">
        <v>4190.7</v>
      </c>
      <c r="F76" s="789">
        <v>1734.2</v>
      </c>
      <c r="G76" s="789">
        <v>22146.2</v>
      </c>
      <c r="H76" s="789">
        <v>142567.70000000001</v>
      </c>
      <c r="I76" s="789">
        <v>127671</v>
      </c>
      <c r="J76" s="789">
        <v>9597.6</v>
      </c>
      <c r="K76" s="789">
        <v>18509.900000000001</v>
      </c>
      <c r="L76" s="789">
        <v>105205.6</v>
      </c>
      <c r="M76" s="789">
        <v>30073.200000000001</v>
      </c>
      <c r="N76" s="789">
        <v>116759.4</v>
      </c>
      <c r="O76" s="789">
        <v>13365.1</v>
      </c>
      <c r="P76" s="789">
        <v>594097.1</v>
      </c>
    </row>
    <row r="77" spans="3:16" ht="15.6" thickBot="1">
      <c r="C77" s="848" t="s">
        <v>311</v>
      </c>
      <c r="D77" s="892">
        <v>2343.1</v>
      </c>
      <c r="E77" s="892">
        <v>4190.7</v>
      </c>
      <c r="F77" s="892">
        <v>1734.2</v>
      </c>
      <c r="G77" s="892">
        <v>22186.9</v>
      </c>
      <c r="H77" s="892">
        <v>135439.4</v>
      </c>
      <c r="I77" s="892">
        <v>127671</v>
      </c>
      <c r="J77" s="892">
        <v>9265.9</v>
      </c>
      <c r="K77" s="892">
        <v>18821.599999999999</v>
      </c>
      <c r="L77" s="892">
        <v>129939.3</v>
      </c>
      <c r="M77" s="892">
        <v>30073.200000000001</v>
      </c>
      <c r="N77" s="892">
        <v>84592.3</v>
      </c>
      <c r="O77" s="892">
        <v>13217.7</v>
      </c>
      <c r="P77" s="892">
        <v>579475.30000000005</v>
      </c>
    </row>
    <row r="78" spans="3:16" ht="15.6" thickTop="1">
      <c r="C78" s="787">
        <v>2012</v>
      </c>
      <c r="D78" s="787"/>
      <c r="E78" s="787"/>
      <c r="F78" s="787"/>
      <c r="G78" s="787"/>
      <c r="H78" s="787"/>
      <c r="I78" s="787"/>
      <c r="J78" s="787"/>
      <c r="K78" s="787"/>
      <c r="L78" s="787"/>
      <c r="M78" s="787"/>
      <c r="N78" s="787"/>
      <c r="O78" s="787"/>
      <c r="P78" s="787"/>
    </row>
    <row r="79" spans="3:16">
      <c r="C79" s="788" t="s">
        <v>298</v>
      </c>
      <c r="D79" s="789">
        <v>11744.1</v>
      </c>
      <c r="E79" s="789">
        <v>8250.4</v>
      </c>
      <c r="F79" s="787">
        <v>7.1</v>
      </c>
      <c r="G79" s="789">
        <v>3238.1</v>
      </c>
      <c r="H79" s="789">
        <v>129742.5</v>
      </c>
      <c r="I79" s="789">
        <v>80306.399999999994</v>
      </c>
      <c r="J79" s="789">
        <v>17664.5</v>
      </c>
      <c r="K79" s="789">
        <v>9146.5</v>
      </c>
      <c r="L79" s="789">
        <v>158059.29999999999</v>
      </c>
      <c r="M79" s="789">
        <v>1650.5</v>
      </c>
      <c r="N79" s="789">
        <v>113108.8</v>
      </c>
      <c r="O79" s="789">
        <v>3038</v>
      </c>
      <c r="P79" s="789">
        <v>535956.30000000005</v>
      </c>
    </row>
    <row r="80" spans="3:16">
      <c r="C80" s="788" t="s">
        <v>299</v>
      </c>
      <c r="D80" s="789">
        <v>14684.8</v>
      </c>
      <c r="E80" s="789">
        <v>5815.5</v>
      </c>
      <c r="F80" s="787">
        <v>6.8</v>
      </c>
      <c r="G80" s="789">
        <v>23523.200000000001</v>
      </c>
      <c r="H80" s="789">
        <v>131181.20000000001</v>
      </c>
      <c r="I80" s="789">
        <v>95143.4</v>
      </c>
      <c r="J80" s="789">
        <v>21911.4</v>
      </c>
      <c r="K80" s="789">
        <v>22184.5</v>
      </c>
      <c r="L80" s="789">
        <v>131968.5</v>
      </c>
      <c r="M80" s="789">
        <v>1350.6</v>
      </c>
      <c r="N80" s="789">
        <v>149680.79999999999</v>
      </c>
      <c r="O80" s="789">
        <v>3038</v>
      </c>
      <c r="P80" s="789">
        <v>600488.69999999995</v>
      </c>
    </row>
    <row r="81" spans="3:16">
      <c r="C81" s="788" t="s">
        <v>1221</v>
      </c>
      <c r="D81" s="787" t="s">
        <v>1222</v>
      </c>
      <c r="E81" s="787" t="s">
        <v>1223</v>
      </c>
      <c r="F81" s="787" t="s">
        <v>1224</v>
      </c>
      <c r="G81" s="787" t="s">
        <v>1225</v>
      </c>
      <c r="H81" s="787" t="s">
        <v>1226</v>
      </c>
      <c r="I81" s="787" t="s">
        <v>1227</v>
      </c>
      <c r="J81" s="787" t="s">
        <v>1228</v>
      </c>
      <c r="K81" s="787" t="s">
        <v>1229</v>
      </c>
      <c r="L81" s="787" t="s">
        <v>1230</v>
      </c>
      <c r="M81" s="787" t="s">
        <v>1231</v>
      </c>
      <c r="N81" s="787" t="s">
        <v>1232</v>
      </c>
      <c r="O81" s="789">
        <v>28564.2</v>
      </c>
      <c r="P81" s="787" t="s">
        <v>1233</v>
      </c>
    </row>
    <row r="82" spans="3:16">
      <c r="C82" s="788" t="s">
        <v>301</v>
      </c>
      <c r="D82" s="789">
        <v>24233.200000000001</v>
      </c>
      <c r="E82" s="789">
        <v>8046.5</v>
      </c>
      <c r="F82" s="789">
        <v>1868.8</v>
      </c>
      <c r="G82" s="789">
        <v>27036.400000000001</v>
      </c>
      <c r="H82" s="789">
        <v>121160.1</v>
      </c>
      <c r="I82" s="789">
        <v>109064.2</v>
      </c>
      <c r="J82" s="789">
        <v>36456.300000000003</v>
      </c>
      <c r="K82" s="789">
        <v>30240.9</v>
      </c>
      <c r="L82" s="789">
        <v>151505.20000000001</v>
      </c>
      <c r="M82" s="789">
        <v>4892.5</v>
      </c>
      <c r="N82" s="789">
        <v>75547.7</v>
      </c>
      <c r="O82" s="789">
        <v>29200.400000000001</v>
      </c>
      <c r="P82" s="789">
        <v>619252.1</v>
      </c>
    </row>
    <row r="83" spans="3:16">
      <c r="C83" s="788" t="s">
        <v>302</v>
      </c>
      <c r="D83" s="789">
        <v>10329.700000000001</v>
      </c>
      <c r="E83" s="789">
        <v>6452.6</v>
      </c>
      <c r="F83" s="789">
        <v>1765</v>
      </c>
      <c r="G83" s="789">
        <v>12678.2</v>
      </c>
      <c r="H83" s="789">
        <v>115998.5</v>
      </c>
      <c r="I83" s="789">
        <v>103213.2</v>
      </c>
      <c r="J83" s="789">
        <v>35266.699999999997</v>
      </c>
      <c r="K83" s="789">
        <v>25989.8</v>
      </c>
      <c r="L83" s="789">
        <v>183915.3</v>
      </c>
      <c r="M83" s="789">
        <v>6141.2</v>
      </c>
      <c r="N83" s="789">
        <v>63313.3</v>
      </c>
      <c r="O83" s="789">
        <v>39110.5</v>
      </c>
      <c r="P83" s="789">
        <v>604173.9</v>
      </c>
    </row>
    <row r="84" spans="3:16">
      <c r="C84" s="788" t="s">
        <v>303</v>
      </c>
      <c r="D84" s="789">
        <v>10271.799999999999</v>
      </c>
      <c r="E84" s="789">
        <v>7330</v>
      </c>
      <c r="F84" s="789">
        <v>1698.4</v>
      </c>
      <c r="G84" s="789">
        <v>9186.1</v>
      </c>
      <c r="H84" s="789">
        <v>134312</v>
      </c>
      <c r="I84" s="789">
        <v>129103.5</v>
      </c>
      <c r="J84" s="789">
        <v>26823</v>
      </c>
      <c r="K84" s="789">
        <v>22693.9</v>
      </c>
      <c r="L84" s="789">
        <v>173514.3</v>
      </c>
      <c r="M84" s="789">
        <v>4286.6000000000004</v>
      </c>
      <c r="N84" s="789">
        <v>62007.9</v>
      </c>
      <c r="O84" s="789">
        <v>30818.9</v>
      </c>
      <c r="P84" s="789">
        <v>612046.30000000005</v>
      </c>
    </row>
    <row r="85" spans="3:16">
      <c r="C85" s="788" t="s">
        <v>304</v>
      </c>
      <c r="D85" s="789">
        <v>4473.8999999999996</v>
      </c>
      <c r="E85" s="789">
        <v>5298.2</v>
      </c>
      <c r="F85" s="787">
        <v>270.10000000000002</v>
      </c>
      <c r="G85" s="789">
        <v>27217.9</v>
      </c>
      <c r="H85" s="789">
        <v>132809.79999999999</v>
      </c>
      <c r="I85" s="789">
        <v>98744.9</v>
      </c>
      <c r="J85" s="789">
        <v>30365.9</v>
      </c>
      <c r="K85" s="789">
        <v>21415.7</v>
      </c>
      <c r="L85" s="789">
        <v>217331.4</v>
      </c>
      <c r="M85" s="789">
        <v>2077.4</v>
      </c>
      <c r="N85" s="789">
        <v>57143</v>
      </c>
      <c r="O85" s="789">
        <v>33601.699999999997</v>
      </c>
      <c r="P85" s="789">
        <v>630749.9</v>
      </c>
    </row>
    <row r="86" spans="3:16">
      <c r="C86" s="788" t="s">
        <v>305</v>
      </c>
      <c r="D86" s="789">
        <v>6744.1</v>
      </c>
      <c r="E86" s="789">
        <v>6765.6</v>
      </c>
      <c r="F86" s="787">
        <v>288.60000000000002</v>
      </c>
      <c r="G86" s="789">
        <v>26394.2</v>
      </c>
      <c r="H86" s="789">
        <v>123569.3</v>
      </c>
      <c r="I86" s="789">
        <v>83662.100000000006</v>
      </c>
      <c r="J86" s="789">
        <v>33578.1</v>
      </c>
      <c r="K86" s="789">
        <v>18015.7</v>
      </c>
      <c r="L86" s="789">
        <v>222325.8</v>
      </c>
      <c r="M86" s="789">
        <v>2979.2</v>
      </c>
      <c r="N86" s="789">
        <v>92733.9</v>
      </c>
      <c r="O86" s="789">
        <v>33058.9</v>
      </c>
      <c r="P86" s="789">
        <v>650115.6</v>
      </c>
    </row>
    <row r="87" spans="3:16">
      <c r="C87" s="788" t="s">
        <v>306</v>
      </c>
      <c r="D87" s="789">
        <v>16997.7</v>
      </c>
      <c r="E87" s="789">
        <v>8628.2000000000007</v>
      </c>
      <c r="F87" s="787">
        <v>300.8</v>
      </c>
      <c r="G87" s="789">
        <v>27315.7</v>
      </c>
      <c r="H87" s="789">
        <v>124411.1</v>
      </c>
      <c r="I87" s="789">
        <v>85232.7</v>
      </c>
      <c r="J87" s="789">
        <v>50279.5</v>
      </c>
      <c r="K87" s="789">
        <v>27896.5</v>
      </c>
      <c r="L87" s="789">
        <v>208113.3</v>
      </c>
      <c r="M87" s="789">
        <v>2000.9</v>
      </c>
      <c r="N87" s="789">
        <v>85429.2</v>
      </c>
      <c r="O87" s="789">
        <v>34840.800000000003</v>
      </c>
      <c r="P87" s="789">
        <v>671446.4</v>
      </c>
    </row>
    <row r="88" spans="3:16">
      <c r="C88" s="788" t="s">
        <v>307</v>
      </c>
      <c r="D88" s="789">
        <v>4473.8999999999996</v>
      </c>
      <c r="E88" s="789">
        <v>5298.2</v>
      </c>
      <c r="F88" s="787">
        <v>270.10000000000002</v>
      </c>
      <c r="G88" s="789">
        <v>3119.1</v>
      </c>
      <c r="H88" s="789">
        <v>124342.3</v>
      </c>
      <c r="I88" s="789">
        <v>115774.8</v>
      </c>
      <c r="J88" s="789">
        <v>30524.5</v>
      </c>
      <c r="K88" s="789">
        <v>21415.7</v>
      </c>
      <c r="L88" s="789">
        <v>191204.2</v>
      </c>
      <c r="M88" s="789">
        <v>2077.4</v>
      </c>
      <c r="N88" s="789">
        <v>153329.1</v>
      </c>
      <c r="O88" s="789">
        <v>32049.8</v>
      </c>
      <c r="P88" s="789">
        <v>683879</v>
      </c>
    </row>
    <row r="89" spans="3:16">
      <c r="C89" s="788" t="s">
        <v>308</v>
      </c>
      <c r="D89" s="789">
        <v>12872.8</v>
      </c>
      <c r="E89" s="789">
        <v>10868</v>
      </c>
      <c r="F89" s="789">
        <v>13414.5</v>
      </c>
      <c r="G89" s="789">
        <v>1649.6</v>
      </c>
      <c r="H89" s="789">
        <v>174107.7</v>
      </c>
      <c r="I89" s="789">
        <v>60405.7</v>
      </c>
      <c r="J89" s="789">
        <v>18484.7</v>
      </c>
      <c r="K89" s="789">
        <v>35828.300000000003</v>
      </c>
      <c r="L89" s="789">
        <v>188441.9</v>
      </c>
      <c r="M89" s="789">
        <v>4251.7</v>
      </c>
      <c r="N89" s="789">
        <v>203879.7</v>
      </c>
      <c r="O89" s="789">
        <v>27745</v>
      </c>
      <c r="P89" s="789">
        <v>751949.6</v>
      </c>
    </row>
    <row r="90" spans="3:16">
      <c r="C90" s="788" t="s">
        <v>311</v>
      </c>
      <c r="D90" s="789">
        <v>12164.3</v>
      </c>
      <c r="E90" s="789">
        <v>5900.3</v>
      </c>
      <c r="F90" s="789">
        <v>14197.9</v>
      </c>
      <c r="G90" s="789">
        <v>3080.8</v>
      </c>
      <c r="H90" s="789">
        <v>173009.4</v>
      </c>
      <c r="I90" s="789">
        <v>60501.2</v>
      </c>
      <c r="J90" s="789">
        <v>17631.400000000001</v>
      </c>
      <c r="K90" s="789">
        <v>137537.4</v>
      </c>
      <c r="L90" s="789">
        <v>198977.5</v>
      </c>
      <c r="M90" s="789">
        <v>2664.8</v>
      </c>
      <c r="N90" s="789">
        <v>79504.3</v>
      </c>
      <c r="O90" s="789">
        <v>32534.7</v>
      </c>
      <c r="P90" s="789">
        <v>737703.9</v>
      </c>
    </row>
    <row r="91" spans="3:16">
      <c r="C91" s="788"/>
      <c r="D91" s="789"/>
      <c r="E91" s="789"/>
      <c r="F91" s="789"/>
      <c r="G91" s="789"/>
      <c r="H91" s="789"/>
      <c r="I91" s="789"/>
      <c r="J91" s="789"/>
      <c r="K91" s="789"/>
      <c r="L91" s="789"/>
      <c r="M91" s="789"/>
      <c r="N91" s="789"/>
      <c r="O91" s="789"/>
      <c r="P91" s="789"/>
    </row>
    <row r="92" spans="3:16">
      <c r="C92" s="787">
        <v>2013</v>
      </c>
      <c r="D92" s="789"/>
      <c r="E92" s="789"/>
      <c r="F92" s="789"/>
      <c r="G92" s="789"/>
      <c r="H92" s="789"/>
      <c r="I92" s="789"/>
      <c r="J92" s="789"/>
      <c r="K92" s="789"/>
      <c r="L92" s="789"/>
      <c r="M92" s="789"/>
      <c r="N92" s="789"/>
      <c r="O92" s="789"/>
      <c r="P92" s="789"/>
    </row>
    <row r="93" spans="3:16">
      <c r="C93" s="788" t="s">
        <v>298</v>
      </c>
      <c r="D93" s="789">
        <v>11723.17</v>
      </c>
      <c r="E93" s="789">
        <v>6580.98</v>
      </c>
      <c r="F93" s="789">
        <v>10920.989</v>
      </c>
      <c r="G93" s="789">
        <v>751.4</v>
      </c>
      <c r="H93" s="789">
        <v>180889.60000000001</v>
      </c>
      <c r="I93" s="789">
        <v>64042.79</v>
      </c>
      <c r="J93" s="789">
        <v>16845.32</v>
      </c>
      <c r="K93" s="789">
        <v>28513.24</v>
      </c>
      <c r="L93" s="789">
        <v>215563.39</v>
      </c>
      <c r="M93" s="789">
        <v>2547.7399999999998</v>
      </c>
      <c r="N93" s="789">
        <v>113832.14</v>
      </c>
      <c r="O93" s="789">
        <v>34578.44</v>
      </c>
      <c r="P93" s="789">
        <f>SUM(D93:O93)</f>
        <v>686789.19900000002</v>
      </c>
    </row>
    <row r="94" spans="3:16" ht="15.6" thickBot="1">
      <c r="C94" s="788" t="s">
        <v>299</v>
      </c>
      <c r="D94" s="892">
        <v>10020.1</v>
      </c>
      <c r="E94" s="892">
        <v>7034.4</v>
      </c>
      <c r="F94" s="892">
        <v>11383.1</v>
      </c>
      <c r="G94" s="892">
        <v>1419.4</v>
      </c>
      <c r="H94" s="892">
        <v>196108.5</v>
      </c>
      <c r="I94" s="892">
        <v>51751.6</v>
      </c>
      <c r="J94" s="892">
        <v>16973.099999999999</v>
      </c>
      <c r="K94" s="892">
        <v>28365.1</v>
      </c>
      <c r="L94" s="892">
        <v>187610.2</v>
      </c>
      <c r="M94" s="892">
        <v>6432.7</v>
      </c>
      <c r="N94" s="892">
        <v>70211.600000000006</v>
      </c>
      <c r="O94" s="892">
        <v>34798.800000000003</v>
      </c>
      <c r="P94" s="892">
        <v>622108.30000000005</v>
      </c>
    </row>
    <row r="95" spans="3:16" ht="15.6" thickTop="1">
      <c r="C95" s="788" t="s">
        <v>1221</v>
      </c>
      <c r="D95" s="797">
        <v>58914.7</v>
      </c>
      <c r="E95" s="797">
        <v>8588.1200000000008</v>
      </c>
      <c r="F95" s="797">
        <v>7605.76</v>
      </c>
      <c r="G95" s="797">
        <v>1590.67</v>
      </c>
      <c r="H95" s="797">
        <v>142308.68</v>
      </c>
      <c r="I95" s="797">
        <v>90728.25</v>
      </c>
      <c r="J95" s="797">
        <v>28015.03</v>
      </c>
      <c r="K95" s="797">
        <v>25273.9</v>
      </c>
      <c r="L95" s="797">
        <v>185705.5</v>
      </c>
      <c r="M95" s="797">
        <v>1965</v>
      </c>
      <c r="N95" s="797">
        <v>164230.76999999999</v>
      </c>
      <c r="O95" s="797">
        <v>29295.16</v>
      </c>
      <c r="P95" s="797">
        <f>SUM(D95:O95)</f>
        <v>744221.54</v>
      </c>
    </row>
    <row r="96" spans="3:16">
      <c r="C96" s="788" t="s">
        <v>301</v>
      </c>
      <c r="D96" s="797">
        <v>31659.040000000001</v>
      </c>
      <c r="E96" s="797">
        <v>5702.72</v>
      </c>
      <c r="F96" s="797">
        <v>18835.72</v>
      </c>
      <c r="G96" s="797">
        <v>1538.05</v>
      </c>
      <c r="H96" s="797">
        <v>177040.53</v>
      </c>
      <c r="I96" s="797">
        <v>97838.14</v>
      </c>
      <c r="J96" s="797">
        <v>22611.759999999998</v>
      </c>
      <c r="K96" s="797">
        <v>28606.17</v>
      </c>
      <c r="L96" s="797">
        <v>187727.65</v>
      </c>
      <c r="M96" s="797">
        <v>3883.46</v>
      </c>
      <c r="N96" s="797">
        <v>139589.74</v>
      </c>
      <c r="O96" s="797">
        <v>31245.5</v>
      </c>
      <c r="P96" s="797">
        <v>746278.47</v>
      </c>
    </row>
    <row r="97" spans="3:16">
      <c r="C97" s="788" t="s">
        <v>302</v>
      </c>
      <c r="D97" s="797">
        <v>17827.546999999999</v>
      </c>
      <c r="E97" s="797">
        <v>5756.6080000000002</v>
      </c>
      <c r="F97" s="797">
        <v>18786.167000000001</v>
      </c>
      <c r="G97" s="797">
        <v>1258.9380000000001</v>
      </c>
      <c r="H97" s="797">
        <v>187857.89600000001</v>
      </c>
      <c r="I97" s="797">
        <v>99688.508000000002</v>
      </c>
      <c r="J97" s="797">
        <v>19315.644</v>
      </c>
      <c r="K97" s="797">
        <v>44794.209000000003</v>
      </c>
      <c r="L97" s="797">
        <v>197568.75200000001</v>
      </c>
      <c r="M97" s="797">
        <v>3436.3420000000001</v>
      </c>
      <c r="N97" s="797">
        <v>132325.519</v>
      </c>
      <c r="O97" s="797">
        <v>31463.114000000001</v>
      </c>
      <c r="P97" s="797">
        <f>SUM(D97:O97)</f>
        <v>760079.24399999995</v>
      </c>
    </row>
    <row r="98" spans="3:16">
      <c r="C98" s="788" t="s">
        <v>303</v>
      </c>
      <c r="D98" s="797">
        <v>4255.25227</v>
      </c>
      <c r="E98" s="797">
        <v>6236.6315100000011</v>
      </c>
      <c r="F98" s="797">
        <v>10753.667539999999</v>
      </c>
      <c r="G98" s="797">
        <v>1131.2091600000001</v>
      </c>
      <c r="H98" s="797">
        <v>156052.57739683133</v>
      </c>
      <c r="I98" s="797">
        <v>105612.99197</v>
      </c>
      <c r="J98" s="797">
        <v>18935.792719629193</v>
      </c>
      <c r="K98" s="797">
        <v>59790.69496999999</v>
      </c>
      <c r="L98" s="797">
        <v>184390.89959711017</v>
      </c>
      <c r="M98" s="797">
        <v>3652.3355699999997</v>
      </c>
      <c r="N98" s="797">
        <v>107354.64136330098</v>
      </c>
      <c r="O98" s="797">
        <v>30017.059770000011</v>
      </c>
      <c r="P98" s="797">
        <f>SUM(D98:O98)</f>
        <v>688183.75383687171</v>
      </c>
    </row>
    <row r="99" spans="3:16">
      <c r="C99" s="788" t="s">
        <v>304</v>
      </c>
      <c r="D99" s="797">
        <v>6597.9205960303416</v>
      </c>
      <c r="E99" s="797">
        <v>9544.8880096398025</v>
      </c>
      <c r="F99" s="797">
        <v>22034.874601904874</v>
      </c>
      <c r="G99" s="797">
        <v>17579.5904422126</v>
      </c>
      <c r="H99" s="797">
        <v>155178.31555305599</v>
      </c>
      <c r="I99" s="797">
        <v>101057.70819464079</v>
      </c>
      <c r="J99" s="797">
        <v>5786.532416978408</v>
      </c>
      <c r="K99" s="797">
        <v>25167.05659209935</v>
      </c>
      <c r="L99" s="797">
        <v>139687.96713623483</v>
      </c>
      <c r="M99" s="797">
        <v>2369.4046963255564</v>
      </c>
      <c r="N99" s="797">
        <v>102677.37396075082</v>
      </c>
      <c r="O99" s="797">
        <v>25029.729567914197</v>
      </c>
      <c r="P99" s="797">
        <f>SUM(D99:O99)</f>
        <v>612711.3617677876</v>
      </c>
    </row>
    <row r="100" spans="3:16">
      <c r="C100" s="788" t="s">
        <v>305</v>
      </c>
      <c r="D100" s="797"/>
      <c r="E100" s="797"/>
      <c r="F100" s="797"/>
      <c r="G100" s="797"/>
      <c r="H100" s="797"/>
      <c r="I100" s="797"/>
      <c r="J100" s="797"/>
      <c r="K100" s="797"/>
      <c r="L100" s="797"/>
      <c r="M100" s="797"/>
      <c r="N100" s="797"/>
      <c r="O100" s="797"/>
      <c r="P100" s="797"/>
    </row>
    <row r="101" spans="3:16">
      <c r="C101" s="788" t="s">
        <v>306</v>
      </c>
      <c r="D101" s="797">
        <v>40766.929500000006</v>
      </c>
      <c r="E101" s="797">
        <v>9757.1718199999996</v>
      </c>
      <c r="F101" s="797">
        <v>17595.373889999999</v>
      </c>
      <c r="G101" s="797">
        <v>10209.554850000002</v>
      </c>
      <c r="H101" s="797">
        <v>157646.11415039797</v>
      </c>
      <c r="I101" s="797">
        <v>87504.170020000005</v>
      </c>
      <c r="J101" s="797">
        <v>20864.473181587851</v>
      </c>
      <c r="K101" s="797">
        <v>12486.313299999994</v>
      </c>
      <c r="L101" s="797">
        <v>173696.60504205219</v>
      </c>
      <c r="M101" s="797">
        <v>1527.2162700000001</v>
      </c>
      <c r="N101" s="797">
        <v>125919.43534374157</v>
      </c>
      <c r="O101" s="797">
        <v>29482.663149809432</v>
      </c>
      <c r="P101" s="797">
        <f>SUM(D101:O101)</f>
        <v>687456.02051758906</v>
      </c>
    </row>
    <row r="102" spans="3:16" ht="15.6" thickBot="1">
      <c r="C102" s="893"/>
      <c r="D102" s="893"/>
      <c r="E102" s="893"/>
      <c r="F102" s="893"/>
      <c r="G102" s="893"/>
      <c r="H102" s="893"/>
      <c r="I102" s="893"/>
      <c r="J102" s="893"/>
      <c r="K102" s="893"/>
      <c r="L102" s="893"/>
      <c r="M102" s="893"/>
      <c r="N102" s="893"/>
      <c r="O102" s="893"/>
      <c r="P102" s="893"/>
    </row>
    <row r="103" spans="3:16" ht="15.6" thickTop="1"/>
    <row r="106" spans="3:16">
      <c r="P106" s="874">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2" customWidth="1"/>
    <col min="2" max="4" width="20.453125" style="167" customWidth="1"/>
    <col min="5" max="5" width="18.1796875" style="167" customWidth="1"/>
    <col min="6" max="6" width="16.08984375" style="167" customWidth="1"/>
    <col min="7" max="7" width="12.81640625" style="167" customWidth="1"/>
    <col min="8" max="8" width="13.453125" style="167" customWidth="1"/>
    <col min="9" max="9" width="12.1796875" style="167" customWidth="1"/>
    <col min="10" max="10" width="16.453125" style="167" bestFit="1" customWidth="1"/>
    <col min="11" max="11" width="9.6328125" style="168" customWidth="1"/>
    <col min="12" max="16384" width="9.81640625" style="168"/>
  </cols>
  <sheetData>
    <row r="1" spans="1:10" ht="21" hidden="1" customHeight="1">
      <c r="A1" s="166" t="s">
        <v>317</v>
      </c>
      <c r="B1" s="166"/>
      <c r="C1" s="166"/>
      <c r="D1" s="166"/>
      <c r="E1" s="166"/>
      <c r="F1" s="166"/>
      <c r="G1" s="166"/>
      <c r="J1" s="168"/>
    </row>
    <row r="2" spans="1:10" ht="13.2" hidden="1" customHeight="1">
      <c r="A2" s="169"/>
      <c r="B2" s="170"/>
      <c r="C2" s="170"/>
      <c r="D2" s="170"/>
      <c r="E2" s="170"/>
      <c r="G2" s="171"/>
      <c r="J2" s="168"/>
    </row>
    <row r="3" spans="1:10" ht="10.5" hidden="1" customHeight="1" thickBot="1">
      <c r="A3" s="172"/>
      <c r="B3" s="173"/>
      <c r="C3" s="173"/>
      <c r="D3" s="173"/>
      <c r="E3" s="171"/>
      <c r="F3" s="173"/>
      <c r="J3" s="168"/>
    </row>
    <row r="4" spans="1:10" ht="9.6" hidden="1" customHeight="1" thickTop="1">
      <c r="A4" s="174"/>
      <c r="B4" s="175"/>
      <c r="C4" s="176"/>
      <c r="D4" s="177"/>
      <c r="E4" s="177"/>
      <c r="F4" s="177"/>
      <c r="G4" s="176"/>
      <c r="J4" s="168"/>
    </row>
    <row r="5" spans="1:10" ht="16.5" hidden="1" customHeight="1">
      <c r="A5" s="178"/>
      <c r="B5" s="179"/>
      <c r="C5" s="180"/>
      <c r="D5" s="181"/>
      <c r="E5" s="166"/>
      <c r="F5" s="166"/>
      <c r="G5" s="180"/>
      <c r="J5" s="168"/>
    </row>
    <row r="6" spans="1:10" ht="16.95" hidden="1" customHeight="1" thickBot="1">
      <c r="A6" s="178"/>
      <c r="B6" s="179"/>
      <c r="C6" s="180"/>
      <c r="D6" s="181"/>
      <c r="E6" s="166"/>
      <c r="F6" s="166"/>
      <c r="G6" s="180"/>
      <c r="J6" s="168"/>
    </row>
    <row r="7" spans="1:10" ht="9" hidden="1" customHeight="1" thickTop="1">
      <c r="A7" s="182"/>
      <c r="B7" s="183"/>
      <c r="C7" s="184"/>
      <c r="D7" s="185"/>
      <c r="E7" s="185"/>
      <c r="F7" s="185"/>
      <c r="G7" s="186"/>
      <c r="J7" s="168"/>
    </row>
    <row r="8" spans="1:10" ht="15" hidden="1" customHeight="1">
      <c r="A8" s="187"/>
      <c r="B8" s="179"/>
      <c r="C8" s="188" t="s">
        <v>413</v>
      </c>
      <c r="D8" s="166" t="s">
        <v>414</v>
      </c>
      <c r="E8" s="166"/>
      <c r="F8" s="166"/>
      <c r="G8" s="180"/>
      <c r="J8" s="168"/>
    </row>
    <row r="9" spans="1:10" ht="17.25" hidden="1" customHeight="1" thickBot="1">
      <c r="A9" s="189" t="s">
        <v>263</v>
      </c>
      <c r="B9" s="190" t="s">
        <v>415</v>
      </c>
      <c r="C9" s="188" t="s">
        <v>416</v>
      </c>
      <c r="D9" s="166"/>
      <c r="E9" s="166"/>
      <c r="F9" s="166"/>
      <c r="G9" s="180"/>
      <c r="J9" s="168"/>
    </row>
    <row r="10" spans="1:10" ht="16.5" hidden="1" customHeight="1" thickTop="1">
      <c r="A10" s="187"/>
      <c r="B10" s="190" t="s">
        <v>417</v>
      </c>
      <c r="C10" s="188" t="s">
        <v>418</v>
      </c>
      <c r="D10" s="177"/>
      <c r="E10" s="175"/>
      <c r="F10" s="175"/>
      <c r="G10" s="191"/>
      <c r="J10" s="168"/>
    </row>
    <row r="11" spans="1:10" ht="14.25" hidden="1" customHeight="1">
      <c r="A11" s="187"/>
      <c r="B11" s="179"/>
      <c r="C11" s="188" t="s">
        <v>419</v>
      </c>
      <c r="D11" s="181" t="s">
        <v>413</v>
      </c>
      <c r="E11" s="190" t="s">
        <v>420</v>
      </c>
      <c r="F11" s="190" t="s">
        <v>421</v>
      </c>
      <c r="G11" s="188" t="s">
        <v>422</v>
      </c>
      <c r="J11" s="168"/>
    </row>
    <row r="12" spans="1:10" ht="16.5" hidden="1" customHeight="1" thickBot="1">
      <c r="A12" s="192"/>
      <c r="B12" s="193"/>
      <c r="C12" s="194"/>
      <c r="D12" s="195"/>
      <c r="E12" s="196"/>
      <c r="F12" s="196"/>
      <c r="G12" s="194"/>
      <c r="J12" s="168"/>
    </row>
    <row r="13" spans="1:10" ht="17.25" hidden="1" customHeight="1" thickTop="1">
      <c r="A13" s="197"/>
      <c r="B13" s="183"/>
      <c r="C13" s="184"/>
      <c r="D13" s="185"/>
      <c r="E13" s="183"/>
      <c r="F13" s="183"/>
      <c r="G13" s="184"/>
      <c r="J13" s="168"/>
    </row>
    <row r="14" spans="1:10" ht="13.2" hidden="1" customHeight="1">
      <c r="A14" s="187" t="s">
        <v>423</v>
      </c>
      <c r="B14" s="190" t="s">
        <v>424</v>
      </c>
      <c r="C14" s="188" t="s">
        <v>425</v>
      </c>
      <c r="D14" s="181" t="s">
        <v>429</v>
      </c>
      <c r="E14" s="190" t="s">
        <v>430</v>
      </c>
      <c r="F14" s="190" t="s">
        <v>431</v>
      </c>
      <c r="G14" s="188" t="s">
        <v>432</v>
      </c>
      <c r="J14" s="168"/>
    </row>
    <row r="15" spans="1:10" ht="13.2" hidden="1" customHeight="1">
      <c r="A15" s="198"/>
      <c r="B15" s="190"/>
      <c r="C15" s="188"/>
      <c r="D15" s="181"/>
      <c r="E15" s="190"/>
      <c r="F15" s="190"/>
      <c r="G15" s="188"/>
      <c r="J15" s="168"/>
    </row>
    <row r="16" spans="1:10" ht="13.2" hidden="1" customHeight="1">
      <c r="A16" s="189">
        <v>2000</v>
      </c>
      <c r="B16" s="190"/>
      <c r="C16" s="188"/>
      <c r="D16" s="181"/>
      <c r="E16" s="190"/>
      <c r="F16" s="190"/>
      <c r="G16" s="188"/>
      <c r="J16" s="168"/>
    </row>
    <row r="17" spans="1:10" ht="13.2" hidden="1" customHeight="1">
      <c r="A17" s="189"/>
      <c r="B17" s="190"/>
      <c r="C17" s="188"/>
      <c r="D17" s="181"/>
      <c r="E17" s="190"/>
      <c r="F17" s="190"/>
      <c r="G17" s="188"/>
      <c r="J17" s="168"/>
    </row>
    <row r="18" spans="1:10" ht="13.2" hidden="1" customHeight="1">
      <c r="A18" s="199" t="s">
        <v>298</v>
      </c>
      <c r="B18" s="190" t="s">
        <v>433</v>
      </c>
      <c r="C18" s="188" t="s">
        <v>425</v>
      </c>
      <c r="D18" s="181" t="s">
        <v>429</v>
      </c>
      <c r="E18" s="190" t="s">
        <v>430</v>
      </c>
      <c r="F18" s="190" t="s">
        <v>431</v>
      </c>
      <c r="G18" s="188" t="s">
        <v>432</v>
      </c>
      <c r="J18" s="168"/>
    </row>
    <row r="19" spans="1:10" ht="13.2" hidden="1" customHeight="1">
      <c r="A19" s="199" t="s">
        <v>299</v>
      </c>
      <c r="B19" s="190" t="s">
        <v>444</v>
      </c>
      <c r="C19" s="188" t="s">
        <v>445</v>
      </c>
      <c r="D19" s="181" t="s">
        <v>446</v>
      </c>
      <c r="E19" s="190" t="s">
        <v>447</v>
      </c>
      <c r="F19" s="190" t="s">
        <v>448</v>
      </c>
      <c r="G19" s="188" t="s">
        <v>449</v>
      </c>
      <c r="J19" s="168"/>
    </row>
    <row r="20" spans="1:10" ht="13.2" hidden="1" customHeight="1">
      <c r="A20" s="187" t="s">
        <v>300</v>
      </c>
      <c r="B20" s="190" t="s">
        <v>451</v>
      </c>
      <c r="C20" s="188" t="s">
        <v>458</v>
      </c>
      <c r="D20" s="181" t="s">
        <v>431</v>
      </c>
      <c r="E20" s="190" t="s">
        <v>447</v>
      </c>
      <c r="F20" s="190" t="s">
        <v>459</v>
      </c>
      <c r="G20" s="188" t="s">
        <v>460</v>
      </c>
      <c r="J20" s="168"/>
    </row>
    <row r="21" spans="1:10" ht="13.2" hidden="1" customHeight="1">
      <c r="A21" s="187" t="s">
        <v>301</v>
      </c>
      <c r="B21" s="190" t="s">
        <v>461</v>
      </c>
      <c r="C21" s="188" t="s">
        <v>462</v>
      </c>
      <c r="D21" s="181" t="s">
        <v>463</v>
      </c>
      <c r="E21" s="190" t="s">
        <v>431</v>
      </c>
      <c r="F21" s="190" t="s">
        <v>459</v>
      </c>
      <c r="G21" s="188" t="s">
        <v>460</v>
      </c>
      <c r="J21" s="168"/>
    </row>
    <row r="22" spans="1:10" ht="13.2" hidden="1" customHeight="1">
      <c r="A22" s="187" t="s">
        <v>302</v>
      </c>
      <c r="B22" s="190" t="s">
        <v>464</v>
      </c>
      <c r="C22" s="188" t="s">
        <v>465</v>
      </c>
      <c r="D22" s="181" t="s">
        <v>466</v>
      </c>
      <c r="E22" s="190" t="s">
        <v>431</v>
      </c>
      <c r="F22" s="190" t="s">
        <v>467</v>
      </c>
      <c r="G22" s="188" t="s">
        <v>468</v>
      </c>
      <c r="J22" s="168"/>
    </row>
    <row r="23" spans="1:10" ht="13.2" hidden="1" customHeight="1">
      <c r="A23" s="187" t="s">
        <v>303</v>
      </c>
      <c r="B23" s="190" t="s">
        <v>469</v>
      </c>
      <c r="C23" s="188" t="s">
        <v>473</v>
      </c>
      <c r="D23" s="181" t="s">
        <v>466</v>
      </c>
      <c r="E23" s="190" t="s">
        <v>474</v>
      </c>
      <c r="F23" s="190" t="s">
        <v>475</v>
      </c>
      <c r="G23" s="188" t="s">
        <v>476</v>
      </c>
      <c r="J23" s="168"/>
    </row>
    <row r="24" spans="1:10" ht="13.2" hidden="1" customHeight="1">
      <c r="A24" s="187" t="s">
        <v>304</v>
      </c>
      <c r="B24" s="190" t="s">
        <v>477</v>
      </c>
      <c r="C24" s="188" t="s">
        <v>478</v>
      </c>
      <c r="D24" s="181" t="s">
        <v>431</v>
      </c>
      <c r="E24" s="190" t="s">
        <v>431</v>
      </c>
      <c r="F24" s="190" t="s">
        <v>475</v>
      </c>
      <c r="G24" s="188" t="s">
        <v>476</v>
      </c>
      <c r="J24" s="168"/>
    </row>
    <row r="25" spans="1:10" ht="13.2" hidden="1" customHeight="1">
      <c r="A25" s="187" t="s">
        <v>305</v>
      </c>
      <c r="B25" s="190" t="s">
        <v>464</v>
      </c>
      <c r="C25" s="188" t="s">
        <v>479</v>
      </c>
      <c r="D25" s="181" t="s">
        <v>480</v>
      </c>
      <c r="E25" s="190" t="s">
        <v>481</v>
      </c>
      <c r="F25" s="190" t="s">
        <v>482</v>
      </c>
      <c r="G25" s="188" t="s">
        <v>483</v>
      </c>
      <c r="J25" s="168"/>
    </row>
    <row r="26" spans="1:10" ht="13.2" hidden="1" customHeight="1">
      <c r="A26" s="187" t="s">
        <v>306</v>
      </c>
      <c r="B26" s="190" t="s">
        <v>484</v>
      </c>
      <c r="C26" s="188" t="s">
        <v>485</v>
      </c>
      <c r="D26" s="181" t="s">
        <v>486</v>
      </c>
      <c r="E26" s="190" t="s">
        <v>487</v>
      </c>
      <c r="F26" s="190" t="s">
        <v>488</v>
      </c>
      <c r="G26" s="188" t="s">
        <v>483</v>
      </c>
      <c r="J26" s="168"/>
    </row>
    <row r="27" spans="1:10" ht="13.2" hidden="1" customHeight="1">
      <c r="A27" s="187" t="s">
        <v>307</v>
      </c>
      <c r="B27" s="190" t="s">
        <v>489</v>
      </c>
      <c r="C27" s="188" t="s">
        <v>490</v>
      </c>
      <c r="D27" s="181" t="s">
        <v>491</v>
      </c>
      <c r="E27" s="190" t="s">
        <v>492</v>
      </c>
      <c r="F27" s="190" t="s">
        <v>488</v>
      </c>
      <c r="G27" s="188" t="s">
        <v>482</v>
      </c>
      <c r="J27" s="168"/>
    </row>
    <row r="28" spans="1:10" ht="13.2" hidden="1" customHeight="1">
      <c r="A28" s="187" t="s">
        <v>308</v>
      </c>
      <c r="B28" s="190" t="s">
        <v>493</v>
      </c>
      <c r="C28" s="188" t="s">
        <v>494</v>
      </c>
      <c r="D28" s="181" t="s">
        <v>495</v>
      </c>
      <c r="E28" s="190" t="s">
        <v>496</v>
      </c>
      <c r="F28" s="190" t="s">
        <v>497</v>
      </c>
      <c r="G28" s="188" t="s">
        <v>498</v>
      </c>
      <c r="J28" s="168"/>
    </row>
    <row r="29" spans="1:10" ht="13.2" hidden="1" customHeight="1">
      <c r="A29" s="187" t="s">
        <v>311</v>
      </c>
      <c r="B29" s="190" t="s">
        <v>499</v>
      </c>
      <c r="C29" s="188" t="s">
        <v>500</v>
      </c>
      <c r="D29" s="181" t="s">
        <v>501</v>
      </c>
      <c r="E29" s="190" t="s">
        <v>502</v>
      </c>
      <c r="F29" s="190" t="s">
        <v>503</v>
      </c>
      <c r="G29" s="188" t="s">
        <v>504</v>
      </c>
      <c r="J29" s="168"/>
    </row>
    <row r="30" spans="1:10" ht="13.2" hidden="1" customHeight="1">
      <c r="A30" s="187"/>
      <c r="B30" s="190"/>
      <c r="C30" s="188"/>
      <c r="D30" s="181"/>
      <c r="E30" s="190"/>
      <c r="F30" s="190"/>
      <c r="G30" s="188"/>
      <c r="J30" s="168"/>
    </row>
    <row r="31" spans="1:10" ht="13.2" hidden="1" customHeight="1">
      <c r="A31" s="189">
        <v>2001</v>
      </c>
      <c r="B31" s="190"/>
      <c r="C31" s="200"/>
      <c r="D31" s="181"/>
      <c r="E31" s="190"/>
      <c r="F31" s="190"/>
      <c r="G31" s="188"/>
      <c r="J31" s="168"/>
    </row>
    <row r="32" spans="1:10" ht="11.4" hidden="1" customHeight="1">
      <c r="A32" s="189"/>
      <c r="B32" s="190"/>
      <c r="C32" s="200"/>
      <c r="D32" s="181"/>
      <c r="E32" s="190"/>
      <c r="F32" s="190"/>
      <c r="G32" s="188"/>
      <c r="J32" s="168"/>
    </row>
    <row r="33" spans="1:10" ht="13.2" hidden="1" customHeight="1">
      <c r="A33" s="187" t="s">
        <v>298</v>
      </c>
      <c r="B33" s="190" t="s">
        <v>505</v>
      </c>
      <c r="C33" s="188" t="s">
        <v>506</v>
      </c>
      <c r="D33" s="181" t="s">
        <v>507</v>
      </c>
      <c r="E33" s="190" t="s">
        <v>508</v>
      </c>
      <c r="F33" s="190" t="s">
        <v>509</v>
      </c>
      <c r="G33" s="188" t="s">
        <v>510</v>
      </c>
      <c r="J33" s="168"/>
    </row>
    <row r="34" spans="1:10" ht="13.2" hidden="1" customHeight="1">
      <c r="A34" s="187" t="s">
        <v>299</v>
      </c>
      <c r="B34" s="190" t="s">
        <v>511</v>
      </c>
      <c r="C34" s="188" t="s">
        <v>512</v>
      </c>
      <c r="D34" s="181" t="s">
        <v>513</v>
      </c>
      <c r="E34" s="190" t="s">
        <v>514</v>
      </c>
      <c r="F34" s="190" t="s">
        <v>515</v>
      </c>
      <c r="G34" s="188" t="s">
        <v>516</v>
      </c>
      <c r="J34" s="168"/>
    </row>
    <row r="35" spans="1:10" ht="13.2" hidden="1" customHeight="1">
      <c r="A35" s="187" t="s">
        <v>300</v>
      </c>
      <c r="B35" s="190" t="s">
        <v>517</v>
      </c>
      <c r="C35" s="188" t="s">
        <v>518</v>
      </c>
      <c r="D35" s="181" t="s">
        <v>519</v>
      </c>
      <c r="E35" s="190" t="s">
        <v>520</v>
      </c>
      <c r="F35" s="190" t="s">
        <v>516</v>
      </c>
      <c r="G35" s="188" t="s">
        <v>516</v>
      </c>
      <c r="J35" s="168"/>
    </row>
    <row r="36" spans="1:10" ht="13.2" hidden="1" customHeight="1">
      <c r="A36" s="187" t="s">
        <v>301</v>
      </c>
      <c r="B36" s="190" t="s">
        <v>521</v>
      </c>
      <c r="C36" s="188" t="s">
        <v>522</v>
      </c>
      <c r="D36" s="181" t="s">
        <v>523</v>
      </c>
      <c r="E36" s="190" t="s">
        <v>524</v>
      </c>
      <c r="F36" s="190" t="s">
        <v>525</v>
      </c>
      <c r="G36" s="188" t="s">
        <v>526</v>
      </c>
      <c r="J36" s="168"/>
    </row>
    <row r="37" spans="1:10" ht="13.2" hidden="1" customHeight="1">
      <c r="A37" s="187" t="s">
        <v>302</v>
      </c>
      <c r="B37" s="190" t="s">
        <v>521</v>
      </c>
      <c r="C37" s="188" t="s">
        <v>527</v>
      </c>
      <c r="D37" s="181" t="s">
        <v>523</v>
      </c>
      <c r="E37" s="190" t="s">
        <v>528</v>
      </c>
      <c r="F37" s="190" t="s">
        <v>529</v>
      </c>
      <c r="G37" s="188" t="s">
        <v>526</v>
      </c>
      <c r="J37" s="168"/>
    </row>
    <row r="38" spans="1:10" ht="13.2" hidden="1" customHeight="1">
      <c r="A38" s="187" t="s">
        <v>303</v>
      </c>
      <c r="B38" s="190" t="s">
        <v>511</v>
      </c>
      <c r="C38" s="188" t="s">
        <v>530</v>
      </c>
      <c r="D38" s="181" t="s">
        <v>531</v>
      </c>
      <c r="E38" s="190" t="s">
        <v>534</v>
      </c>
      <c r="F38" s="190" t="s">
        <v>535</v>
      </c>
      <c r="G38" s="188" t="s">
        <v>536</v>
      </c>
      <c r="J38" s="168"/>
    </row>
    <row r="39" spans="1:10" ht="13.2" hidden="1" customHeight="1">
      <c r="A39" s="187" t="s">
        <v>304</v>
      </c>
      <c r="B39" s="190" t="s">
        <v>537</v>
      </c>
      <c r="C39" s="188" t="s">
        <v>538</v>
      </c>
      <c r="D39" s="181" t="s">
        <v>539</v>
      </c>
      <c r="E39" s="190" t="s">
        <v>540</v>
      </c>
      <c r="F39" s="190" t="s">
        <v>516</v>
      </c>
      <c r="G39" s="188" t="s">
        <v>541</v>
      </c>
      <c r="J39" s="168"/>
    </row>
    <row r="40" spans="1:10" ht="13.2" hidden="1" customHeight="1">
      <c r="A40" s="187" t="s">
        <v>305</v>
      </c>
      <c r="B40" s="190" t="s">
        <v>542</v>
      </c>
      <c r="C40" s="188" t="s">
        <v>545</v>
      </c>
      <c r="D40" s="181" t="s">
        <v>546</v>
      </c>
      <c r="E40" s="190" t="s">
        <v>547</v>
      </c>
      <c r="F40" s="190" t="s">
        <v>535</v>
      </c>
      <c r="G40" s="188" t="s">
        <v>548</v>
      </c>
      <c r="J40" s="168"/>
    </row>
    <row r="41" spans="1:10" ht="13.95" hidden="1" customHeight="1">
      <c r="A41" s="187" t="s">
        <v>306</v>
      </c>
      <c r="B41" s="190" t="s">
        <v>549</v>
      </c>
      <c r="C41" s="188" t="s">
        <v>550</v>
      </c>
      <c r="D41" s="181" t="s">
        <v>551</v>
      </c>
      <c r="E41" s="190" t="s">
        <v>552</v>
      </c>
      <c r="F41" s="190" t="s">
        <v>516</v>
      </c>
      <c r="G41" s="188" t="s">
        <v>516</v>
      </c>
      <c r="J41" s="168"/>
    </row>
    <row r="42" spans="1:10" ht="13.2" hidden="1" customHeight="1">
      <c r="A42" s="187" t="s">
        <v>307</v>
      </c>
      <c r="B42" s="190" t="s">
        <v>553</v>
      </c>
      <c r="C42" s="188" t="s">
        <v>550</v>
      </c>
      <c r="D42" s="181" t="s">
        <v>554</v>
      </c>
      <c r="E42" s="190" t="s">
        <v>464</v>
      </c>
      <c r="F42" s="190" t="s">
        <v>516</v>
      </c>
      <c r="G42" s="188" t="s">
        <v>516</v>
      </c>
      <c r="J42" s="168"/>
    </row>
    <row r="43" spans="1:10" ht="13.2" hidden="1" customHeight="1">
      <c r="A43" s="187" t="s">
        <v>308</v>
      </c>
      <c r="B43" s="190" t="s">
        <v>555</v>
      </c>
      <c r="C43" s="188" t="s">
        <v>550</v>
      </c>
      <c r="D43" s="181" t="s">
        <v>556</v>
      </c>
      <c r="E43" s="190" t="s">
        <v>557</v>
      </c>
      <c r="F43" s="190" t="s">
        <v>558</v>
      </c>
      <c r="G43" s="188" t="s">
        <v>548</v>
      </c>
      <c r="J43" s="168"/>
    </row>
    <row r="44" spans="1:10" ht="13.2" hidden="1" customHeight="1">
      <c r="A44" s="187" t="s">
        <v>311</v>
      </c>
      <c r="B44" s="190" t="s">
        <v>559</v>
      </c>
      <c r="C44" s="188" t="s">
        <v>550</v>
      </c>
      <c r="D44" s="181" t="s">
        <v>560</v>
      </c>
      <c r="E44" s="190" t="s">
        <v>557</v>
      </c>
      <c r="F44" s="190" t="s">
        <v>548</v>
      </c>
      <c r="G44" s="188" t="s">
        <v>548</v>
      </c>
      <c r="J44" s="168"/>
    </row>
    <row r="45" spans="1:10" ht="10.199999999999999" hidden="1" customHeight="1">
      <c r="A45" s="187"/>
      <c r="B45" s="190"/>
      <c r="C45" s="188"/>
      <c r="D45" s="181"/>
      <c r="E45" s="190"/>
      <c r="F45" s="190"/>
      <c r="G45" s="188"/>
      <c r="J45" s="168"/>
    </row>
    <row r="46" spans="1:10" ht="13.2" hidden="1" customHeight="1">
      <c r="A46" s="189">
        <v>2002</v>
      </c>
      <c r="B46" s="190"/>
      <c r="C46" s="188"/>
      <c r="D46" s="181"/>
      <c r="E46" s="190"/>
      <c r="F46" s="190"/>
      <c r="G46" s="188"/>
      <c r="J46" s="168"/>
    </row>
    <row r="47" spans="1:10" ht="10.199999999999999" hidden="1" customHeight="1">
      <c r="A47" s="187"/>
      <c r="B47" s="190"/>
      <c r="C47" s="188"/>
      <c r="D47" s="181"/>
      <c r="E47" s="190"/>
      <c r="F47" s="190"/>
      <c r="G47" s="188"/>
      <c r="J47" s="168"/>
    </row>
    <row r="48" spans="1:10" ht="13.2" hidden="1" customHeight="1">
      <c r="A48" s="187" t="s">
        <v>298</v>
      </c>
      <c r="B48" s="190" t="s">
        <v>561</v>
      </c>
      <c r="C48" s="188" t="s">
        <v>562</v>
      </c>
      <c r="D48" s="181" t="s">
        <v>563</v>
      </c>
      <c r="E48" s="190" t="s">
        <v>564</v>
      </c>
      <c r="F48" s="190" t="s">
        <v>510</v>
      </c>
      <c r="G48" s="188" t="s">
        <v>548</v>
      </c>
      <c r="J48" s="168"/>
    </row>
    <row r="49" spans="1:10" ht="13.2" hidden="1" customHeight="1">
      <c r="A49" s="187" t="s">
        <v>299</v>
      </c>
      <c r="B49" s="190" t="s">
        <v>561</v>
      </c>
      <c r="C49" s="188" t="s">
        <v>562</v>
      </c>
      <c r="D49" s="181" t="s">
        <v>563</v>
      </c>
      <c r="E49" s="190" t="s">
        <v>565</v>
      </c>
      <c r="F49" s="190" t="s">
        <v>510</v>
      </c>
      <c r="G49" s="188" t="s">
        <v>548</v>
      </c>
      <c r="J49" s="168"/>
    </row>
    <row r="50" spans="1:10" ht="13.2" hidden="1" customHeight="1">
      <c r="A50" s="187" t="s">
        <v>300</v>
      </c>
      <c r="B50" s="190" t="s">
        <v>566</v>
      </c>
      <c r="C50" s="188" t="s">
        <v>567</v>
      </c>
      <c r="D50" s="181" t="s">
        <v>568</v>
      </c>
      <c r="E50" s="190" t="s">
        <v>569</v>
      </c>
      <c r="F50" s="190" t="s">
        <v>570</v>
      </c>
      <c r="G50" s="188" t="s">
        <v>571</v>
      </c>
      <c r="J50" s="168"/>
    </row>
    <row r="51" spans="1:10" ht="13.2" hidden="1" customHeight="1">
      <c r="A51" s="187" t="s">
        <v>301</v>
      </c>
      <c r="B51" s="190" t="s">
        <v>572</v>
      </c>
      <c r="C51" s="188" t="s">
        <v>573</v>
      </c>
      <c r="D51" s="181" t="s">
        <v>574</v>
      </c>
      <c r="E51" s="190" t="s">
        <v>575</v>
      </c>
      <c r="F51" s="190" t="s">
        <v>576</v>
      </c>
      <c r="G51" s="188" t="s">
        <v>577</v>
      </c>
      <c r="J51" s="168"/>
    </row>
    <row r="52" spans="1:10" ht="13.2" hidden="1" customHeight="1">
      <c r="A52" s="187" t="s">
        <v>302</v>
      </c>
      <c r="B52" s="190" t="s">
        <v>578</v>
      </c>
      <c r="C52" s="188" t="s">
        <v>567</v>
      </c>
      <c r="D52" s="181" t="s">
        <v>574</v>
      </c>
      <c r="E52" s="190" t="s">
        <v>579</v>
      </c>
      <c r="F52" s="190" t="s">
        <v>575</v>
      </c>
      <c r="G52" s="188" t="s">
        <v>580</v>
      </c>
      <c r="J52" s="168"/>
    </row>
    <row r="53" spans="1:10" ht="18.75" hidden="1" customHeight="1">
      <c r="A53" s="187" t="s">
        <v>303</v>
      </c>
      <c r="B53" s="190" t="s">
        <v>572</v>
      </c>
      <c r="C53" s="188" t="s">
        <v>581</v>
      </c>
      <c r="D53" s="181" t="s">
        <v>568</v>
      </c>
      <c r="E53" s="190" t="s">
        <v>582</v>
      </c>
      <c r="F53" s="190" t="s">
        <v>583</v>
      </c>
      <c r="G53" s="188" t="s">
        <v>498</v>
      </c>
      <c r="J53" s="168"/>
    </row>
    <row r="54" spans="1:10" ht="17.25" hidden="1" customHeight="1">
      <c r="A54" s="187" t="s">
        <v>304</v>
      </c>
      <c r="B54" s="190" t="s">
        <v>584</v>
      </c>
      <c r="C54" s="188" t="s">
        <v>585</v>
      </c>
      <c r="D54" s="181" t="s">
        <v>586</v>
      </c>
      <c r="E54" s="190" t="s">
        <v>587</v>
      </c>
      <c r="F54" s="190" t="s">
        <v>588</v>
      </c>
      <c r="G54" s="188" t="s">
        <v>589</v>
      </c>
      <c r="J54" s="168"/>
    </row>
    <row r="55" spans="1:10" ht="15" hidden="1" customHeight="1">
      <c r="A55" s="187" t="s">
        <v>305</v>
      </c>
      <c r="B55" s="190" t="s">
        <v>590</v>
      </c>
      <c r="C55" s="188" t="s">
        <v>591</v>
      </c>
      <c r="D55" s="181" t="s">
        <v>592</v>
      </c>
      <c r="E55" s="190" t="s">
        <v>593</v>
      </c>
      <c r="F55" s="190" t="s">
        <v>594</v>
      </c>
      <c r="G55" s="188" t="s">
        <v>595</v>
      </c>
      <c r="J55" s="168"/>
    </row>
    <row r="56" spans="1:10" ht="13.5" hidden="1" customHeight="1">
      <c r="A56" s="187" t="s">
        <v>306</v>
      </c>
      <c r="B56" s="190" t="s">
        <v>596</v>
      </c>
      <c r="C56" s="188" t="s">
        <v>597</v>
      </c>
      <c r="D56" s="181" t="s">
        <v>598</v>
      </c>
      <c r="E56" s="190" t="s">
        <v>582</v>
      </c>
      <c r="F56" s="190" t="s">
        <v>579</v>
      </c>
      <c r="G56" s="188" t="s">
        <v>599</v>
      </c>
      <c r="J56" s="168"/>
    </row>
    <row r="57" spans="1:10" ht="16.5" hidden="1" customHeight="1">
      <c r="A57" s="187" t="s">
        <v>307</v>
      </c>
      <c r="B57" s="201" t="s">
        <v>600</v>
      </c>
      <c r="C57" s="201" t="s">
        <v>601</v>
      </c>
      <c r="D57" s="202" t="s">
        <v>601</v>
      </c>
      <c r="E57" s="201" t="s">
        <v>602</v>
      </c>
      <c r="F57" s="203" t="s">
        <v>579</v>
      </c>
      <c r="G57" s="201" t="s">
        <v>603</v>
      </c>
      <c r="J57" s="168"/>
    </row>
    <row r="58" spans="1:10" ht="15.75" hidden="1" customHeight="1">
      <c r="A58" s="187" t="s">
        <v>308</v>
      </c>
      <c r="B58" s="204" t="s">
        <v>600</v>
      </c>
      <c r="C58" s="201" t="s">
        <v>604</v>
      </c>
      <c r="D58" s="203" t="s">
        <v>605</v>
      </c>
      <c r="E58" s="204" t="s">
        <v>606</v>
      </c>
      <c r="F58" s="190" t="s">
        <v>579</v>
      </c>
      <c r="G58" s="201" t="s">
        <v>607</v>
      </c>
      <c r="J58" s="168"/>
    </row>
    <row r="59" spans="1:10" ht="12" hidden="1" customHeight="1">
      <c r="A59" s="187" t="s">
        <v>311</v>
      </c>
      <c r="B59" s="204" t="s">
        <v>609</v>
      </c>
      <c r="C59" s="201" t="s">
        <v>604</v>
      </c>
      <c r="D59" s="203" t="s">
        <v>610</v>
      </c>
      <c r="E59" s="204" t="s">
        <v>604</v>
      </c>
      <c r="F59" s="190" t="s">
        <v>611</v>
      </c>
      <c r="G59" s="201" t="s">
        <v>612</v>
      </c>
      <c r="J59" s="168"/>
    </row>
    <row r="60" spans="1:10" ht="13.2" hidden="1" customHeight="1">
      <c r="A60" s="187"/>
      <c r="B60" s="204"/>
      <c r="C60" s="201"/>
      <c r="D60" s="203"/>
      <c r="E60" s="204"/>
      <c r="F60" s="190"/>
      <c r="G60" s="201"/>
      <c r="J60" s="168"/>
    </row>
    <row r="61" spans="1:10" ht="23.25" hidden="1" customHeight="1">
      <c r="A61" s="189">
        <v>2003</v>
      </c>
      <c r="B61" s="204"/>
      <c r="C61" s="201"/>
      <c r="D61" s="203"/>
      <c r="E61" s="204"/>
      <c r="F61" s="190"/>
      <c r="G61" s="201"/>
      <c r="J61" s="168"/>
    </row>
    <row r="62" spans="1:10" ht="19.5" hidden="1" customHeight="1">
      <c r="A62" s="189"/>
      <c r="B62" s="204"/>
      <c r="C62" s="201"/>
      <c r="D62" s="203"/>
      <c r="E62" s="204"/>
      <c r="F62" s="190"/>
      <c r="G62" s="201"/>
      <c r="J62" s="168"/>
    </row>
    <row r="63" spans="1:10" ht="13.2" hidden="1" customHeight="1">
      <c r="A63" s="199" t="s">
        <v>298</v>
      </c>
      <c r="B63" s="204" t="s">
        <v>609</v>
      </c>
      <c r="C63" s="201" t="s">
        <v>613</v>
      </c>
      <c r="D63" s="203" t="s">
        <v>614</v>
      </c>
      <c r="E63" s="204" t="s">
        <v>615</v>
      </c>
      <c r="F63" s="204" t="s">
        <v>614</v>
      </c>
      <c r="G63" s="201" t="s">
        <v>616</v>
      </c>
      <c r="J63" s="168"/>
    </row>
    <row r="64" spans="1:10" ht="18" hidden="1" customHeight="1">
      <c r="A64" s="199" t="s">
        <v>299</v>
      </c>
      <c r="B64" s="204" t="s">
        <v>617</v>
      </c>
      <c r="C64" s="201" t="s">
        <v>618</v>
      </c>
      <c r="D64" s="203" t="s">
        <v>619</v>
      </c>
      <c r="E64" s="204" t="s">
        <v>607</v>
      </c>
      <c r="F64" s="204" t="s">
        <v>620</v>
      </c>
      <c r="G64" s="201" t="s">
        <v>621</v>
      </c>
      <c r="J64" s="168"/>
    </row>
    <row r="65" spans="1:10" ht="14.25" hidden="1" customHeight="1">
      <c r="A65" s="178" t="s">
        <v>300</v>
      </c>
      <c r="B65" s="190" t="s">
        <v>516</v>
      </c>
      <c r="C65" s="188" t="s">
        <v>567</v>
      </c>
      <c r="D65" s="181" t="s">
        <v>622</v>
      </c>
      <c r="E65" s="190" t="s">
        <v>469</v>
      </c>
      <c r="F65" s="190" t="s">
        <v>469</v>
      </c>
      <c r="G65" s="188" t="s">
        <v>623</v>
      </c>
      <c r="J65" s="168"/>
    </row>
    <row r="66" spans="1:10" ht="17.25" hidden="1" customHeight="1">
      <c r="A66" s="178" t="s">
        <v>301</v>
      </c>
      <c r="B66" s="204" t="s">
        <v>516</v>
      </c>
      <c r="C66" s="201" t="s">
        <v>624</v>
      </c>
      <c r="D66" s="203" t="s">
        <v>625</v>
      </c>
      <c r="E66" s="204" t="s">
        <v>626</v>
      </c>
      <c r="F66" s="204" t="s">
        <v>627</v>
      </c>
      <c r="G66" s="201" t="s">
        <v>628</v>
      </c>
      <c r="J66" s="168"/>
    </row>
    <row r="67" spans="1:10" ht="16.5" hidden="1" customHeight="1">
      <c r="A67" s="205" t="s">
        <v>302</v>
      </c>
      <c r="B67" s="204" t="s">
        <v>638</v>
      </c>
      <c r="C67" s="201" t="s">
        <v>639</v>
      </c>
      <c r="D67" s="203" t="s">
        <v>625</v>
      </c>
      <c r="E67" s="204" t="s">
        <v>626</v>
      </c>
      <c r="F67" s="204" t="s">
        <v>627</v>
      </c>
      <c r="G67" s="201" t="s">
        <v>631</v>
      </c>
      <c r="J67" s="168"/>
    </row>
    <row r="68" spans="1:10" ht="17.25" hidden="1" customHeight="1">
      <c r="A68" s="205" t="s">
        <v>303</v>
      </c>
      <c r="B68" s="204" t="s">
        <v>640</v>
      </c>
      <c r="C68" s="201" t="s">
        <v>641</v>
      </c>
      <c r="D68" s="203" t="s">
        <v>630</v>
      </c>
      <c r="E68" s="204" t="s">
        <v>642</v>
      </c>
      <c r="F68" s="204" t="s">
        <v>643</v>
      </c>
      <c r="G68" s="201" t="s">
        <v>644</v>
      </c>
      <c r="J68" s="168"/>
    </row>
    <row r="69" spans="1:10" ht="17.25" hidden="1" customHeight="1">
      <c r="A69" s="205" t="s">
        <v>304</v>
      </c>
      <c r="B69" s="204" t="s">
        <v>645</v>
      </c>
      <c r="C69" s="201" t="s">
        <v>646</v>
      </c>
      <c r="D69" s="203" t="s">
        <v>647</v>
      </c>
      <c r="E69" s="204" t="s">
        <v>648</v>
      </c>
      <c r="F69" s="204" t="s">
        <v>649</v>
      </c>
      <c r="G69" s="201" t="s">
        <v>650</v>
      </c>
      <c r="J69" s="168"/>
    </row>
    <row r="70" spans="1:10" ht="17.25" hidden="1" customHeight="1">
      <c r="A70" s="178" t="s">
        <v>305</v>
      </c>
      <c r="B70" s="204" t="s">
        <v>654</v>
      </c>
      <c r="C70" s="201" t="s">
        <v>655</v>
      </c>
      <c r="D70" s="203" t="s">
        <v>656</v>
      </c>
      <c r="E70" s="204" t="s">
        <v>656</v>
      </c>
      <c r="F70" s="204" t="s">
        <v>657</v>
      </c>
      <c r="G70" s="201" t="s">
        <v>658</v>
      </c>
      <c r="J70" s="168"/>
    </row>
    <row r="71" spans="1:10" ht="17.25" hidden="1" customHeight="1">
      <c r="A71" s="178" t="s">
        <v>306</v>
      </c>
      <c r="B71" s="204" t="s">
        <v>659</v>
      </c>
      <c r="C71" s="201" t="s">
        <v>660</v>
      </c>
      <c r="D71" s="203" t="s">
        <v>661</v>
      </c>
      <c r="E71" s="204" t="s">
        <v>662</v>
      </c>
      <c r="F71" s="204" t="s">
        <v>663</v>
      </c>
      <c r="G71" s="201" t="s">
        <v>664</v>
      </c>
      <c r="J71" s="168"/>
    </row>
    <row r="72" spans="1:10" ht="17.25" hidden="1" customHeight="1">
      <c r="A72" s="178" t="s">
        <v>307</v>
      </c>
      <c r="B72" s="204" t="s">
        <v>665</v>
      </c>
      <c r="C72" s="201" t="s">
        <v>666</v>
      </c>
      <c r="D72" s="203" t="s">
        <v>667</v>
      </c>
      <c r="E72" s="204" t="s">
        <v>668</v>
      </c>
      <c r="F72" s="204" t="s">
        <v>669</v>
      </c>
      <c r="G72" s="201" t="s">
        <v>670</v>
      </c>
      <c r="J72" s="168"/>
    </row>
    <row r="73" spans="1:10" ht="17.25" hidden="1" customHeight="1">
      <c r="A73" s="178" t="s">
        <v>308</v>
      </c>
      <c r="B73" s="188" t="s">
        <v>671</v>
      </c>
      <c r="C73" s="188" t="s">
        <v>668</v>
      </c>
      <c r="D73" s="206" t="s">
        <v>667</v>
      </c>
      <c r="E73" s="188" t="s">
        <v>672</v>
      </c>
      <c r="F73" s="188" t="s">
        <v>673</v>
      </c>
      <c r="G73" s="188" t="s">
        <v>674</v>
      </c>
      <c r="J73" s="168"/>
    </row>
    <row r="74" spans="1:10" ht="17.25" hidden="1" customHeight="1">
      <c r="A74" s="178" t="s">
        <v>311</v>
      </c>
      <c r="B74" s="201" t="s">
        <v>677</v>
      </c>
      <c r="C74" s="201" t="s">
        <v>678</v>
      </c>
      <c r="D74" s="202" t="s">
        <v>679</v>
      </c>
      <c r="E74" s="201" t="s">
        <v>680</v>
      </c>
      <c r="F74" s="201" t="s">
        <v>681</v>
      </c>
      <c r="G74" s="201" t="s">
        <v>682</v>
      </c>
      <c r="J74" s="168"/>
    </row>
    <row r="75" spans="1:10" ht="17.25" hidden="1" customHeight="1">
      <c r="A75" s="178"/>
      <c r="B75" s="188"/>
      <c r="C75" s="188"/>
      <c r="D75" s="206"/>
      <c r="E75" s="188"/>
      <c r="F75" s="188"/>
      <c r="G75" s="188"/>
      <c r="J75" s="168"/>
    </row>
    <row r="76" spans="1:10" ht="17.25" hidden="1" customHeight="1">
      <c r="A76" s="207">
        <v>2004</v>
      </c>
      <c r="B76" s="188"/>
      <c r="C76" s="188"/>
      <c r="D76" s="206"/>
      <c r="E76" s="188"/>
      <c r="F76" s="188"/>
      <c r="G76" s="188"/>
      <c r="J76" s="168"/>
    </row>
    <row r="77" spans="1:10" ht="17.25" hidden="1" customHeight="1">
      <c r="A77" s="207"/>
      <c r="B77" s="188"/>
      <c r="C77" s="188"/>
      <c r="D77" s="206"/>
      <c r="E77" s="188"/>
      <c r="F77" s="188"/>
      <c r="G77" s="188"/>
      <c r="J77" s="168"/>
    </row>
    <row r="78" spans="1:10" ht="17.25" hidden="1" customHeight="1">
      <c r="A78" s="178" t="s">
        <v>298</v>
      </c>
      <c r="B78" s="201" t="s">
        <v>228</v>
      </c>
      <c r="C78" s="201" t="s">
        <v>242</v>
      </c>
      <c r="D78" s="202" t="s">
        <v>243</v>
      </c>
      <c r="E78" s="201" t="s">
        <v>683</v>
      </c>
      <c r="F78" s="201" t="s">
        <v>684</v>
      </c>
      <c r="G78" s="201" t="s">
        <v>684</v>
      </c>
      <c r="J78" s="168"/>
    </row>
    <row r="79" spans="1:10" ht="17.25" hidden="1" customHeight="1">
      <c r="A79" s="178" t="s">
        <v>299</v>
      </c>
      <c r="B79" s="188" t="s">
        <v>234</v>
      </c>
      <c r="C79" s="188" t="s">
        <v>161</v>
      </c>
      <c r="D79" s="206" t="s">
        <v>237</v>
      </c>
      <c r="E79" s="188" t="s">
        <v>171</v>
      </c>
      <c r="F79" s="188" t="s">
        <v>174</v>
      </c>
      <c r="G79" s="188" t="s">
        <v>176</v>
      </c>
      <c r="J79" s="168"/>
    </row>
    <row r="80" spans="1:10" ht="17.25" hidden="1" customHeight="1">
      <c r="A80" s="178" t="s">
        <v>300</v>
      </c>
      <c r="B80" s="188" t="s">
        <v>235</v>
      </c>
      <c r="C80" s="188" t="s">
        <v>169</v>
      </c>
      <c r="D80" s="206" t="s">
        <v>238</v>
      </c>
      <c r="E80" s="188" t="s">
        <v>172</v>
      </c>
      <c r="F80" s="188" t="s">
        <v>175</v>
      </c>
      <c r="G80" s="188" t="s">
        <v>177</v>
      </c>
      <c r="J80" s="168"/>
    </row>
    <row r="81" spans="1:10" ht="17.25" hidden="1" customHeight="1">
      <c r="A81" s="178" t="s">
        <v>301</v>
      </c>
      <c r="B81" s="188" t="s">
        <v>236</v>
      </c>
      <c r="C81" s="188" t="s">
        <v>170</v>
      </c>
      <c r="D81" s="206" t="s">
        <v>239</v>
      </c>
      <c r="E81" s="188" t="s">
        <v>173</v>
      </c>
      <c r="F81" s="188" t="s">
        <v>175</v>
      </c>
      <c r="G81" s="188" t="s">
        <v>177</v>
      </c>
      <c r="J81" s="168"/>
    </row>
    <row r="82" spans="1:10" ht="17.25" hidden="1" customHeight="1">
      <c r="A82" s="178" t="s">
        <v>302</v>
      </c>
      <c r="B82" s="190" t="s">
        <v>510</v>
      </c>
      <c r="C82" s="188" t="s">
        <v>356</v>
      </c>
      <c r="D82" s="181" t="s">
        <v>357</v>
      </c>
      <c r="E82" s="190" t="s">
        <v>667</v>
      </c>
      <c r="F82" s="190" t="s">
        <v>358</v>
      </c>
      <c r="G82" s="188" t="s">
        <v>359</v>
      </c>
      <c r="J82" s="168"/>
    </row>
    <row r="83" spans="1:10" ht="17.25" hidden="1" customHeight="1">
      <c r="A83" s="178" t="s">
        <v>303</v>
      </c>
      <c r="B83" s="190" t="s">
        <v>617</v>
      </c>
      <c r="C83" s="188" t="s">
        <v>257</v>
      </c>
      <c r="D83" s="181" t="s">
        <v>657</v>
      </c>
      <c r="E83" s="190" t="s">
        <v>663</v>
      </c>
      <c r="F83" s="190" t="s">
        <v>663</v>
      </c>
      <c r="G83" s="188" t="s">
        <v>256</v>
      </c>
      <c r="J83" s="168"/>
    </row>
    <row r="84" spans="1:10" ht="17.25" hidden="1" customHeight="1">
      <c r="A84" s="178" t="s">
        <v>304</v>
      </c>
      <c r="B84" s="190" t="s">
        <v>773</v>
      </c>
      <c r="C84" s="188" t="s">
        <v>630</v>
      </c>
      <c r="D84" s="181" t="s">
        <v>741</v>
      </c>
      <c r="E84" s="190" t="s">
        <v>631</v>
      </c>
      <c r="F84" s="190" t="s">
        <v>981</v>
      </c>
      <c r="G84" s="188" t="s">
        <v>983</v>
      </c>
      <c r="J84" s="168"/>
    </row>
    <row r="85" spans="1:10" ht="17.25" hidden="1" customHeight="1">
      <c r="A85" s="178" t="s">
        <v>305</v>
      </c>
      <c r="B85" s="190" t="s">
        <v>775</v>
      </c>
      <c r="C85" s="188" t="s">
        <v>741</v>
      </c>
      <c r="D85" s="181" t="s">
        <v>1102</v>
      </c>
      <c r="E85" s="190" t="s">
        <v>1102</v>
      </c>
      <c r="F85" s="190" t="s">
        <v>357</v>
      </c>
      <c r="G85" s="188" t="s">
        <v>981</v>
      </c>
      <c r="J85" s="168"/>
    </row>
    <row r="86" spans="1:10" ht="17.25" hidden="1" customHeight="1">
      <c r="A86" s="178" t="s">
        <v>306</v>
      </c>
      <c r="B86" s="190" t="s">
        <v>775</v>
      </c>
      <c r="C86" s="188" t="s">
        <v>162</v>
      </c>
      <c r="D86" s="181" t="s">
        <v>163</v>
      </c>
      <c r="E86" s="190" t="s">
        <v>164</v>
      </c>
      <c r="F86" s="190" t="s">
        <v>663</v>
      </c>
      <c r="G86" s="188" t="s">
        <v>165</v>
      </c>
      <c r="J86" s="168"/>
    </row>
    <row r="87" spans="1:10" ht="17.25" hidden="1" customHeight="1">
      <c r="A87" s="178" t="s">
        <v>307</v>
      </c>
      <c r="B87" s="190" t="s">
        <v>783</v>
      </c>
      <c r="C87" s="188" t="s">
        <v>166</v>
      </c>
      <c r="D87" s="181" t="s">
        <v>163</v>
      </c>
      <c r="E87" s="190" t="s">
        <v>167</v>
      </c>
      <c r="F87" s="190" t="s">
        <v>663</v>
      </c>
      <c r="G87" s="188" t="s">
        <v>165</v>
      </c>
      <c r="J87" s="168"/>
    </row>
    <row r="88" spans="1:10" ht="17.25" hidden="1" customHeight="1">
      <c r="A88" s="178" t="s">
        <v>308</v>
      </c>
      <c r="B88" s="204" t="s">
        <v>583</v>
      </c>
      <c r="C88" s="201" t="s">
        <v>385</v>
      </c>
      <c r="D88" s="203" t="s">
        <v>163</v>
      </c>
      <c r="E88" s="204" t="s">
        <v>391</v>
      </c>
      <c r="F88" s="204" t="s">
        <v>357</v>
      </c>
      <c r="G88" s="188" t="s">
        <v>165</v>
      </c>
      <c r="J88" s="168"/>
    </row>
    <row r="89" spans="1:10" ht="17.25" hidden="1" customHeight="1">
      <c r="A89" s="178" t="s">
        <v>311</v>
      </c>
      <c r="B89" s="204" t="s">
        <v>381</v>
      </c>
      <c r="C89" s="201" t="s">
        <v>386</v>
      </c>
      <c r="D89" s="203" t="s">
        <v>387</v>
      </c>
      <c r="E89" s="204" t="s">
        <v>388</v>
      </c>
      <c r="F89" s="204" t="s">
        <v>663</v>
      </c>
      <c r="G89" s="201" t="s">
        <v>165</v>
      </c>
      <c r="J89" s="168"/>
    </row>
    <row r="90" spans="1:10" ht="17.25" hidden="1" customHeight="1">
      <c r="A90" s="178"/>
      <c r="B90" s="204"/>
      <c r="C90" s="201"/>
      <c r="D90" s="203"/>
      <c r="E90" s="204"/>
      <c r="F90" s="204"/>
      <c r="G90" s="201"/>
      <c r="J90" s="168"/>
    </row>
    <row r="91" spans="1:10" ht="17.25" hidden="1" customHeight="1">
      <c r="A91" s="207">
        <v>2005</v>
      </c>
      <c r="B91" s="204"/>
      <c r="C91" s="201"/>
      <c r="D91" s="203"/>
      <c r="E91" s="204"/>
      <c r="F91" s="204"/>
      <c r="G91" s="201"/>
      <c r="J91" s="168"/>
    </row>
    <row r="92" spans="1:10" ht="17.25" hidden="1" customHeight="1">
      <c r="A92" s="207"/>
      <c r="B92" s="204"/>
      <c r="C92" s="201"/>
      <c r="D92" s="203"/>
      <c r="E92" s="204"/>
      <c r="F92" s="204"/>
      <c r="G92" s="201"/>
      <c r="J92" s="168"/>
    </row>
    <row r="93" spans="1:10" ht="17.25" hidden="1" customHeight="1">
      <c r="A93" s="178" t="s">
        <v>298</v>
      </c>
      <c r="B93" s="204" t="s">
        <v>593</v>
      </c>
      <c r="C93" s="201" t="s">
        <v>636</v>
      </c>
      <c r="D93" s="203" t="s">
        <v>75</v>
      </c>
      <c r="E93" s="204" t="s">
        <v>388</v>
      </c>
      <c r="F93" s="204" t="s">
        <v>76</v>
      </c>
      <c r="G93" s="201" t="s">
        <v>165</v>
      </c>
      <c r="J93" s="168"/>
    </row>
    <row r="94" spans="1:10" ht="17.25" hidden="1" customHeight="1">
      <c r="A94" s="178" t="s">
        <v>299</v>
      </c>
      <c r="B94" s="190" t="s">
        <v>783</v>
      </c>
      <c r="C94" s="188" t="s">
        <v>635</v>
      </c>
      <c r="D94" s="181" t="s">
        <v>635</v>
      </c>
      <c r="E94" s="190" t="s">
        <v>222</v>
      </c>
      <c r="F94" s="190" t="s">
        <v>222</v>
      </c>
      <c r="G94" s="188" t="s">
        <v>165</v>
      </c>
      <c r="J94" s="168"/>
    </row>
    <row r="95" spans="1:10" ht="17.25" hidden="1" customHeight="1">
      <c r="A95" s="178" t="s">
        <v>300</v>
      </c>
      <c r="B95" s="190" t="s">
        <v>634</v>
      </c>
      <c r="C95" s="188" t="s">
        <v>510</v>
      </c>
      <c r="D95" s="181" t="s">
        <v>516</v>
      </c>
      <c r="E95" s="190" t="s">
        <v>637</v>
      </c>
      <c r="F95" s="190" t="s">
        <v>222</v>
      </c>
      <c r="G95" s="188" t="s">
        <v>165</v>
      </c>
      <c r="J95" s="168"/>
    </row>
    <row r="96" spans="1:10" ht="17.25" hidden="1" customHeight="1">
      <c r="A96" s="178" t="s">
        <v>301</v>
      </c>
      <c r="B96" s="190" t="s">
        <v>634</v>
      </c>
      <c r="C96" s="188" t="s">
        <v>510</v>
      </c>
      <c r="D96" s="181" t="s">
        <v>1103</v>
      </c>
      <c r="E96" s="190" t="s">
        <v>637</v>
      </c>
      <c r="F96" s="190" t="s">
        <v>222</v>
      </c>
      <c r="G96" s="188" t="s">
        <v>165</v>
      </c>
      <c r="J96" s="168"/>
    </row>
    <row r="97" spans="1:10" ht="17.25" hidden="1" customHeight="1">
      <c r="A97" s="178" t="s">
        <v>302</v>
      </c>
      <c r="B97" s="190" t="s">
        <v>634</v>
      </c>
      <c r="C97" s="188" t="s">
        <v>510</v>
      </c>
      <c r="D97" s="181" t="s">
        <v>510</v>
      </c>
      <c r="E97" s="190" t="s">
        <v>637</v>
      </c>
      <c r="F97" s="190" t="s">
        <v>222</v>
      </c>
      <c r="G97" s="188" t="s">
        <v>165</v>
      </c>
      <c r="J97" s="168"/>
    </row>
    <row r="98" spans="1:10" ht="17.25" hidden="1" customHeight="1">
      <c r="A98" s="178" t="s">
        <v>303</v>
      </c>
      <c r="B98" s="204" t="s">
        <v>634</v>
      </c>
      <c r="C98" s="201" t="s">
        <v>510</v>
      </c>
      <c r="D98" s="203" t="s">
        <v>510</v>
      </c>
      <c r="E98" s="204" t="s">
        <v>637</v>
      </c>
      <c r="F98" s="204" t="s">
        <v>222</v>
      </c>
      <c r="G98" s="201" t="s">
        <v>165</v>
      </c>
      <c r="J98" s="168"/>
    </row>
    <row r="99" spans="1:10" ht="17.25" hidden="1" customHeight="1">
      <c r="A99" s="178" t="s">
        <v>304</v>
      </c>
      <c r="B99" s="204" t="s">
        <v>767</v>
      </c>
      <c r="C99" s="201" t="s">
        <v>5</v>
      </c>
      <c r="D99" s="203" t="s">
        <v>6</v>
      </c>
      <c r="E99" s="204" t="s">
        <v>659</v>
      </c>
      <c r="F99" s="204" t="s">
        <v>7</v>
      </c>
      <c r="G99" s="201" t="s">
        <v>165</v>
      </c>
      <c r="J99" s="168"/>
    </row>
    <row r="100" spans="1:10" ht="17.25" hidden="1" customHeight="1">
      <c r="A100" s="178" t="s">
        <v>305</v>
      </c>
      <c r="B100" s="204" t="s">
        <v>767</v>
      </c>
      <c r="C100" s="201" t="s">
        <v>244</v>
      </c>
      <c r="D100" s="203" t="s">
        <v>245</v>
      </c>
      <c r="E100" s="204" t="s">
        <v>246</v>
      </c>
      <c r="F100" s="204" t="s">
        <v>247</v>
      </c>
      <c r="G100" s="201" t="s">
        <v>248</v>
      </c>
      <c r="J100" s="168"/>
    </row>
    <row r="101" spans="1:10" ht="17.25" hidden="1" customHeight="1">
      <c r="A101" s="178" t="s">
        <v>306</v>
      </c>
      <c r="B101" s="204" t="s">
        <v>767</v>
      </c>
      <c r="C101" s="201" t="s">
        <v>244</v>
      </c>
      <c r="D101" s="203" t="s">
        <v>245</v>
      </c>
      <c r="E101" s="204" t="s">
        <v>246</v>
      </c>
      <c r="F101" s="204" t="s">
        <v>247</v>
      </c>
      <c r="G101" s="201" t="s">
        <v>248</v>
      </c>
      <c r="J101" s="168"/>
    </row>
    <row r="102" spans="1:10" ht="17.25" hidden="1" customHeight="1">
      <c r="A102" s="178" t="s">
        <v>307</v>
      </c>
      <c r="B102" s="204" t="s">
        <v>767</v>
      </c>
      <c r="C102" s="188" t="s">
        <v>94</v>
      </c>
      <c r="D102" s="181" t="s">
        <v>94</v>
      </c>
      <c r="E102" s="190" t="s">
        <v>94</v>
      </c>
      <c r="F102" s="190" t="s">
        <v>94</v>
      </c>
      <c r="G102" s="188" t="s">
        <v>94</v>
      </c>
      <c r="J102" s="168"/>
    </row>
    <row r="103" spans="1:10" ht="17.25" hidden="1" customHeight="1">
      <c r="A103" s="178" t="s">
        <v>308</v>
      </c>
      <c r="B103" s="204" t="s">
        <v>309</v>
      </c>
      <c r="C103" s="188" t="s">
        <v>94</v>
      </c>
      <c r="D103" s="181" t="s">
        <v>94</v>
      </c>
      <c r="E103" s="190" t="s">
        <v>94</v>
      </c>
      <c r="F103" s="190" t="s">
        <v>94</v>
      </c>
      <c r="G103" s="188" t="s">
        <v>94</v>
      </c>
      <c r="J103" s="168"/>
    </row>
    <row r="104" spans="1:10" ht="17.25" hidden="1" customHeight="1">
      <c r="A104" s="178" t="s">
        <v>311</v>
      </c>
      <c r="B104" s="190" t="s">
        <v>767</v>
      </c>
      <c r="C104" s="188" t="s">
        <v>94</v>
      </c>
      <c r="D104" s="181" t="s">
        <v>94</v>
      </c>
      <c r="E104" s="190" t="s">
        <v>94</v>
      </c>
      <c r="F104" s="190" t="s">
        <v>94</v>
      </c>
      <c r="G104" s="188" t="s">
        <v>94</v>
      </c>
      <c r="J104" s="168"/>
    </row>
    <row r="105" spans="1:10" ht="17.25" hidden="1" customHeight="1">
      <c r="A105" s="178"/>
      <c r="B105" s="190"/>
      <c r="C105" s="188"/>
      <c r="D105" s="181"/>
      <c r="E105" s="190"/>
      <c r="F105" s="190"/>
      <c r="G105" s="188"/>
      <c r="J105" s="168"/>
    </row>
    <row r="106" spans="1:10" ht="17.25" hidden="1" customHeight="1">
      <c r="A106" s="207">
        <v>2006</v>
      </c>
      <c r="B106" s="190"/>
      <c r="C106" s="188"/>
      <c r="D106" s="181"/>
      <c r="E106" s="190"/>
      <c r="F106" s="190"/>
      <c r="G106" s="188"/>
      <c r="J106" s="168"/>
    </row>
    <row r="107" spans="1:10" ht="17.25" hidden="1" customHeight="1">
      <c r="A107" s="178"/>
      <c r="B107" s="190"/>
      <c r="C107" s="188"/>
      <c r="D107" s="181"/>
      <c r="E107" s="190"/>
      <c r="F107" s="190"/>
      <c r="G107" s="188"/>
      <c r="J107" s="168"/>
    </row>
    <row r="108" spans="1:10" ht="17.25" hidden="1" customHeight="1">
      <c r="A108" s="178" t="s">
        <v>298</v>
      </c>
      <c r="B108" s="190" t="s">
        <v>375</v>
      </c>
      <c r="C108" s="188" t="s">
        <v>94</v>
      </c>
      <c r="D108" s="181" t="s">
        <v>94</v>
      </c>
      <c r="E108" s="190" t="s">
        <v>94</v>
      </c>
      <c r="F108" s="190" t="s">
        <v>94</v>
      </c>
      <c r="G108" s="188" t="s">
        <v>94</v>
      </c>
      <c r="J108" s="168"/>
    </row>
    <row r="109" spans="1:10" ht="17.25" hidden="1" customHeight="1">
      <c r="A109" s="178" t="s">
        <v>299</v>
      </c>
      <c r="B109" s="190" t="s">
        <v>94</v>
      </c>
      <c r="C109" s="188" t="s">
        <v>94</v>
      </c>
      <c r="D109" s="181" t="s">
        <v>94</v>
      </c>
      <c r="E109" s="190" t="s">
        <v>94</v>
      </c>
      <c r="F109" s="190" t="s">
        <v>94</v>
      </c>
      <c r="G109" s="188" t="s">
        <v>94</v>
      </c>
      <c r="J109" s="168"/>
    </row>
    <row r="110" spans="1:10" ht="17.25" hidden="1" customHeight="1">
      <c r="A110" s="178" t="s">
        <v>300</v>
      </c>
      <c r="B110" s="190" t="s">
        <v>94</v>
      </c>
      <c r="C110" s="188" t="s">
        <v>94</v>
      </c>
      <c r="D110" s="181" t="s">
        <v>94</v>
      </c>
      <c r="E110" s="190" t="s">
        <v>94</v>
      </c>
      <c r="F110" s="190" t="s">
        <v>94</v>
      </c>
      <c r="G110" s="188" t="s">
        <v>94</v>
      </c>
      <c r="J110" s="168"/>
    </row>
    <row r="111" spans="1:10" ht="17.25" hidden="1" customHeight="1">
      <c r="A111" s="178" t="s">
        <v>301</v>
      </c>
      <c r="B111" s="190" t="s">
        <v>94</v>
      </c>
      <c r="C111" s="188" t="s">
        <v>94</v>
      </c>
      <c r="D111" s="181" t="s">
        <v>94</v>
      </c>
      <c r="E111" s="190" t="s">
        <v>94</v>
      </c>
      <c r="F111" s="190" t="s">
        <v>94</v>
      </c>
      <c r="G111" s="188" t="s">
        <v>94</v>
      </c>
      <c r="J111" s="168"/>
    </row>
    <row r="112" spans="1:10" ht="17.25" hidden="1" customHeight="1">
      <c r="A112" s="178" t="s">
        <v>302</v>
      </c>
      <c r="B112" s="190" t="s">
        <v>94</v>
      </c>
      <c r="C112" s="188" t="s">
        <v>94</v>
      </c>
      <c r="D112" s="181" t="s">
        <v>94</v>
      </c>
      <c r="E112" s="190" t="s">
        <v>94</v>
      </c>
      <c r="F112" s="190" t="s">
        <v>94</v>
      </c>
      <c r="G112" s="188" t="s">
        <v>94</v>
      </c>
      <c r="J112" s="168"/>
    </row>
    <row r="113" spans="1:10" ht="17.25" hidden="1" customHeight="1">
      <c r="A113" s="178" t="s">
        <v>303</v>
      </c>
      <c r="B113" s="190" t="s">
        <v>94</v>
      </c>
      <c r="C113" s="188" t="s">
        <v>94</v>
      </c>
      <c r="D113" s="181" t="s">
        <v>94</v>
      </c>
      <c r="E113" s="190" t="s">
        <v>94</v>
      </c>
      <c r="F113" s="190" t="s">
        <v>94</v>
      </c>
      <c r="G113" s="188" t="s">
        <v>94</v>
      </c>
      <c r="J113" s="168"/>
    </row>
    <row r="114" spans="1:10" ht="17.25" hidden="1" customHeight="1">
      <c r="A114" s="178" t="s">
        <v>304</v>
      </c>
      <c r="B114" s="190" t="s">
        <v>94</v>
      </c>
      <c r="C114" s="188" t="s">
        <v>94</v>
      </c>
      <c r="D114" s="181" t="s">
        <v>94</v>
      </c>
      <c r="E114" s="190" t="s">
        <v>94</v>
      </c>
      <c r="F114" s="190" t="s">
        <v>94</v>
      </c>
      <c r="G114" s="188" t="s">
        <v>94</v>
      </c>
      <c r="J114" s="168"/>
    </row>
    <row r="115" spans="1:10" ht="17.25" hidden="1" customHeight="1">
      <c r="A115" s="178" t="s">
        <v>305</v>
      </c>
      <c r="B115" s="190" t="s">
        <v>94</v>
      </c>
      <c r="C115" s="188" t="s">
        <v>94</v>
      </c>
      <c r="D115" s="181" t="s">
        <v>94</v>
      </c>
      <c r="E115" s="190" t="s">
        <v>94</v>
      </c>
      <c r="F115" s="190" t="s">
        <v>94</v>
      </c>
      <c r="G115" s="188" t="s">
        <v>94</v>
      </c>
      <c r="J115" s="168"/>
    </row>
    <row r="116" spans="1:10" ht="17.25" hidden="1" customHeight="1">
      <c r="A116" s="178" t="s">
        <v>306</v>
      </c>
      <c r="B116" s="190" t="s">
        <v>94</v>
      </c>
      <c r="C116" s="188" t="s">
        <v>94</v>
      </c>
      <c r="D116" s="181" t="s">
        <v>94</v>
      </c>
      <c r="E116" s="190" t="s">
        <v>94</v>
      </c>
      <c r="F116" s="190" t="s">
        <v>94</v>
      </c>
      <c r="G116" s="188" t="s">
        <v>94</v>
      </c>
      <c r="J116" s="168"/>
    </row>
    <row r="117" spans="1:10" ht="17.25" hidden="1" customHeight="1">
      <c r="A117" s="178" t="s">
        <v>307</v>
      </c>
      <c r="B117" s="190" t="s">
        <v>94</v>
      </c>
      <c r="C117" s="188" t="s">
        <v>94</v>
      </c>
      <c r="D117" s="181" t="s">
        <v>94</v>
      </c>
      <c r="E117" s="190" t="s">
        <v>94</v>
      </c>
      <c r="F117" s="190" t="s">
        <v>94</v>
      </c>
      <c r="G117" s="188" t="s">
        <v>94</v>
      </c>
      <c r="J117" s="168"/>
    </row>
    <row r="118" spans="1:10" ht="17.25" hidden="1" customHeight="1">
      <c r="A118" s="178" t="s">
        <v>308</v>
      </c>
      <c r="B118" s="190" t="s">
        <v>94</v>
      </c>
      <c r="C118" s="188" t="s">
        <v>94</v>
      </c>
      <c r="D118" s="181" t="s">
        <v>94</v>
      </c>
      <c r="E118" s="190" t="s">
        <v>94</v>
      </c>
      <c r="F118" s="190" t="s">
        <v>94</v>
      </c>
      <c r="G118" s="188" t="s">
        <v>94</v>
      </c>
      <c r="J118" s="168"/>
    </row>
    <row r="119" spans="1:10" ht="17.25" hidden="1" customHeight="1">
      <c r="A119" s="178" t="s">
        <v>311</v>
      </c>
      <c r="B119" s="190" t="s">
        <v>94</v>
      </c>
      <c r="C119" s="188" t="s">
        <v>94</v>
      </c>
      <c r="D119" s="181" t="s">
        <v>94</v>
      </c>
      <c r="E119" s="190" t="s">
        <v>94</v>
      </c>
      <c r="F119" s="190" t="s">
        <v>94</v>
      </c>
      <c r="G119" s="188" t="s">
        <v>94</v>
      </c>
      <c r="J119" s="168"/>
    </row>
    <row r="120" spans="1:10" ht="17.25" hidden="1" customHeight="1">
      <c r="A120" s="178"/>
      <c r="B120" s="190"/>
      <c r="C120" s="188"/>
      <c r="D120" s="181"/>
      <c r="E120" s="190"/>
      <c r="F120" s="190"/>
      <c r="G120" s="188"/>
      <c r="J120" s="168"/>
    </row>
    <row r="121" spans="1:10" ht="17.25" hidden="1" customHeight="1">
      <c r="A121" s="207">
        <v>2007</v>
      </c>
      <c r="B121" s="190"/>
      <c r="C121" s="188"/>
      <c r="D121" s="181"/>
      <c r="E121" s="190"/>
      <c r="F121" s="190"/>
      <c r="G121" s="188"/>
      <c r="J121" s="168"/>
    </row>
    <row r="122" spans="1:10" ht="17.25" hidden="1" customHeight="1">
      <c r="A122" s="178"/>
      <c r="B122" s="190"/>
      <c r="C122" s="188"/>
      <c r="D122" s="181"/>
      <c r="E122" s="190"/>
      <c r="F122" s="190"/>
      <c r="G122" s="188"/>
      <c r="J122" s="168"/>
    </row>
    <row r="123" spans="1:10" ht="17.25" hidden="1" customHeight="1">
      <c r="A123" s="178" t="s">
        <v>298</v>
      </c>
      <c r="B123" s="190" t="s">
        <v>94</v>
      </c>
      <c r="C123" s="188" t="s">
        <v>94</v>
      </c>
      <c r="D123" s="181" t="s">
        <v>94</v>
      </c>
      <c r="E123" s="190" t="s">
        <v>94</v>
      </c>
      <c r="F123" s="190" t="s">
        <v>94</v>
      </c>
      <c r="G123" s="188" t="s">
        <v>94</v>
      </c>
      <c r="J123" s="168"/>
    </row>
    <row r="124" spans="1:10" ht="17.25" hidden="1" customHeight="1">
      <c r="A124" s="178" t="s">
        <v>299</v>
      </c>
      <c r="B124" s="190" t="s">
        <v>94</v>
      </c>
      <c r="C124" s="188" t="s">
        <v>94</v>
      </c>
      <c r="D124" s="181" t="s">
        <v>94</v>
      </c>
      <c r="E124" s="190" t="s">
        <v>94</v>
      </c>
      <c r="F124" s="190" t="s">
        <v>94</v>
      </c>
      <c r="G124" s="188" t="s">
        <v>94</v>
      </c>
      <c r="J124" s="168"/>
    </row>
    <row r="125" spans="1:10" ht="17.25" hidden="1" customHeight="1">
      <c r="A125" s="178" t="s">
        <v>300</v>
      </c>
      <c r="B125" s="190" t="s">
        <v>94</v>
      </c>
      <c r="C125" s="188" t="s">
        <v>94</v>
      </c>
      <c r="D125" s="181" t="s">
        <v>94</v>
      </c>
      <c r="E125" s="190" t="s">
        <v>94</v>
      </c>
      <c r="F125" s="190" t="s">
        <v>94</v>
      </c>
      <c r="G125" s="188" t="s">
        <v>94</v>
      </c>
      <c r="J125" s="168"/>
    </row>
    <row r="126" spans="1:10" ht="17.25" hidden="1" customHeight="1">
      <c r="A126" s="178" t="s">
        <v>301</v>
      </c>
      <c r="B126" s="190" t="s">
        <v>94</v>
      </c>
      <c r="C126" s="188" t="s">
        <v>94</v>
      </c>
      <c r="D126" s="181" t="s">
        <v>94</v>
      </c>
      <c r="E126" s="190" t="s">
        <v>94</v>
      </c>
      <c r="F126" s="190" t="s">
        <v>94</v>
      </c>
      <c r="G126" s="188" t="s">
        <v>94</v>
      </c>
      <c r="J126" s="168"/>
    </row>
    <row r="127" spans="1:10" ht="17.25" hidden="1" customHeight="1">
      <c r="A127" s="178" t="s">
        <v>302</v>
      </c>
      <c r="B127" s="190" t="s">
        <v>94</v>
      </c>
      <c r="C127" s="188" t="s">
        <v>94</v>
      </c>
      <c r="D127" s="181" t="s">
        <v>94</v>
      </c>
      <c r="E127" s="190" t="s">
        <v>94</v>
      </c>
      <c r="F127" s="190" t="s">
        <v>94</v>
      </c>
      <c r="G127" s="188" t="s">
        <v>94</v>
      </c>
      <c r="J127" s="168"/>
    </row>
    <row r="128" spans="1:10" ht="17.25" hidden="1" customHeight="1">
      <c r="A128" s="178" t="s">
        <v>303</v>
      </c>
      <c r="B128" s="190" t="s">
        <v>94</v>
      </c>
      <c r="C128" s="188" t="s">
        <v>94</v>
      </c>
      <c r="D128" s="181" t="s">
        <v>94</v>
      </c>
      <c r="E128" s="190" t="s">
        <v>94</v>
      </c>
      <c r="F128" s="190" t="s">
        <v>94</v>
      </c>
      <c r="G128" s="188" t="s">
        <v>94</v>
      </c>
      <c r="J128" s="168"/>
    </row>
    <row r="129" spans="1:10" ht="17.25" hidden="1" customHeight="1">
      <c r="A129" s="178" t="s">
        <v>304</v>
      </c>
      <c r="B129" s="190" t="s">
        <v>94</v>
      </c>
      <c r="C129" s="188" t="s">
        <v>94</v>
      </c>
      <c r="D129" s="181" t="s">
        <v>94</v>
      </c>
      <c r="E129" s="190" t="s">
        <v>94</v>
      </c>
      <c r="F129" s="190" t="s">
        <v>94</v>
      </c>
      <c r="G129" s="188" t="s">
        <v>94</v>
      </c>
      <c r="J129" s="168"/>
    </row>
    <row r="130" spans="1:10" ht="17.25" hidden="1" customHeight="1">
      <c r="A130" s="178" t="s">
        <v>305</v>
      </c>
      <c r="B130" s="190" t="s">
        <v>94</v>
      </c>
      <c r="C130" s="188" t="s">
        <v>94</v>
      </c>
      <c r="D130" s="181" t="s">
        <v>94</v>
      </c>
      <c r="E130" s="190" t="s">
        <v>94</v>
      </c>
      <c r="F130" s="190" t="s">
        <v>94</v>
      </c>
      <c r="G130" s="188" t="s">
        <v>94</v>
      </c>
      <c r="J130" s="168"/>
    </row>
    <row r="131" spans="1:10" ht="17.25" hidden="1" customHeight="1">
      <c r="A131" s="178" t="s">
        <v>306</v>
      </c>
      <c r="B131" s="190" t="s">
        <v>94</v>
      </c>
      <c r="C131" s="188" t="s">
        <v>94</v>
      </c>
      <c r="D131" s="181" t="s">
        <v>94</v>
      </c>
      <c r="E131" s="190" t="s">
        <v>94</v>
      </c>
      <c r="F131" s="190" t="s">
        <v>94</v>
      </c>
      <c r="G131" s="188" t="s">
        <v>94</v>
      </c>
      <c r="J131" s="168"/>
    </row>
    <row r="132" spans="1:10" ht="17.25" hidden="1" customHeight="1">
      <c r="A132" s="178" t="s">
        <v>307</v>
      </c>
      <c r="B132" s="190" t="s">
        <v>94</v>
      </c>
      <c r="C132" s="188" t="s">
        <v>94</v>
      </c>
      <c r="D132" s="181" t="s">
        <v>94</v>
      </c>
      <c r="E132" s="190" t="s">
        <v>94</v>
      </c>
      <c r="F132" s="190" t="s">
        <v>94</v>
      </c>
      <c r="G132" s="188" t="s">
        <v>94</v>
      </c>
      <c r="J132" s="168"/>
    </row>
    <row r="133" spans="1:10" ht="17.25" hidden="1" customHeight="1">
      <c r="A133" s="178" t="s">
        <v>308</v>
      </c>
      <c r="B133" s="190" t="s">
        <v>94</v>
      </c>
      <c r="C133" s="188" t="s">
        <v>94</v>
      </c>
      <c r="D133" s="181" t="s">
        <v>94</v>
      </c>
      <c r="E133" s="190" t="s">
        <v>94</v>
      </c>
      <c r="F133" s="190" t="s">
        <v>94</v>
      </c>
      <c r="G133" s="188" t="s">
        <v>94</v>
      </c>
      <c r="J133" s="168"/>
    </row>
    <row r="134" spans="1:10" ht="17.25" hidden="1" customHeight="1">
      <c r="A134" s="178" t="s">
        <v>311</v>
      </c>
      <c r="B134" s="190" t="s">
        <v>94</v>
      </c>
      <c r="C134" s="188" t="s">
        <v>94</v>
      </c>
      <c r="D134" s="181" t="s">
        <v>94</v>
      </c>
      <c r="E134" s="190" t="s">
        <v>94</v>
      </c>
      <c r="F134" s="190" t="s">
        <v>94</v>
      </c>
      <c r="G134" s="188" t="s">
        <v>94</v>
      </c>
      <c r="J134" s="168"/>
    </row>
    <row r="135" spans="1:10" ht="17.25" hidden="1" customHeight="1">
      <c r="A135" s="178"/>
      <c r="B135" s="190"/>
      <c r="C135" s="188"/>
      <c r="D135" s="181"/>
      <c r="E135" s="190"/>
      <c r="F135" s="190"/>
      <c r="G135" s="188"/>
      <c r="J135" s="168"/>
    </row>
    <row r="136" spans="1:10" ht="17.25" hidden="1" customHeight="1">
      <c r="A136" s="207">
        <v>2008</v>
      </c>
      <c r="B136" s="190"/>
      <c r="C136" s="188"/>
      <c r="D136" s="181"/>
      <c r="E136" s="190"/>
      <c r="F136" s="190"/>
      <c r="G136" s="188"/>
      <c r="J136" s="168"/>
    </row>
    <row r="137" spans="1:10" ht="17.25" hidden="1" customHeight="1">
      <c r="A137" s="178"/>
      <c r="B137" s="190"/>
      <c r="C137" s="188"/>
      <c r="D137" s="181"/>
      <c r="E137" s="190"/>
      <c r="F137" s="190"/>
      <c r="G137" s="188"/>
      <c r="J137" s="168"/>
    </row>
    <row r="138" spans="1:10" ht="17.25" hidden="1" customHeight="1">
      <c r="A138" s="178" t="s">
        <v>298</v>
      </c>
      <c r="B138" s="190" t="s">
        <v>94</v>
      </c>
      <c r="C138" s="188" t="s">
        <v>94</v>
      </c>
      <c r="D138" s="181" t="s">
        <v>94</v>
      </c>
      <c r="E138" s="190" t="s">
        <v>94</v>
      </c>
      <c r="F138" s="190" t="s">
        <v>94</v>
      </c>
      <c r="G138" s="188" t="s">
        <v>94</v>
      </c>
      <c r="J138" s="168"/>
    </row>
    <row r="139" spans="1:10" ht="17.25" hidden="1" customHeight="1">
      <c r="A139" s="178" t="s">
        <v>299</v>
      </c>
      <c r="B139" s="190" t="s">
        <v>94</v>
      </c>
      <c r="C139" s="188" t="s">
        <v>94</v>
      </c>
      <c r="D139" s="181" t="s">
        <v>94</v>
      </c>
      <c r="E139" s="190" t="s">
        <v>94</v>
      </c>
      <c r="F139" s="190" t="s">
        <v>94</v>
      </c>
      <c r="G139" s="188" t="s">
        <v>94</v>
      </c>
      <c r="J139" s="168"/>
    </row>
    <row r="140" spans="1:10" ht="17.25" hidden="1" customHeight="1">
      <c r="A140" s="178" t="s">
        <v>300</v>
      </c>
      <c r="B140" s="190" t="s">
        <v>94</v>
      </c>
      <c r="C140" s="188" t="s">
        <v>94</v>
      </c>
      <c r="D140" s="181" t="s">
        <v>94</v>
      </c>
      <c r="E140" s="190" t="s">
        <v>94</v>
      </c>
      <c r="F140" s="190" t="s">
        <v>94</v>
      </c>
      <c r="G140" s="188" t="s">
        <v>94</v>
      </c>
      <c r="J140" s="168"/>
    </row>
    <row r="141" spans="1:10" ht="17.25" hidden="1" customHeight="1">
      <c r="A141" s="178" t="s">
        <v>301</v>
      </c>
      <c r="B141" s="190" t="s">
        <v>94</v>
      </c>
      <c r="C141" s="188" t="s">
        <v>94</v>
      </c>
      <c r="D141" s="181" t="s">
        <v>94</v>
      </c>
      <c r="E141" s="190" t="s">
        <v>94</v>
      </c>
      <c r="F141" s="190" t="s">
        <v>94</v>
      </c>
      <c r="G141" s="188" t="s">
        <v>94</v>
      </c>
      <c r="J141" s="168"/>
    </row>
    <row r="142" spans="1:10" ht="17.25" hidden="1" customHeight="1">
      <c r="A142" s="178" t="s">
        <v>302</v>
      </c>
      <c r="B142" s="190" t="s">
        <v>94</v>
      </c>
      <c r="C142" s="188" t="s">
        <v>94</v>
      </c>
      <c r="D142" s="181" t="s">
        <v>94</v>
      </c>
      <c r="E142" s="190" t="s">
        <v>94</v>
      </c>
      <c r="F142" s="190" t="s">
        <v>94</v>
      </c>
      <c r="G142" s="188" t="s">
        <v>94</v>
      </c>
      <c r="J142" s="168"/>
    </row>
    <row r="143" spans="1:10" ht="17.25" hidden="1" customHeight="1">
      <c r="A143" s="178" t="s">
        <v>303</v>
      </c>
      <c r="B143" s="190" t="s">
        <v>94</v>
      </c>
      <c r="C143" s="188" t="s">
        <v>94</v>
      </c>
      <c r="D143" s="181" t="s">
        <v>94</v>
      </c>
      <c r="E143" s="190" t="s">
        <v>94</v>
      </c>
      <c r="F143" s="190" t="s">
        <v>94</v>
      </c>
      <c r="G143" s="188" t="s">
        <v>94</v>
      </c>
      <c r="J143" s="168"/>
    </row>
    <row r="144" spans="1:10" ht="17.25" hidden="1" customHeight="1">
      <c r="A144" s="178" t="s">
        <v>304</v>
      </c>
      <c r="B144" s="190" t="s">
        <v>94</v>
      </c>
      <c r="C144" s="188" t="s">
        <v>94</v>
      </c>
      <c r="D144" s="181" t="s">
        <v>94</v>
      </c>
      <c r="E144" s="190" t="s">
        <v>94</v>
      </c>
      <c r="F144" s="190" t="s">
        <v>94</v>
      </c>
      <c r="G144" s="188" t="s">
        <v>94</v>
      </c>
      <c r="J144" s="168"/>
    </row>
    <row r="145" spans="1:10" ht="17.25" hidden="1" customHeight="1">
      <c r="A145" s="178" t="s">
        <v>305</v>
      </c>
      <c r="B145" s="190" t="s">
        <v>94</v>
      </c>
      <c r="C145" s="188" t="s">
        <v>94</v>
      </c>
      <c r="D145" s="181" t="s">
        <v>94</v>
      </c>
      <c r="E145" s="190" t="s">
        <v>94</v>
      </c>
      <c r="F145" s="190" t="s">
        <v>94</v>
      </c>
      <c r="G145" s="188" t="s">
        <v>94</v>
      </c>
      <c r="J145" s="168"/>
    </row>
    <row r="146" spans="1:10" ht="17.25" hidden="1" customHeight="1">
      <c r="A146" s="178" t="s">
        <v>306</v>
      </c>
      <c r="B146" s="190" t="s">
        <v>94</v>
      </c>
      <c r="C146" s="188" t="s">
        <v>94</v>
      </c>
      <c r="D146" s="181" t="s">
        <v>94</v>
      </c>
      <c r="E146" s="190" t="s">
        <v>94</v>
      </c>
      <c r="F146" s="190" t="s">
        <v>94</v>
      </c>
      <c r="G146" s="188" t="s">
        <v>94</v>
      </c>
      <c r="J146" s="168"/>
    </row>
    <row r="147" spans="1:10" ht="17.25" hidden="1" customHeight="1">
      <c r="A147" s="178" t="s">
        <v>307</v>
      </c>
      <c r="B147" s="190" t="s">
        <v>94</v>
      </c>
      <c r="C147" s="188" t="s">
        <v>94</v>
      </c>
      <c r="D147" s="181" t="s">
        <v>94</v>
      </c>
      <c r="E147" s="190" t="s">
        <v>94</v>
      </c>
      <c r="F147" s="190" t="s">
        <v>94</v>
      </c>
      <c r="G147" s="188" t="s">
        <v>94</v>
      </c>
      <c r="J147" s="168"/>
    </row>
    <row r="148" spans="1:10" ht="17.25" hidden="1" customHeight="1">
      <c r="A148" s="178" t="s">
        <v>308</v>
      </c>
      <c r="B148" s="190" t="s">
        <v>94</v>
      </c>
      <c r="C148" s="188" t="s">
        <v>94</v>
      </c>
      <c r="D148" s="181" t="s">
        <v>94</v>
      </c>
      <c r="E148" s="190" t="s">
        <v>94</v>
      </c>
      <c r="F148" s="190" t="s">
        <v>94</v>
      </c>
      <c r="G148" s="188" t="s">
        <v>94</v>
      </c>
      <c r="J148" s="168"/>
    </row>
    <row r="149" spans="1:10" ht="17.25" hidden="1" customHeight="1">
      <c r="A149" s="178" t="s">
        <v>311</v>
      </c>
      <c r="B149" s="190" t="s">
        <v>94</v>
      </c>
      <c r="C149" s="188" t="s">
        <v>94</v>
      </c>
      <c r="D149" s="181" t="s">
        <v>94</v>
      </c>
      <c r="E149" s="190" t="s">
        <v>94</v>
      </c>
      <c r="F149" s="190" t="s">
        <v>94</v>
      </c>
      <c r="G149" s="188" t="s">
        <v>94</v>
      </c>
      <c r="J149" s="168"/>
    </row>
    <row r="150" spans="1:10" ht="17.25" hidden="1" customHeight="1">
      <c r="A150" s="178"/>
      <c r="B150" s="190"/>
      <c r="C150" s="188"/>
      <c r="D150" s="181"/>
      <c r="E150" s="190"/>
      <c r="F150" s="190"/>
      <c r="G150" s="188"/>
      <c r="J150" s="168"/>
    </row>
    <row r="151" spans="1:10" ht="17.25" hidden="1" customHeight="1">
      <c r="A151" s="207">
        <v>2011</v>
      </c>
      <c r="B151" s="190"/>
      <c r="C151" s="188"/>
      <c r="D151" s="181"/>
      <c r="E151" s="190"/>
      <c r="F151" s="190"/>
      <c r="G151" s="188"/>
      <c r="J151" s="168"/>
    </row>
    <row r="152" spans="1:10" ht="17.25" hidden="1" customHeight="1">
      <c r="A152" s="178"/>
      <c r="B152" s="190"/>
      <c r="C152" s="188"/>
      <c r="D152" s="181"/>
      <c r="E152" s="190"/>
      <c r="F152" s="190"/>
      <c r="G152" s="188"/>
      <c r="J152" s="168"/>
    </row>
    <row r="153" spans="1:10" ht="17.25" hidden="1" customHeight="1">
      <c r="A153" s="178" t="s">
        <v>298</v>
      </c>
      <c r="B153" s="190"/>
      <c r="C153" s="188"/>
      <c r="D153" s="181"/>
      <c r="E153" s="190"/>
      <c r="F153" s="190"/>
      <c r="G153" s="188"/>
      <c r="J153" s="168"/>
    </row>
    <row r="154" spans="1:10" ht="17.25" hidden="1" customHeight="1">
      <c r="A154" s="178" t="s">
        <v>299</v>
      </c>
      <c r="B154" s="190"/>
      <c r="C154" s="188"/>
      <c r="D154" s="181"/>
      <c r="E154" s="190"/>
      <c r="F154" s="190"/>
      <c r="G154" s="188"/>
      <c r="J154" s="168"/>
    </row>
    <row r="155" spans="1:10" ht="17.25" hidden="1" customHeight="1">
      <c r="A155" s="178" t="s">
        <v>300</v>
      </c>
      <c r="B155" s="190"/>
      <c r="C155" s="188"/>
      <c r="D155" s="181"/>
      <c r="E155" s="190"/>
      <c r="F155" s="190"/>
      <c r="G155" s="188"/>
      <c r="J155" s="168"/>
    </row>
    <row r="156" spans="1:10" ht="17.25" hidden="1" customHeight="1">
      <c r="A156" s="178" t="s">
        <v>301</v>
      </c>
      <c r="B156" s="190"/>
      <c r="C156" s="188"/>
      <c r="D156" s="181"/>
      <c r="E156" s="190"/>
      <c r="F156" s="190"/>
      <c r="G156" s="188"/>
      <c r="J156" s="168"/>
    </row>
    <row r="157" spans="1:10" ht="17.25" hidden="1" customHeight="1">
      <c r="A157" s="178" t="s">
        <v>302</v>
      </c>
      <c r="B157" s="190"/>
      <c r="C157" s="188"/>
      <c r="D157" s="181"/>
      <c r="E157" s="190"/>
      <c r="F157" s="190"/>
      <c r="G157" s="188"/>
      <c r="J157" s="168"/>
    </row>
    <row r="158" spans="1:10" ht="17.25" hidden="1" customHeight="1">
      <c r="A158" s="178" t="s">
        <v>303</v>
      </c>
      <c r="B158" s="190"/>
      <c r="C158" s="188"/>
      <c r="D158" s="181"/>
      <c r="E158" s="190"/>
      <c r="F158" s="190"/>
      <c r="G158" s="188"/>
      <c r="J158" s="168"/>
    </row>
    <row r="159" spans="1:10" ht="17.25" hidden="1" customHeight="1">
      <c r="A159" s="178" t="s">
        <v>304</v>
      </c>
      <c r="B159" s="190"/>
      <c r="C159" s="188"/>
      <c r="D159" s="181"/>
      <c r="E159" s="190"/>
      <c r="F159" s="190"/>
      <c r="G159" s="188"/>
      <c r="J159" s="168"/>
    </row>
    <row r="160" spans="1:10" ht="17.25" hidden="1" customHeight="1">
      <c r="A160" s="178" t="s">
        <v>305</v>
      </c>
      <c r="B160" s="190"/>
      <c r="C160" s="188"/>
      <c r="D160" s="181"/>
      <c r="E160" s="190"/>
      <c r="F160" s="190"/>
      <c r="G160" s="188"/>
      <c r="J160" s="168"/>
    </row>
    <row r="161" spans="1:10" ht="17.25" hidden="1" customHeight="1">
      <c r="A161" s="178" t="s">
        <v>306</v>
      </c>
      <c r="B161" s="190"/>
      <c r="C161" s="188"/>
      <c r="D161" s="181"/>
      <c r="E161" s="190"/>
      <c r="F161" s="190"/>
      <c r="G161" s="188"/>
      <c r="J161" s="168"/>
    </row>
    <row r="162" spans="1:10" ht="17.25" hidden="1" customHeight="1">
      <c r="A162" s="178" t="s">
        <v>307</v>
      </c>
      <c r="B162" s="190"/>
      <c r="C162" s="188"/>
      <c r="D162" s="181"/>
      <c r="E162" s="190"/>
      <c r="F162" s="190"/>
      <c r="G162" s="188"/>
      <c r="J162" s="168"/>
    </row>
    <row r="163" spans="1:10" ht="17.25" hidden="1" customHeight="1">
      <c r="A163" s="178" t="s">
        <v>308</v>
      </c>
      <c r="B163" s="190"/>
      <c r="C163" s="188"/>
      <c r="D163" s="181"/>
      <c r="E163" s="190"/>
      <c r="F163" s="190"/>
      <c r="G163" s="188"/>
      <c r="J163" s="168"/>
    </row>
    <row r="164" spans="1:10" ht="17.25" hidden="1" customHeight="1">
      <c r="A164" s="178" t="s">
        <v>311</v>
      </c>
      <c r="B164" s="190"/>
      <c r="C164" s="188"/>
      <c r="D164" s="181"/>
      <c r="E164" s="190"/>
      <c r="F164" s="190"/>
      <c r="G164" s="188"/>
      <c r="J164" s="168"/>
    </row>
    <row r="165" spans="1:10" ht="13.2" hidden="1" customHeight="1" thickBot="1">
      <c r="A165" s="208"/>
      <c r="B165" s="190"/>
      <c r="C165" s="194"/>
      <c r="D165" s="181"/>
      <c r="E165" s="190" t="s">
        <v>296</v>
      </c>
      <c r="F165" s="190"/>
      <c r="G165" s="194"/>
      <c r="J165" s="168"/>
    </row>
    <row r="166" spans="1:10" ht="13.2" hidden="1" customHeight="1" thickTop="1">
      <c r="A166" s="209"/>
      <c r="B166" s="210" t="s">
        <v>296</v>
      </c>
      <c r="C166" s="210"/>
      <c r="D166" s="210"/>
      <c r="E166" s="210"/>
      <c r="F166" s="210"/>
      <c r="G166" s="171"/>
    </row>
    <row r="167" spans="1:10" ht="15.75" hidden="1" customHeight="1">
      <c r="A167" s="211" t="s">
        <v>690</v>
      </c>
      <c r="B167" s="171"/>
      <c r="D167" s="167" t="s">
        <v>296</v>
      </c>
    </row>
    <row r="168" spans="1:10" ht="15.75" hidden="1" customHeight="1">
      <c r="A168" s="211" t="s">
        <v>691</v>
      </c>
      <c r="B168" s="171"/>
      <c r="D168" s="167" t="s">
        <v>296</v>
      </c>
      <c r="I168" s="167" t="s">
        <v>296</v>
      </c>
    </row>
    <row r="169" spans="1:10" ht="15" hidden="1" customHeight="1">
      <c r="A169" s="211" t="s">
        <v>692</v>
      </c>
      <c r="B169" s="171"/>
      <c r="D169" s="167" t="s">
        <v>296</v>
      </c>
    </row>
    <row r="170" spans="1:10" ht="13.5" hidden="1" customHeight="1">
      <c r="A170" s="211" t="s">
        <v>693</v>
      </c>
      <c r="B170" s="171"/>
      <c r="D170" s="167" t="s">
        <v>296</v>
      </c>
    </row>
    <row r="171" spans="1:10" ht="15" hidden="1" customHeight="1">
      <c r="A171" s="211" t="s">
        <v>694</v>
      </c>
      <c r="B171" s="171"/>
      <c r="D171" s="167" t="s">
        <v>296</v>
      </c>
    </row>
    <row r="172" spans="1:10" ht="15" hidden="1" customHeight="1">
      <c r="A172" s="211"/>
    </row>
    <row r="173" spans="1:10" ht="9.75" hidden="1" customHeight="1">
      <c r="A173" s="211"/>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3"/>
      <c r="H190" s="173"/>
      <c r="I190" s="173"/>
      <c r="J190" s="173"/>
      <c r="K190" s="213"/>
      <c r="L190" s="213"/>
      <c r="M190" s="213"/>
    </row>
    <row r="191" spans="7:13" ht="13.2" hidden="1" customHeight="1">
      <c r="G191" s="173"/>
      <c r="H191" s="173"/>
      <c r="I191" s="173"/>
      <c r="J191" s="173"/>
      <c r="K191" s="213"/>
      <c r="L191" s="213"/>
      <c r="M191" s="213"/>
    </row>
    <row r="192" spans="7:13" ht="13.2" hidden="1" customHeight="1">
      <c r="G192" s="173"/>
      <c r="H192" s="173"/>
      <c r="I192" s="173"/>
      <c r="J192" s="173"/>
      <c r="K192" s="213"/>
      <c r="L192" s="213"/>
      <c r="M192" s="213"/>
    </row>
    <row r="193" spans="7:13" ht="13.2" hidden="1" customHeight="1">
      <c r="G193" s="173"/>
      <c r="H193" s="173"/>
      <c r="I193" s="173"/>
      <c r="J193" s="173"/>
      <c r="K193" s="213"/>
      <c r="L193" s="213"/>
      <c r="M193" s="213"/>
    </row>
    <row r="194" spans="7:13" ht="13.2" hidden="1" customHeight="1">
      <c r="G194" s="173"/>
      <c r="H194" s="173"/>
      <c r="I194" s="173"/>
      <c r="J194" s="173"/>
      <c r="K194" s="213"/>
      <c r="L194" s="213"/>
      <c r="M194" s="213"/>
    </row>
    <row r="195" spans="7:13" ht="13.2" hidden="1" customHeight="1">
      <c r="G195" s="173"/>
      <c r="H195" s="173"/>
      <c r="I195" s="173"/>
      <c r="J195" s="173"/>
      <c r="K195" s="213"/>
      <c r="L195" s="213"/>
      <c r="M195" s="213"/>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c r="CG220" s="214"/>
      <c r="CH220" s="214"/>
      <c r="CI220" s="214"/>
      <c r="CJ220" s="214"/>
      <c r="CK220" s="214"/>
      <c r="CL220" s="214"/>
      <c r="CM220" s="214"/>
      <c r="CN220" s="214"/>
      <c r="CO220" s="214"/>
      <c r="CP220" s="214"/>
      <c r="CQ220" s="214"/>
      <c r="CR220" s="214"/>
      <c r="CS220" s="214"/>
      <c r="CT220" s="214"/>
      <c r="CU220" s="214"/>
      <c r="CV220" s="214"/>
      <c r="CW220" s="214"/>
      <c r="CX220" s="214"/>
      <c r="CY220" s="214"/>
      <c r="CZ220" s="214"/>
      <c r="DA220" s="214"/>
      <c r="DB220" s="214"/>
      <c r="DC220" s="214"/>
      <c r="DD220" s="214"/>
      <c r="DE220" s="214"/>
      <c r="DF220" s="214"/>
      <c r="DG220" s="214"/>
      <c r="DH220" s="214"/>
      <c r="DI220" s="214"/>
      <c r="DJ220" s="214"/>
      <c r="DK220" s="214"/>
      <c r="DL220" s="214"/>
      <c r="DM220" s="214"/>
      <c r="DN220" s="214"/>
      <c r="DO220" s="214"/>
      <c r="DP220" s="214"/>
      <c r="DQ220" s="214"/>
      <c r="DR220" s="214"/>
      <c r="DS220" s="214"/>
      <c r="DT220" s="214"/>
      <c r="DU220" s="214"/>
      <c r="DV220" s="214"/>
      <c r="DW220" s="214"/>
      <c r="DX220" s="214"/>
      <c r="DY220" s="214"/>
      <c r="DZ220" s="214"/>
      <c r="EA220" s="214"/>
      <c r="EB220" s="214"/>
      <c r="EC220" s="214"/>
      <c r="ED220" s="214"/>
      <c r="EE220" s="214"/>
      <c r="EF220" s="214"/>
      <c r="EG220" s="214"/>
      <c r="EH220" s="214"/>
      <c r="EI220" s="214"/>
      <c r="EJ220" s="214"/>
      <c r="EK220" s="214"/>
      <c r="EL220" s="214"/>
      <c r="EM220" s="214"/>
      <c r="EN220" s="214"/>
      <c r="EO220" s="214"/>
      <c r="EP220" s="214"/>
      <c r="EQ220" s="214"/>
      <c r="ER220" s="214"/>
      <c r="ES220" s="214"/>
      <c r="ET220" s="214"/>
      <c r="EU220" s="214"/>
      <c r="EV220" s="214"/>
      <c r="EW220" s="214"/>
      <c r="EX220" s="214"/>
      <c r="EY220" s="214"/>
      <c r="EZ220" s="214"/>
      <c r="FA220" s="214"/>
      <c r="FB220" s="214"/>
      <c r="FC220" s="214"/>
      <c r="FD220" s="214"/>
      <c r="FE220" s="214"/>
      <c r="FF220" s="214"/>
      <c r="FG220" s="214"/>
      <c r="FH220" s="214"/>
      <c r="FI220" s="214"/>
      <c r="FJ220" s="214"/>
      <c r="FK220" s="214"/>
      <c r="FL220" s="214"/>
      <c r="FM220" s="214"/>
      <c r="FN220" s="214"/>
      <c r="FO220" s="214"/>
      <c r="FP220" s="214"/>
      <c r="FQ220" s="214"/>
      <c r="FR220" s="214"/>
      <c r="FS220" s="214"/>
      <c r="FT220" s="214"/>
      <c r="FU220" s="214"/>
      <c r="FV220" s="214"/>
      <c r="FW220" s="214"/>
      <c r="FX220" s="214"/>
      <c r="FY220" s="214"/>
      <c r="FZ220" s="214"/>
      <c r="GA220" s="214"/>
      <c r="GB220" s="214"/>
      <c r="GC220" s="214"/>
      <c r="GD220" s="214"/>
      <c r="GE220" s="214"/>
      <c r="GF220" s="214"/>
      <c r="GG220" s="214"/>
      <c r="GH220" s="214"/>
      <c r="GI220" s="214"/>
      <c r="GJ220" s="214"/>
      <c r="GK220" s="214"/>
      <c r="GL220" s="214"/>
      <c r="GM220" s="214"/>
      <c r="GN220" s="214"/>
      <c r="GO220" s="214"/>
      <c r="GP220" s="214"/>
      <c r="GQ220" s="214"/>
      <c r="GR220" s="214"/>
      <c r="GS220" s="214"/>
      <c r="GT220" s="214"/>
      <c r="GU220" s="214"/>
      <c r="GV220" s="214"/>
      <c r="GW220" s="214"/>
      <c r="GX220" s="214"/>
      <c r="GY220" s="214"/>
      <c r="GZ220" s="214"/>
      <c r="HA220" s="214"/>
      <c r="HB220" s="214"/>
      <c r="HC220" s="214"/>
      <c r="HD220" s="214"/>
      <c r="HE220" s="214"/>
      <c r="HF220" s="214"/>
      <c r="HG220" s="214"/>
      <c r="HH220" s="214"/>
      <c r="HI220" s="214"/>
      <c r="HJ220" s="214"/>
      <c r="HK220" s="214"/>
      <c r="HL220" s="214"/>
      <c r="HM220" s="214"/>
      <c r="HN220" s="214"/>
      <c r="HO220" s="214"/>
      <c r="HP220" s="214"/>
      <c r="HQ220" s="214"/>
      <c r="HR220" s="214"/>
      <c r="HS220" s="214"/>
      <c r="HT220" s="214"/>
      <c r="HU220" s="214"/>
      <c r="HV220" s="214"/>
      <c r="HW220" s="214"/>
      <c r="HX220" s="214"/>
      <c r="HY220" s="214"/>
      <c r="HZ220" s="214"/>
      <c r="IA220" s="214"/>
      <c r="IB220" s="214"/>
      <c r="IC220" s="214"/>
      <c r="ID220" s="214"/>
      <c r="IE220" s="214"/>
      <c r="IF220" s="214"/>
      <c r="IG220" s="214"/>
      <c r="IH220" s="214"/>
      <c r="II220" s="214"/>
      <c r="IJ220" s="214"/>
      <c r="IK220" s="214"/>
      <c r="IL220" s="214"/>
      <c r="IM220" s="214"/>
      <c r="IN220" s="214"/>
      <c r="IO220" s="214"/>
      <c r="IP220" s="214"/>
      <c r="IQ220" s="214"/>
      <c r="IR220" s="214"/>
    </row>
    <row r="221" spans="13:252" ht="10.95" hidden="1" customHeight="1" thickTop="1" thickBot="1">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c r="CG221" s="214"/>
      <c r="CH221" s="214"/>
      <c r="CI221" s="214"/>
      <c r="CJ221" s="214"/>
      <c r="CK221" s="214"/>
      <c r="CL221" s="214"/>
      <c r="CM221" s="214"/>
      <c r="CN221" s="214"/>
      <c r="CO221" s="214"/>
      <c r="CP221" s="214"/>
      <c r="CQ221" s="214"/>
      <c r="CR221" s="214"/>
      <c r="CS221" s="214"/>
      <c r="CT221" s="214"/>
      <c r="CU221" s="214"/>
      <c r="CV221" s="214"/>
      <c r="CW221" s="214"/>
      <c r="CX221" s="214"/>
      <c r="CY221" s="214"/>
      <c r="CZ221" s="214"/>
      <c r="DA221" s="214"/>
      <c r="DB221" s="214"/>
      <c r="DC221" s="214"/>
      <c r="DD221" s="214"/>
      <c r="DE221" s="214"/>
      <c r="DF221" s="214"/>
      <c r="DG221" s="214"/>
      <c r="DH221" s="214"/>
      <c r="DI221" s="214"/>
      <c r="DJ221" s="214"/>
      <c r="DK221" s="214"/>
      <c r="DL221" s="214"/>
      <c r="DM221" s="214"/>
      <c r="DN221" s="214"/>
      <c r="DO221" s="214"/>
      <c r="DP221" s="214"/>
      <c r="DQ221" s="214"/>
      <c r="DR221" s="214"/>
      <c r="DS221" s="214"/>
      <c r="DT221" s="214"/>
      <c r="DU221" s="214"/>
      <c r="DV221" s="214"/>
      <c r="DW221" s="214"/>
      <c r="DX221" s="214"/>
      <c r="DY221" s="214"/>
      <c r="DZ221" s="214"/>
      <c r="EA221" s="214"/>
      <c r="EB221" s="214"/>
      <c r="EC221" s="214"/>
      <c r="ED221" s="214"/>
      <c r="EE221" s="214"/>
      <c r="EF221" s="214"/>
      <c r="EG221" s="214"/>
      <c r="EH221" s="214"/>
      <c r="EI221" s="214"/>
      <c r="EJ221" s="214"/>
      <c r="EK221" s="214"/>
      <c r="EL221" s="214"/>
      <c r="EM221" s="214"/>
      <c r="EN221" s="214"/>
      <c r="EO221" s="214"/>
      <c r="EP221" s="214"/>
      <c r="EQ221" s="214"/>
      <c r="ER221" s="214"/>
      <c r="ES221" s="214"/>
      <c r="ET221" s="214"/>
      <c r="EU221" s="214"/>
      <c r="EV221" s="214"/>
      <c r="EW221" s="214"/>
      <c r="EX221" s="214"/>
      <c r="EY221" s="214"/>
      <c r="EZ221" s="214"/>
      <c r="FA221" s="214"/>
      <c r="FB221" s="214"/>
      <c r="FC221" s="214"/>
      <c r="FD221" s="214"/>
      <c r="FE221" s="214"/>
      <c r="FF221" s="214"/>
      <c r="FG221" s="214"/>
      <c r="FH221" s="214"/>
      <c r="FI221" s="214"/>
      <c r="FJ221" s="214"/>
      <c r="FK221" s="214"/>
      <c r="FL221" s="214"/>
      <c r="FM221" s="214"/>
      <c r="FN221" s="214"/>
      <c r="FO221" s="214"/>
      <c r="FP221" s="214"/>
      <c r="FQ221" s="214"/>
      <c r="FR221" s="214"/>
      <c r="FS221" s="214"/>
      <c r="FT221" s="214"/>
      <c r="FU221" s="214"/>
      <c r="FV221" s="214"/>
      <c r="FW221" s="214"/>
      <c r="FX221" s="214"/>
      <c r="FY221" s="214"/>
      <c r="FZ221" s="214"/>
      <c r="GA221" s="214"/>
      <c r="GB221" s="214"/>
      <c r="GC221" s="214"/>
      <c r="GD221" s="214"/>
      <c r="GE221" s="214"/>
      <c r="GF221" s="214"/>
      <c r="GG221" s="214"/>
      <c r="GH221" s="214"/>
      <c r="GI221" s="214"/>
      <c r="GJ221" s="214"/>
      <c r="GK221" s="214"/>
      <c r="GL221" s="214"/>
      <c r="GM221" s="214"/>
      <c r="GN221" s="214"/>
      <c r="GO221" s="214"/>
      <c r="GP221" s="214"/>
      <c r="GQ221" s="214"/>
      <c r="GR221" s="214"/>
      <c r="GS221" s="214"/>
      <c r="GT221" s="214"/>
      <c r="GU221" s="214"/>
      <c r="GV221" s="214"/>
      <c r="GW221" s="214"/>
      <c r="GX221" s="214"/>
      <c r="GY221" s="214"/>
      <c r="GZ221" s="214"/>
      <c r="HA221" s="214"/>
      <c r="HB221" s="214"/>
      <c r="HC221" s="214"/>
      <c r="HD221" s="214"/>
      <c r="HE221" s="214"/>
      <c r="HF221" s="214"/>
      <c r="HG221" s="214"/>
      <c r="HH221" s="214"/>
      <c r="HI221" s="214"/>
      <c r="HJ221" s="214"/>
      <c r="HK221" s="214"/>
      <c r="HL221" s="214"/>
      <c r="HM221" s="214"/>
      <c r="HN221" s="214"/>
      <c r="HO221" s="214"/>
      <c r="HP221" s="214"/>
      <c r="HQ221" s="214"/>
      <c r="HR221" s="214"/>
      <c r="HS221" s="214"/>
      <c r="HT221" s="214"/>
      <c r="HU221" s="214"/>
      <c r="HV221" s="214"/>
      <c r="HW221" s="214"/>
      <c r="HX221" s="214"/>
      <c r="HY221" s="214"/>
      <c r="HZ221" s="214"/>
      <c r="IA221" s="214"/>
      <c r="IB221" s="214"/>
      <c r="IC221" s="214"/>
      <c r="ID221" s="214"/>
      <c r="IE221" s="214"/>
      <c r="IF221" s="214"/>
      <c r="IG221" s="214"/>
      <c r="IH221" s="214"/>
      <c r="II221" s="214"/>
      <c r="IJ221" s="214"/>
      <c r="IK221" s="214"/>
      <c r="IL221" s="214"/>
      <c r="IM221" s="214"/>
      <c r="IN221" s="214"/>
      <c r="IO221" s="214"/>
      <c r="IP221" s="214"/>
      <c r="IQ221" s="214"/>
      <c r="IR221" s="214"/>
    </row>
    <row r="222" spans="13:252" ht="16.2" hidden="1" thickTop="1" thickBot="1">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c r="CG222" s="214"/>
      <c r="CH222" s="214"/>
      <c r="CI222" s="214"/>
      <c r="CJ222" s="214"/>
      <c r="CK222" s="214"/>
      <c r="CL222" s="214"/>
      <c r="CM222" s="214"/>
      <c r="CN222" s="214"/>
      <c r="CO222" s="214"/>
      <c r="CP222" s="214"/>
      <c r="CQ222" s="214"/>
      <c r="CR222" s="214"/>
      <c r="CS222" s="214"/>
      <c r="CT222" s="214"/>
      <c r="CU222" s="214"/>
      <c r="CV222" s="214"/>
      <c r="CW222" s="214"/>
      <c r="CX222" s="214"/>
      <c r="CY222" s="214"/>
      <c r="CZ222" s="214"/>
      <c r="DA222" s="214"/>
      <c r="DB222" s="214"/>
      <c r="DC222" s="214"/>
      <c r="DD222" s="214"/>
      <c r="DE222" s="214"/>
      <c r="DF222" s="214"/>
      <c r="DG222" s="214"/>
      <c r="DH222" s="214"/>
      <c r="DI222" s="214"/>
      <c r="DJ222" s="214"/>
      <c r="DK222" s="214"/>
      <c r="DL222" s="214"/>
      <c r="DM222" s="214"/>
      <c r="DN222" s="214"/>
      <c r="DO222" s="214"/>
      <c r="DP222" s="214"/>
      <c r="DQ222" s="214"/>
      <c r="DR222" s="214"/>
      <c r="DS222" s="214"/>
      <c r="DT222" s="214"/>
      <c r="DU222" s="214"/>
      <c r="DV222" s="214"/>
      <c r="DW222" s="214"/>
      <c r="DX222" s="214"/>
      <c r="DY222" s="214"/>
      <c r="DZ222" s="214"/>
      <c r="EA222" s="214"/>
      <c r="EB222" s="214"/>
      <c r="EC222" s="214"/>
      <c r="ED222" s="214"/>
      <c r="EE222" s="214"/>
      <c r="EF222" s="214"/>
      <c r="EG222" s="214"/>
      <c r="EH222" s="214"/>
      <c r="EI222" s="214"/>
      <c r="EJ222" s="214"/>
      <c r="EK222" s="214"/>
      <c r="EL222" s="214"/>
      <c r="EM222" s="214"/>
      <c r="EN222" s="214"/>
      <c r="EO222" s="214"/>
      <c r="EP222" s="214"/>
      <c r="EQ222" s="214"/>
      <c r="ER222" s="214"/>
      <c r="ES222" s="214"/>
      <c r="ET222" s="214"/>
      <c r="EU222" s="214"/>
      <c r="EV222" s="214"/>
      <c r="EW222" s="214"/>
      <c r="EX222" s="214"/>
      <c r="EY222" s="214"/>
      <c r="EZ222" s="214"/>
      <c r="FA222" s="214"/>
      <c r="FB222" s="214"/>
      <c r="FC222" s="214"/>
      <c r="FD222" s="214"/>
      <c r="FE222" s="214"/>
      <c r="FF222" s="214"/>
      <c r="FG222" s="214"/>
      <c r="FH222" s="214"/>
      <c r="FI222" s="214"/>
      <c r="FJ222" s="214"/>
      <c r="FK222" s="214"/>
      <c r="FL222" s="214"/>
      <c r="FM222" s="214"/>
      <c r="FN222" s="214"/>
      <c r="FO222" s="214"/>
      <c r="FP222" s="214"/>
      <c r="FQ222" s="214"/>
      <c r="FR222" s="214"/>
      <c r="FS222" s="214"/>
      <c r="FT222" s="214"/>
      <c r="FU222" s="214"/>
      <c r="FV222" s="214"/>
      <c r="FW222" s="214"/>
      <c r="FX222" s="214"/>
      <c r="FY222" s="214"/>
      <c r="FZ222" s="214"/>
      <c r="GA222" s="214"/>
      <c r="GB222" s="214"/>
      <c r="GC222" s="214"/>
      <c r="GD222" s="214"/>
      <c r="GE222" s="214"/>
      <c r="GF222" s="214"/>
      <c r="GG222" s="214"/>
      <c r="GH222" s="214"/>
      <c r="GI222" s="214"/>
      <c r="GJ222" s="214"/>
      <c r="GK222" s="214"/>
      <c r="GL222" s="214"/>
      <c r="GM222" s="214"/>
      <c r="GN222" s="214"/>
      <c r="GO222" s="214"/>
      <c r="GP222" s="214"/>
      <c r="GQ222" s="214"/>
      <c r="GR222" s="214"/>
      <c r="GS222" s="214"/>
      <c r="GT222" s="214"/>
      <c r="GU222" s="214"/>
      <c r="GV222" s="214"/>
      <c r="GW222" s="214"/>
      <c r="GX222" s="214"/>
      <c r="GY222" s="214"/>
      <c r="GZ222" s="214"/>
      <c r="HA222" s="214"/>
      <c r="HB222" s="214"/>
      <c r="HC222" s="214"/>
      <c r="HD222" s="214"/>
      <c r="HE222" s="214"/>
      <c r="HF222" s="214"/>
      <c r="HG222" s="214"/>
      <c r="HH222" s="214"/>
      <c r="HI222" s="214"/>
      <c r="HJ222" s="214"/>
      <c r="HK222" s="214"/>
      <c r="HL222" s="214"/>
      <c r="HM222" s="214"/>
      <c r="HN222" s="214"/>
      <c r="HO222" s="214"/>
      <c r="HP222" s="214"/>
      <c r="HQ222" s="214"/>
      <c r="HR222" s="214"/>
      <c r="HS222" s="214"/>
      <c r="HT222" s="214"/>
      <c r="HU222" s="214"/>
      <c r="HV222" s="214"/>
      <c r="HW222" s="214"/>
      <c r="HX222" s="214"/>
      <c r="HY222" s="214"/>
      <c r="HZ222" s="214"/>
      <c r="IA222" s="214"/>
      <c r="IB222" s="214"/>
      <c r="IC222" s="214"/>
      <c r="ID222" s="214"/>
      <c r="IE222" s="214"/>
      <c r="IF222" s="214"/>
      <c r="IG222" s="214"/>
      <c r="IH222" s="214"/>
      <c r="II222" s="214"/>
      <c r="IJ222" s="214"/>
      <c r="IK222" s="214"/>
      <c r="IL222" s="214"/>
      <c r="IM222" s="214"/>
      <c r="IN222" s="214"/>
      <c r="IO222" s="214"/>
      <c r="IP222" s="214"/>
      <c r="IQ222" s="214"/>
      <c r="IR222" s="214"/>
    </row>
    <row r="223" spans="13:252" ht="9" hidden="1" customHeight="1" thickTop="1" thickBot="1">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c r="CG223" s="214"/>
      <c r="CH223" s="214"/>
      <c r="CI223" s="214"/>
      <c r="CJ223" s="214"/>
      <c r="CK223" s="214"/>
      <c r="CL223" s="214"/>
      <c r="CM223" s="214"/>
      <c r="CN223" s="214"/>
      <c r="CO223" s="214"/>
      <c r="CP223" s="214"/>
      <c r="CQ223" s="214"/>
      <c r="CR223" s="214"/>
      <c r="CS223" s="214"/>
      <c r="CT223" s="214"/>
      <c r="CU223" s="214"/>
      <c r="CV223" s="214"/>
      <c r="CW223" s="214"/>
      <c r="CX223" s="214"/>
      <c r="CY223" s="214"/>
      <c r="CZ223" s="214"/>
      <c r="DA223" s="214"/>
      <c r="DB223" s="214"/>
      <c r="DC223" s="214"/>
      <c r="DD223" s="214"/>
      <c r="DE223" s="214"/>
      <c r="DF223" s="214"/>
      <c r="DG223" s="214"/>
      <c r="DH223" s="214"/>
      <c r="DI223" s="214"/>
      <c r="DJ223" s="214"/>
      <c r="DK223" s="214"/>
      <c r="DL223" s="214"/>
      <c r="DM223" s="214"/>
      <c r="DN223" s="214"/>
      <c r="DO223" s="214"/>
      <c r="DP223" s="214"/>
      <c r="DQ223" s="214"/>
      <c r="DR223" s="214"/>
      <c r="DS223" s="214"/>
      <c r="DT223" s="214"/>
      <c r="DU223" s="214"/>
      <c r="DV223" s="214"/>
      <c r="DW223" s="214"/>
      <c r="DX223" s="214"/>
      <c r="DY223" s="214"/>
      <c r="DZ223" s="214"/>
      <c r="EA223" s="214"/>
      <c r="EB223" s="214"/>
      <c r="EC223" s="214"/>
      <c r="ED223" s="214"/>
      <c r="EE223" s="214"/>
      <c r="EF223" s="214"/>
      <c r="EG223" s="214"/>
      <c r="EH223" s="214"/>
      <c r="EI223" s="214"/>
      <c r="EJ223" s="214"/>
      <c r="EK223" s="214"/>
      <c r="EL223" s="214"/>
      <c r="EM223" s="214"/>
      <c r="EN223" s="214"/>
      <c r="EO223" s="214"/>
      <c r="EP223" s="214"/>
      <c r="EQ223" s="214"/>
      <c r="ER223" s="214"/>
      <c r="ES223" s="214"/>
      <c r="ET223" s="214"/>
      <c r="EU223" s="214"/>
      <c r="EV223" s="214"/>
      <c r="EW223" s="214"/>
      <c r="EX223" s="214"/>
      <c r="EY223" s="214"/>
      <c r="EZ223" s="214"/>
      <c r="FA223" s="214"/>
      <c r="FB223" s="214"/>
      <c r="FC223" s="214"/>
      <c r="FD223" s="214"/>
      <c r="FE223" s="214"/>
      <c r="FF223" s="214"/>
      <c r="FG223" s="214"/>
      <c r="FH223" s="214"/>
      <c r="FI223" s="214"/>
      <c r="FJ223" s="214"/>
      <c r="FK223" s="214"/>
      <c r="FL223" s="214"/>
      <c r="FM223" s="214"/>
      <c r="FN223" s="214"/>
      <c r="FO223" s="214"/>
      <c r="FP223" s="214"/>
      <c r="FQ223" s="214"/>
      <c r="FR223" s="214"/>
      <c r="FS223" s="214"/>
      <c r="FT223" s="214"/>
      <c r="FU223" s="214"/>
      <c r="FV223" s="214"/>
      <c r="FW223" s="214"/>
      <c r="FX223" s="214"/>
      <c r="FY223" s="214"/>
      <c r="FZ223" s="214"/>
      <c r="GA223" s="214"/>
      <c r="GB223" s="214"/>
      <c r="GC223" s="214"/>
      <c r="GD223" s="214"/>
      <c r="GE223" s="214"/>
      <c r="GF223" s="214"/>
      <c r="GG223" s="214"/>
      <c r="GH223" s="214"/>
      <c r="GI223" s="214"/>
      <c r="GJ223" s="214"/>
      <c r="GK223" s="214"/>
      <c r="GL223" s="214"/>
      <c r="GM223" s="214"/>
      <c r="GN223" s="214"/>
      <c r="GO223" s="214"/>
      <c r="GP223" s="214"/>
      <c r="GQ223" s="214"/>
      <c r="GR223" s="214"/>
      <c r="GS223" s="214"/>
      <c r="GT223" s="214"/>
      <c r="GU223" s="214"/>
      <c r="GV223" s="214"/>
      <c r="GW223" s="214"/>
      <c r="GX223" s="214"/>
      <c r="GY223" s="214"/>
      <c r="GZ223" s="214"/>
      <c r="HA223" s="214"/>
      <c r="HB223" s="214"/>
      <c r="HC223" s="214"/>
      <c r="HD223" s="214"/>
      <c r="HE223" s="214"/>
      <c r="HF223" s="214"/>
      <c r="HG223" s="214"/>
      <c r="HH223" s="214"/>
      <c r="HI223" s="214"/>
      <c r="HJ223" s="214"/>
      <c r="HK223" s="214"/>
      <c r="HL223" s="214"/>
      <c r="HM223" s="214"/>
      <c r="HN223" s="214"/>
      <c r="HO223" s="214"/>
      <c r="HP223" s="214"/>
      <c r="HQ223" s="214"/>
      <c r="HR223" s="214"/>
      <c r="HS223" s="214"/>
      <c r="HT223" s="214"/>
      <c r="HU223" s="214"/>
      <c r="HV223" s="214"/>
      <c r="HW223" s="214"/>
      <c r="HX223" s="214"/>
      <c r="HY223" s="214"/>
      <c r="HZ223" s="214"/>
      <c r="IA223" s="214"/>
      <c r="IB223" s="214"/>
      <c r="IC223" s="214"/>
      <c r="ID223" s="214"/>
      <c r="IE223" s="214"/>
      <c r="IF223" s="214"/>
      <c r="IG223" s="214"/>
      <c r="IH223" s="214"/>
      <c r="II223" s="214"/>
      <c r="IJ223" s="214"/>
      <c r="IK223" s="214"/>
      <c r="IL223" s="214"/>
      <c r="IM223" s="214"/>
      <c r="IN223" s="214"/>
      <c r="IO223" s="214"/>
      <c r="IP223" s="214"/>
      <c r="IQ223" s="214"/>
      <c r="IR223" s="214"/>
    </row>
    <row r="224" spans="13:252" ht="13.2" hidden="1" customHeight="1" thickTop="1" thickBot="1">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c r="CG224" s="214"/>
      <c r="CH224" s="214"/>
      <c r="CI224" s="214"/>
      <c r="CJ224" s="214"/>
      <c r="CK224" s="214"/>
      <c r="CL224" s="214"/>
      <c r="CM224" s="214"/>
      <c r="CN224" s="214"/>
      <c r="CO224" s="214"/>
      <c r="CP224" s="214"/>
      <c r="CQ224" s="214"/>
      <c r="CR224" s="214"/>
      <c r="CS224" s="214"/>
      <c r="CT224" s="214"/>
      <c r="CU224" s="214"/>
      <c r="CV224" s="214"/>
      <c r="CW224" s="214"/>
      <c r="CX224" s="214"/>
      <c r="CY224" s="214"/>
      <c r="CZ224" s="214"/>
      <c r="DA224" s="214"/>
      <c r="DB224" s="214"/>
      <c r="DC224" s="214"/>
      <c r="DD224" s="214"/>
      <c r="DE224" s="214"/>
      <c r="DF224" s="214"/>
      <c r="DG224" s="214"/>
      <c r="DH224" s="214"/>
      <c r="DI224" s="214"/>
      <c r="DJ224" s="214"/>
      <c r="DK224" s="214"/>
      <c r="DL224" s="214"/>
      <c r="DM224" s="214"/>
      <c r="DN224" s="214"/>
      <c r="DO224" s="214"/>
      <c r="DP224" s="214"/>
      <c r="DQ224" s="214"/>
      <c r="DR224" s="214"/>
      <c r="DS224" s="214"/>
      <c r="DT224" s="214"/>
      <c r="DU224" s="214"/>
      <c r="DV224" s="214"/>
      <c r="DW224" s="214"/>
      <c r="DX224" s="214"/>
      <c r="DY224" s="214"/>
      <c r="DZ224" s="214"/>
      <c r="EA224" s="214"/>
      <c r="EB224" s="214"/>
      <c r="EC224" s="214"/>
      <c r="ED224" s="214"/>
      <c r="EE224" s="214"/>
      <c r="EF224" s="214"/>
      <c r="EG224" s="214"/>
      <c r="EH224" s="214"/>
      <c r="EI224" s="214"/>
      <c r="EJ224" s="214"/>
      <c r="EK224" s="214"/>
      <c r="EL224" s="214"/>
      <c r="EM224" s="214"/>
      <c r="EN224" s="214"/>
      <c r="EO224" s="214"/>
      <c r="EP224" s="214"/>
      <c r="EQ224" s="214"/>
      <c r="ER224" s="214"/>
      <c r="ES224" s="214"/>
      <c r="ET224" s="214"/>
      <c r="EU224" s="214"/>
      <c r="EV224" s="214"/>
      <c r="EW224" s="214"/>
      <c r="EX224" s="214"/>
      <c r="EY224" s="214"/>
      <c r="EZ224" s="214"/>
      <c r="FA224" s="214"/>
      <c r="FB224" s="214"/>
      <c r="FC224" s="214"/>
      <c r="FD224" s="214"/>
      <c r="FE224" s="214"/>
      <c r="FF224" s="214"/>
      <c r="FG224" s="214"/>
      <c r="FH224" s="214"/>
      <c r="FI224" s="214"/>
      <c r="FJ224" s="214"/>
      <c r="FK224" s="214"/>
      <c r="FL224" s="214"/>
      <c r="FM224" s="214"/>
      <c r="FN224" s="214"/>
      <c r="FO224" s="214"/>
      <c r="FP224" s="214"/>
      <c r="FQ224" s="214"/>
      <c r="FR224" s="214"/>
      <c r="FS224" s="214"/>
      <c r="FT224" s="214"/>
      <c r="FU224" s="214"/>
      <c r="FV224" s="214"/>
      <c r="FW224" s="214"/>
      <c r="FX224" s="214"/>
      <c r="FY224" s="214"/>
      <c r="FZ224" s="214"/>
      <c r="GA224" s="214"/>
      <c r="GB224" s="214"/>
      <c r="GC224" s="214"/>
      <c r="GD224" s="214"/>
      <c r="GE224" s="214"/>
      <c r="GF224" s="214"/>
      <c r="GG224" s="214"/>
      <c r="GH224" s="214"/>
      <c r="GI224" s="214"/>
      <c r="GJ224" s="214"/>
      <c r="GK224" s="214"/>
      <c r="GL224" s="214"/>
      <c r="GM224" s="214"/>
      <c r="GN224" s="214"/>
      <c r="GO224" s="214"/>
      <c r="GP224" s="214"/>
      <c r="GQ224" s="214"/>
      <c r="GR224" s="214"/>
      <c r="GS224" s="214"/>
      <c r="GT224" s="214"/>
      <c r="GU224" s="214"/>
      <c r="GV224" s="214"/>
      <c r="GW224" s="214"/>
      <c r="GX224" s="214"/>
      <c r="GY224" s="214"/>
      <c r="GZ224" s="214"/>
      <c r="HA224" s="214"/>
      <c r="HB224" s="214"/>
      <c r="HC224" s="214"/>
      <c r="HD224" s="214"/>
      <c r="HE224" s="214"/>
      <c r="HF224" s="214"/>
      <c r="HG224" s="214"/>
      <c r="HH224" s="214"/>
      <c r="HI224" s="214"/>
      <c r="HJ224" s="214"/>
      <c r="HK224" s="214"/>
      <c r="HL224" s="214"/>
      <c r="HM224" s="214"/>
      <c r="HN224" s="214"/>
      <c r="HO224" s="214"/>
      <c r="HP224" s="214"/>
      <c r="HQ224" s="214"/>
      <c r="HR224" s="214"/>
      <c r="HS224" s="214"/>
      <c r="HT224" s="214"/>
      <c r="HU224" s="214"/>
      <c r="HV224" s="214"/>
      <c r="HW224" s="214"/>
      <c r="HX224" s="214"/>
      <c r="HY224" s="214"/>
      <c r="HZ224" s="214"/>
      <c r="IA224" s="214"/>
      <c r="IB224" s="214"/>
      <c r="IC224" s="214"/>
      <c r="ID224" s="214"/>
      <c r="IE224" s="214"/>
      <c r="IF224" s="214"/>
      <c r="IG224" s="214"/>
      <c r="IH224" s="214"/>
      <c r="II224" s="214"/>
      <c r="IJ224" s="214"/>
      <c r="IK224" s="214"/>
      <c r="IL224" s="214"/>
      <c r="IM224" s="214"/>
      <c r="IN224" s="214"/>
      <c r="IO224" s="214"/>
      <c r="IP224" s="214"/>
      <c r="IQ224" s="214"/>
      <c r="IR224" s="214"/>
    </row>
    <row r="225" spans="13:252" ht="13.2" hidden="1" customHeight="1" thickTop="1" thickBot="1">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c r="CG225" s="214"/>
      <c r="CH225" s="214"/>
      <c r="CI225" s="214"/>
      <c r="CJ225" s="214"/>
      <c r="CK225" s="214"/>
      <c r="CL225" s="214"/>
      <c r="CM225" s="214"/>
      <c r="CN225" s="214"/>
      <c r="CO225" s="214"/>
      <c r="CP225" s="214"/>
      <c r="CQ225" s="214"/>
      <c r="CR225" s="214"/>
      <c r="CS225" s="214"/>
      <c r="CT225" s="214"/>
      <c r="CU225" s="214"/>
      <c r="CV225" s="214"/>
      <c r="CW225" s="214"/>
      <c r="CX225" s="214"/>
      <c r="CY225" s="214"/>
      <c r="CZ225" s="214"/>
      <c r="DA225" s="214"/>
      <c r="DB225" s="214"/>
      <c r="DC225" s="214"/>
      <c r="DD225" s="214"/>
      <c r="DE225" s="214"/>
      <c r="DF225" s="214"/>
      <c r="DG225" s="214"/>
      <c r="DH225" s="214"/>
      <c r="DI225" s="214"/>
      <c r="DJ225" s="214"/>
      <c r="DK225" s="214"/>
      <c r="DL225" s="214"/>
      <c r="DM225" s="214"/>
      <c r="DN225" s="214"/>
      <c r="DO225" s="214"/>
      <c r="DP225" s="214"/>
      <c r="DQ225" s="214"/>
      <c r="DR225" s="214"/>
      <c r="DS225" s="214"/>
      <c r="DT225" s="214"/>
      <c r="DU225" s="214"/>
      <c r="DV225" s="214"/>
      <c r="DW225" s="214"/>
      <c r="DX225" s="214"/>
      <c r="DY225" s="214"/>
      <c r="DZ225" s="214"/>
      <c r="EA225" s="214"/>
      <c r="EB225" s="214"/>
      <c r="EC225" s="214"/>
      <c r="ED225" s="214"/>
      <c r="EE225" s="214"/>
      <c r="EF225" s="214"/>
      <c r="EG225" s="214"/>
      <c r="EH225" s="214"/>
      <c r="EI225" s="214"/>
      <c r="EJ225" s="214"/>
      <c r="EK225" s="214"/>
      <c r="EL225" s="214"/>
      <c r="EM225" s="214"/>
      <c r="EN225" s="214"/>
      <c r="EO225" s="214"/>
      <c r="EP225" s="214"/>
      <c r="EQ225" s="214"/>
      <c r="ER225" s="214"/>
      <c r="ES225" s="214"/>
      <c r="ET225" s="214"/>
      <c r="EU225" s="214"/>
      <c r="EV225" s="214"/>
      <c r="EW225" s="214"/>
      <c r="EX225" s="214"/>
      <c r="EY225" s="214"/>
      <c r="EZ225" s="214"/>
      <c r="FA225" s="214"/>
      <c r="FB225" s="214"/>
      <c r="FC225" s="214"/>
      <c r="FD225" s="214"/>
      <c r="FE225" s="214"/>
      <c r="FF225" s="214"/>
      <c r="FG225" s="214"/>
      <c r="FH225" s="214"/>
      <c r="FI225" s="214"/>
      <c r="FJ225" s="214"/>
      <c r="FK225" s="214"/>
      <c r="FL225" s="214"/>
      <c r="FM225" s="214"/>
      <c r="FN225" s="214"/>
      <c r="FO225" s="214"/>
      <c r="FP225" s="214"/>
      <c r="FQ225" s="214"/>
      <c r="FR225" s="214"/>
      <c r="FS225" s="214"/>
      <c r="FT225" s="214"/>
      <c r="FU225" s="214"/>
      <c r="FV225" s="214"/>
      <c r="FW225" s="214"/>
      <c r="FX225" s="214"/>
      <c r="FY225" s="214"/>
      <c r="FZ225" s="214"/>
      <c r="GA225" s="214"/>
      <c r="GB225" s="214"/>
      <c r="GC225" s="214"/>
      <c r="GD225" s="214"/>
      <c r="GE225" s="214"/>
      <c r="GF225" s="214"/>
      <c r="GG225" s="214"/>
      <c r="GH225" s="214"/>
      <c r="GI225" s="214"/>
      <c r="GJ225" s="214"/>
      <c r="GK225" s="214"/>
      <c r="GL225" s="214"/>
      <c r="GM225" s="214"/>
      <c r="GN225" s="214"/>
      <c r="GO225" s="214"/>
      <c r="GP225" s="214"/>
      <c r="GQ225" s="214"/>
      <c r="GR225" s="214"/>
      <c r="GS225" s="214"/>
      <c r="GT225" s="214"/>
      <c r="GU225" s="214"/>
      <c r="GV225" s="214"/>
      <c r="GW225" s="214"/>
      <c r="GX225" s="214"/>
      <c r="GY225" s="214"/>
      <c r="GZ225" s="214"/>
      <c r="HA225" s="214"/>
      <c r="HB225" s="214"/>
      <c r="HC225" s="214"/>
      <c r="HD225" s="214"/>
      <c r="HE225" s="214"/>
      <c r="HF225" s="214"/>
      <c r="HG225" s="214"/>
      <c r="HH225" s="214"/>
      <c r="HI225" s="214"/>
      <c r="HJ225" s="214"/>
      <c r="HK225" s="214"/>
      <c r="HL225" s="214"/>
      <c r="HM225" s="214"/>
      <c r="HN225" s="214"/>
      <c r="HO225" s="214"/>
      <c r="HP225" s="214"/>
      <c r="HQ225" s="214"/>
      <c r="HR225" s="214"/>
      <c r="HS225" s="214"/>
      <c r="HT225" s="214"/>
      <c r="HU225" s="214"/>
      <c r="HV225" s="214"/>
      <c r="HW225" s="214"/>
      <c r="HX225" s="214"/>
      <c r="HY225" s="214"/>
      <c r="HZ225" s="214"/>
      <c r="IA225" s="214"/>
      <c r="IB225" s="214"/>
      <c r="IC225" s="214"/>
      <c r="ID225" s="214"/>
      <c r="IE225" s="214"/>
      <c r="IF225" s="214"/>
      <c r="IG225" s="214"/>
      <c r="IH225" s="214"/>
      <c r="II225" s="214"/>
      <c r="IJ225" s="214"/>
      <c r="IK225" s="214"/>
      <c r="IL225" s="214"/>
      <c r="IM225" s="214"/>
      <c r="IN225" s="214"/>
      <c r="IO225" s="214"/>
      <c r="IP225" s="214"/>
      <c r="IQ225" s="214"/>
      <c r="IR225" s="214"/>
    </row>
    <row r="226" spans="13:252" ht="13.2" hidden="1" customHeight="1" thickTop="1" thickBot="1">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c r="CG226" s="214"/>
      <c r="CH226" s="214"/>
      <c r="CI226" s="214"/>
      <c r="CJ226" s="214"/>
      <c r="CK226" s="214"/>
      <c r="CL226" s="214"/>
      <c r="CM226" s="214"/>
      <c r="CN226" s="214"/>
      <c r="CO226" s="214"/>
      <c r="CP226" s="214"/>
      <c r="CQ226" s="214"/>
      <c r="CR226" s="214"/>
      <c r="CS226" s="214"/>
      <c r="CT226" s="214"/>
      <c r="CU226" s="214"/>
      <c r="CV226" s="214"/>
      <c r="CW226" s="214"/>
      <c r="CX226" s="214"/>
      <c r="CY226" s="214"/>
      <c r="CZ226" s="214"/>
      <c r="DA226" s="214"/>
      <c r="DB226" s="214"/>
      <c r="DC226" s="214"/>
      <c r="DD226" s="214"/>
      <c r="DE226" s="214"/>
      <c r="DF226" s="214"/>
      <c r="DG226" s="214"/>
      <c r="DH226" s="214"/>
      <c r="DI226" s="214"/>
      <c r="DJ226" s="214"/>
      <c r="DK226" s="214"/>
      <c r="DL226" s="214"/>
      <c r="DM226" s="214"/>
      <c r="DN226" s="214"/>
      <c r="DO226" s="214"/>
      <c r="DP226" s="214"/>
      <c r="DQ226" s="214"/>
      <c r="DR226" s="214"/>
      <c r="DS226" s="214"/>
      <c r="DT226" s="214"/>
      <c r="DU226" s="214"/>
      <c r="DV226" s="214"/>
      <c r="DW226" s="214"/>
      <c r="DX226" s="214"/>
      <c r="DY226" s="214"/>
      <c r="DZ226" s="214"/>
      <c r="EA226" s="214"/>
      <c r="EB226" s="214"/>
      <c r="EC226" s="214"/>
      <c r="ED226" s="214"/>
      <c r="EE226" s="214"/>
      <c r="EF226" s="214"/>
      <c r="EG226" s="214"/>
      <c r="EH226" s="214"/>
      <c r="EI226" s="214"/>
      <c r="EJ226" s="214"/>
      <c r="EK226" s="214"/>
      <c r="EL226" s="214"/>
      <c r="EM226" s="214"/>
      <c r="EN226" s="214"/>
      <c r="EO226" s="214"/>
      <c r="EP226" s="214"/>
      <c r="EQ226" s="214"/>
      <c r="ER226" s="214"/>
      <c r="ES226" s="214"/>
      <c r="ET226" s="214"/>
      <c r="EU226" s="214"/>
      <c r="EV226" s="214"/>
      <c r="EW226" s="214"/>
      <c r="EX226" s="214"/>
      <c r="EY226" s="214"/>
      <c r="EZ226" s="214"/>
      <c r="FA226" s="214"/>
      <c r="FB226" s="214"/>
      <c r="FC226" s="214"/>
      <c r="FD226" s="214"/>
      <c r="FE226" s="214"/>
      <c r="FF226" s="214"/>
      <c r="FG226" s="214"/>
      <c r="FH226" s="214"/>
      <c r="FI226" s="214"/>
      <c r="FJ226" s="214"/>
      <c r="FK226" s="214"/>
      <c r="FL226" s="214"/>
      <c r="FM226" s="214"/>
      <c r="FN226" s="214"/>
      <c r="FO226" s="214"/>
      <c r="FP226" s="214"/>
      <c r="FQ226" s="214"/>
      <c r="FR226" s="214"/>
      <c r="FS226" s="214"/>
      <c r="FT226" s="214"/>
      <c r="FU226" s="214"/>
      <c r="FV226" s="214"/>
      <c r="FW226" s="214"/>
      <c r="FX226" s="214"/>
      <c r="FY226" s="214"/>
      <c r="FZ226" s="214"/>
      <c r="GA226" s="214"/>
      <c r="GB226" s="214"/>
      <c r="GC226" s="214"/>
      <c r="GD226" s="214"/>
      <c r="GE226" s="214"/>
      <c r="GF226" s="214"/>
      <c r="GG226" s="214"/>
      <c r="GH226" s="214"/>
      <c r="GI226" s="214"/>
      <c r="GJ226" s="214"/>
      <c r="GK226" s="214"/>
      <c r="GL226" s="214"/>
      <c r="GM226" s="214"/>
      <c r="GN226" s="214"/>
      <c r="GO226" s="214"/>
      <c r="GP226" s="214"/>
      <c r="GQ226" s="214"/>
      <c r="GR226" s="214"/>
      <c r="GS226" s="214"/>
      <c r="GT226" s="214"/>
      <c r="GU226" s="214"/>
      <c r="GV226" s="214"/>
      <c r="GW226" s="214"/>
      <c r="GX226" s="214"/>
      <c r="GY226" s="214"/>
      <c r="GZ226" s="214"/>
      <c r="HA226" s="214"/>
      <c r="HB226" s="214"/>
      <c r="HC226" s="214"/>
      <c r="HD226" s="214"/>
      <c r="HE226" s="214"/>
      <c r="HF226" s="214"/>
      <c r="HG226" s="214"/>
      <c r="HH226" s="214"/>
      <c r="HI226" s="214"/>
      <c r="HJ226" s="214"/>
      <c r="HK226" s="214"/>
      <c r="HL226" s="214"/>
      <c r="HM226" s="214"/>
      <c r="HN226" s="214"/>
      <c r="HO226" s="214"/>
      <c r="HP226" s="214"/>
      <c r="HQ226" s="214"/>
      <c r="HR226" s="214"/>
      <c r="HS226" s="214"/>
      <c r="HT226" s="214"/>
      <c r="HU226" s="214"/>
      <c r="HV226" s="214"/>
      <c r="HW226" s="214"/>
      <c r="HX226" s="214"/>
      <c r="HY226" s="214"/>
      <c r="HZ226" s="214"/>
      <c r="IA226" s="214"/>
      <c r="IB226" s="214"/>
      <c r="IC226" s="214"/>
      <c r="ID226" s="214"/>
      <c r="IE226" s="214"/>
      <c r="IF226" s="214"/>
      <c r="IG226" s="214"/>
      <c r="IH226" s="214"/>
      <c r="II226" s="214"/>
      <c r="IJ226" s="214"/>
      <c r="IK226" s="214"/>
      <c r="IL226" s="214"/>
      <c r="IM226" s="214"/>
      <c r="IN226" s="214"/>
      <c r="IO226" s="214"/>
      <c r="IP226" s="214"/>
      <c r="IQ226" s="214"/>
      <c r="IR226" s="214"/>
    </row>
    <row r="227" spans="13:252" ht="13.2" hidden="1" customHeight="1" thickTop="1" thickBot="1">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c r="CG227" s="214"/>
      <c r="CH227" s="214"/>
      <c r="CI227" s="214"/>
      <c r="CJ227" s="214"/>
      <c r="CK227" s="214"/>
      <c r="CL227" s="214"/>
      <c r="CM227" s="214"/>
      <c r="CN227" s="214"/>
      <c r="CO227" s="214"/>
      <c r="CP227" s="214"/>
      <c r="CQ227" s="214"/>
      <c r="CR227" s="214"/>
      <c r="CS227" s="214"/>
      <c r="CT227" s="214"/>
      <c r="CU227" s="214"/>
      <c r="CV227" s="214"/>
      <c r="CW227" s="214"/>
      <c r="CX227" s="214"/>
      <c r="CY227" s="214"/>
      <c r="CZ227" s="214"/>
      <c r="DA227" s="214"/>
      <c r="DB227" s="214"/>
      <c r="DC227" s="214"/>
      <c r="DD227" s="214"/>
      <c r="DE227" s="214"/>
      <c r="DF227" s="214"/>
      <c r="DG227" s="214"/>
      <c r="DH227" s="214"/>
      <c r="DI227" s="214"/>
      <c r="DJ227" s="214"/>
      <c r="DK227" s="214"/>
      <c r="DL227" s="214"/>
      <c r="DM227" s="214"/>
      <c r="DN227" s="214"/>
      <c r="DO227" s="214"/>
      <c r="DP227" s="214"/>
      <c r="DQ227" s="214"/>
      <c r="DR227" s="214"/>
      <c r="DS227" s="214"/>
      <c r="DT227" s="214"/>
      <c r="DU227" s="214"/>
      <c r="DV227" s="214"/>
      <c r="DW227" s="214"/>
      <c r="DX227" s="214"/>
      <c r="DY227" s="214"/>
      <c r="DZ227" s="214"/>
      <c r="EA227" s="214"/>
      <c r="EB227" s="214"/>
      <c r="EC227" s="214"/>
      <c r="ED227" s="214"/>
      <c r="EE227" s="214"/>
      <c r="EF227" s="214"/>
      <c r="EG227" s="214"/>
      <c r="EH227" s="214"/>
      <c r="EI227" s="214"/>
      <c r="EJ227" s="214"/>
      <c r="EK227" s="214"/>
      <c r="EL227" s="214"/>
      <c r="EM227" s="214"/>
      <c r="EN227" s="214"/>
      <c r="EO227" s="214"/>
      <c r="EP227" s="214"/>
      <c r="EQ227" s="214"/>
      <c r="ER227" s="214"/>
      <c r="ES227" s="214"/>
      <c r="ET227" s="214"/>
      <c r="EU227" s="214"/>
      <c r="EV227" s="214"/>
      <c r="EW227" s="214"/>
      <c r="EX227" s="214"/>
      <c r="EY227" s="214"/>
      <c r="EZ227" s="214"/>
      <c r="FA227" s="214"/>
      <c r="FB227" s="214"/>
      <c r="FC227" s="214"/>
      <c r="FD227" s="214"/>
      <c r="FE227" s="214"/>
      <c r="FF227" s="214"/>
      <c r="FG227" s="214"/>
      <c r="FH227" s="214"/>
      <c r="FI227" s="214"/>
      <c r="FJ227" s="214"/>
      <c r="FK227" s="214"/>
      <c r="FL227" s="214"/>
      <c r="FM227" s="214"/>
      <c r="FN227" s="214"/>
      <c r="FO227" s="214"/>
      <c r="FP227" s="214"/>
      <c r="FQ227" s="214"/>
      <c r="FR227" s="214"/>
      <c r="FS227" s="214"/>
      <c r="FT227" s="214"/>
      <c r="FU227" s="214"/>
      <c r="FV227" s="214"/>
      <c r="FW227" s="214"/>
      <c r="FX227" s="214"/>
      <c r="FY227" s="214"/>
      <c r="FZ227" s="214"/>
      <c r="GA227" s="214"/>
      <c r="GB227" s="214"/>
      <c r="GC227" s="214"/>
      <c r="GD227" s="214"/>
      <c r="GE227" s="214"/>
      <c r="GF227" s="214"/>
      <c r="GG227" s="214"/>
      <c r="GH227" s="214"/>
      <c r="GI227" s="214"/>
      <c r="GJ227" s="214"/>
      <c r="GK227" s="214"/>
      <c r="GL227" s="214"/>
      <c r="GM227" s="214"/>
      <c r="GN227" s="214"/>
      <c r="GO227" s="214"/>
      <c r="GP227" s="214"/>
      <c r="GQ227" s="214"/>
      <c r="GR227" s="214"/>
      <c r="GS227" s="214"/>
      <c r="GT227" s="214"/>
      <c r="GU227" s="214"/>
      <c r="GV227" s="214"/>
      <c r="GW227" s="214"/>
      <c r="GX227" s="214"/>
      <c r="GY227" s="214"/>
      <c r="GZ227" s="214"/>
      <c r="HA227" s="214"/>
      <c r="HB227" s="214"/>
      <c r="HC227" s="214"/>
      <c r="HD227" s="214"/>
      <c r="HE227" s="214"/>
      <c r="HF227" s="214"/>
      <c r="HG227" s="214"/>
      <c r="HH227" s="214"/>
      <c r="HI227" s="214"/>
      <c r="HJ227" s="214"/>
      <c r="HK227" s="214"/>
      <c r="HL227" s="214"/>
      <c r="HM227" s="214"/>
      <c r="HN227" s="214"/>
      <c r="HO227" s="214"/>
      <c r="HP227" s="214"/>
      <c r="HQ227" s="214"/>
      <c r="HR227" s="214"/>
      <c r="HS227" s="214"/>
      <c r="HT227" s="214"/>
      <c r="HU227" s="214"/>
      <c r="HV227" s="214"/>
      <c r="HW227" s="214"/>
      <c r="HX227" s="214"/>
      <c r="HY227" s="214"/>
      <c r="HZ227" s="214"/>
      <c r="IA227" s="214"/>
      <c r="IB227" s="214"/>
      <c r="IC227" s="214"/>
      <c r="ID227" s="214"/>
      <c r="IE227" s="214"/>
      <c r="IF227" s="214"/>
      <c r="IG227" s="214"/>
      <c r="IH227" s="214"/>
      <c r="II227" s="214"/>
      <c r="IJ227" s="214"/>
      <c r="IK227" s="214"/>
      <c r="IL227" s="214"/>
      <c r="IM227" s="214"/>
      <c r="IN227" s="214"/>
      <c r="IO227" s="214"/>
      <c r="IP227" s="214"/>
      <c r="IQ227" s="214"/>
      <c r="IR227" s="214"/>
    </row>
    <row r="228" spans="13:252" ht="13.2" hidden="1" customHeight="1" thickTop="1" thickBot="1">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c r="CG228" s="214"/>
      <c r="CH228" s="214"/>
      <c r="CI228" s="214"/>
      <c r="CJ228" s="214"/>
      <c r="CK228" s="214"/>
      <c r="CL228" s="214"/>
      <c r="CM228" s="214"/>
      <c r="CN228" s="214"/>
      <c r="CO228" s="214"/>
      <c r="CP228" s="214"/>
      <c r="CQ228" s="214"/>
      <c r="CR228" s="214"/>
      <c r="CS228" s="214"/>
      <c r="CT228" s="214"/>
      <c r="CU228" s="214"/>
      <c r="CV228" s="214"/>
      <c r="CW228" s="214"/>
      <c r="CX228" s="214"/>
      <c r="CY228" s="214"/>
      <c r="CZ228" s="214"/>
      <c r="DA228" s="214"/>
      <c r="DB228" s="214"/>
      <c r="DC228" s="214"/>
      <c r="DD228" s="214"/>
      <c r="DE228" s="214"/>
      <c r="DF228" s="214"/>
      <c r="DG228" s="214"/>
      <c r="DH228" s="214"/>
      <c r="DI228" s="214"/>
      <c r="DJ228" s="214"/>
      <c r="DK228" s="214"/>
      <c r="DL228" s="214"/>
      <c r="DM228" s="214"/>
      <c r="DN228" s="214"/>
      <c r="DO228" s="214"/>
      <c r="DP228" s="214"/>
      <c r="DQ228" s="214"/>
      <c r="DR228" s="214"/>
      <c r="DS228" s="214"/>
      <c r="DT228" s="214"/>
      <c r="DU228" s="214"/>
      <c r="DV228" s="214"/>
      <c r="DW228" s="214"/>
      <c r="DX228" s="214"/>
      <c r="DY228" s="214"/>
      <c r="DZ228" s="214"/>
      <c r="EA228" s="214"/>
      <c r="EB228" s="214"/>
      <c r="EC228" s="214"/>
      <c r="ED228" s="214"/>
      <c r="EE228" s="214"/>
      <c r="EF228" s="214"/>
      <c r="EG228" s="214"/>
      <c r="EH228" s="214"/>
      <c r="EI228" s="214"/>
      <c r="EJ228" s="214"/>
      <c r="EK228" s="214"/>
      <c r="EL228" s="214"/>
      <c r="EM228" s="214"/>
      <c r="EN228" s="214"/>
      <c r="EO228" s="214"/>
      <c r="EP228" s="214"/>
      <c r="EQ228" s="214"/>
      <c r="ER228" s="214"/>
      <c r="ES228" s="214"/>
      <c r="ET228" s="214"/>
      <c r="EU228" s="214"/>
      <c r="EV228" s="214"/>
      <c r="EW228" s="214"/>
      <c r="EX228" s="214"/>
      <c r="EY228" s="214"/>
      <c r="EZ228" s="214"/>
      <c r="FA228" s="214"/>
      <c r="FB228" s="214"/>
      <c r="FC228" s="214"/>
      <c r="FD228" s="214"/>
      <c r="FE228" s="214"/>
      <c r="FF228" s="214"/>
      <c r="FG228" s="214"/>
      <c r="FH228" s="214"/>
      <c r="FI228" s="214"/>
      <c r="FJ228" s="214"/>
      <c r="FK228" s="214"/>
      <c r="FL228" s="214"/>
      <c r="FM228" s="214"/>
      <c r="FN228" s="214"/>
      <c r="FO228" s="214"/>
      <c r="FP228" s="214"/>
      <c r="FQ228" s="214"/>
      <c r="FR228" s="214"/>
      <c r="FS228" s="214"/>
      <c r="FT228" s="214"/>
      <c r="FU228" s="214"/>
      <c r="FV228" s="214"/>
      <c r="FW228" s="214"/>
      <c r="FX228" s="214"/>
      <c r="FY228" s="214"/>
      <c r="FZ228" s="214"/>
      <c r="GA228" s="214"/>
      <c r="GB228" s="214"/>
      <c r="GC228" s="214"/>
      <c r="GD228" s="214"/>
      <c r="GE228" s="214"/>
      <c r="GF228" s="214"/>
      <c r="GG228" s="214"/>
      <c r="GH228" s="214"/>
      <c r="GI228" s="214"/>
      <c r="GJ228" s="214"/>
      <c r="GK228" s="214"/>
      <c r="GL228" s="214"/>
      <c r="GM228" s="214"/>
      <c r="GN228" s="214"/>
      <c r="GO228" s="214"/>
      <c r="GP228" s="214"/>
      <c r="GQ228" s="214"/>
      <c r="GR228" s="214"/>
      <c r="GS228" s="214"/>
      <c r="GT228" s="214"/>
      <c r="GU228" s="214"/>
      <c r="GV228" s="214"/>
      <c r="GW228" s="214"/>
      <c r="GX228" s="214"/>
      <c r="GY228" s="214"/>
      <c r="GZ228" s="214"/>
      <c r="HA228" s="214"/>
      <c r="HB228" s="214"/>
      <c r="HC228" s="214"/>
      <c r="HD228" s="214"/>
      <c r="HE228" s="214"/>
      <c r="HF228" s="214"/>
      <c r="HG228" s="214"/>
      <c r="HH228" s="214"/>
      <c r="HI228" s="214"/>
      <c r="HJ228" s="214"/>
      <c r="HK228" s="214"/>
      <c r="HL228" s="214"/>
      <c r="HM228" s="214"/>
      <c r="HN228" s="214"/>
      <c r="HO228" s="214"/>
      <c r="HP228" s="214"/>
      <c r="HQ228" s="214"/>
      <c r="HR228" s="214"/>
      <c r="HS228" s="214"/>
      <c r="HT228" s="214"/>
      <c r="HU228" s="214"/>
      <c r="HV228" s="214"/>
      <c r="HW228" s="214"/>
      <c r="HX228" s="214"/>
      <c r="HY228" s="214"/>
      <c r="HZ228" s="214"/>
      <c r="IA228" s="214"/>
      <c r="IB228" s="214"/>
      <c r="IC228" s="214"/>
      <c r="ID228" s="214"/>
      <c r="IE228" s="214"/>
      <c r="IF228" s="214"/>
      <c r="IG228" s="214"/>
      <c r="IH228" s="214"/>
      <c r="II228" s="214"/>
      <c r="IJ228" s="214"/>
      <c r="IK228" s="214"/>
      <c r="IL228" s="214"/>
      <c r="IM228" s="214"/>
      <c r="IN228" s="214"/>
      <c r="IO228" s="214"/>
      <c r="IP228" s="214"/>
      <c r="IQ228" s="214"/>
      <c r="IR228" s="214"/>
    </row>
    <row r="229" spans="13:252" ht="16.5" hidden="1" customHeight="1" thickTop="1" thickBot="1">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c r="CG229" s="214"/>
      <c r="CH229" s="214"/>
      <c r="CI229" s="214"/>
      <c r="CJ229" s="214"/>
      <c r="CK229" s="214"/>
      <c r="CL229" s="214"/>
      <c r="CM229" s="214"/>
      <c r="CN229" s="214"/>
      <c r="CO229" s="214"/>
      <c r="CP229" s="214"/>
      <c r="CQ229" s="214"/>
      <c r="CR229" s="214"/>
      <c r="CS229" s="214"/>
      <c r="CT229" s="214"/>
      <c r="CU229" s="214"/>
      <c r="CV229" s="214"/>
      <c r="CW229" s="214"/>
      <c r="CX229" s="214"/>
      <c r="CY229" s="214"/>
      <c r="CZ229" s="214"/>
      <c r="DA229" s="214"/>
      <c r="DB229" s="214"/>
      <c r="DC229" s="214"/>
      <c r="DD229" s="214"/>
      <c r="DE229" s="214"/>
      <c r="DF229" s="214"/>
      <c r="DG229" s="214"/>
      <c r="DH229" s="214"/>
      <c r="DI229" s="214"/>
      <c r="DJ229" s="214"/>
      <c r="DK229" s="214"/>
      <c r="DL229" s="214"/>
      <c r="DM229" s="214"/>
      <c r="DN229" s="214"/>
      <c r="DO229" s="214"/>
      <c r="DP229" s="214"/>
      <c r="DQ229" s="214"/>
      <c r="DR229" s="214"/>
      <c r="DS229" s="214"/>
      <c r="DT229" s="214"/>
      <c r="DU229" s="214"/>
      <c r="DV229" s="214"/>
      <c r="DW229" s="214"/>
      <c r="DX229" s="214"/>
      <c r="DY229" s="214"/>
      <c r="DZ229" s="214"/>
      <c r="EA229" s="214"/>
      <c r="EB229" s="214"/>
      <c r="EC229" s="214"/>
      <c r="ED229" s="214"/>
      <c r="EE229" s="214"/>
      <c r="EF229" s="214"/>
      <c r="EG229" s="214"/>
      <c r="EH229" s="214"/>
      <c r="EI229" s="214"/>
      <c r="EJ229" s="214"/>
      <c r="EK229" s="214"/>
      <c r="EL229" s="214"/>
      <c r="EM229" s="214"/>
      <c r="EN229" s="214"/>
      <c r="EO229" s="214"/>
      <c r="EP229" s="214"/>
      <c r="EQ229" s="214"/>
      <c r="ER229" s="214"/>
      <c r="ES229" s="214"/>
      <c r="ET229" s="214"/>
      <c r="EU229" s="214"/>
      <c r="EV229" s="214"/>
      <c r="EW229" s="214"/>
      <c r="EX229" s="214"/>
      <c r="EY229" s="214"/>
      <c r="EZ229" s="214"/>
      <c r="FA229" s="214"/>
      <c r="FB229" s="214"/>
      <c r="FC229" s="214"/>
      <c r="FD229" s="214"/>
      <c r="FE229" s="214"/>
      <c r="FF229" s="214"/>
      <c r="FG229" s="214"/>
      <c r="FH229" s="214"/>
      <c r="FI229" s="214"/>
      <c r="FJ229" s="214"/>
      <c r="FK229" s="214"/>
      <c r="FL229" s="214"/>
      <c r="FM229" s="214"/>
      <c r="FN229" s="214"/>
      <c r="FO229" s="214"/>
      <c r="FP229" s="214"/>
      <c r="FQ229" s="214"/>
      <c r="FR229" s="214"/>
      <c r="FS229" s="214"/>
      <c r="FT229" s="214"/>
      <c r="FU229" s="214"/>
      <c r="FV229" s="214"/>
      <c r="FW229" s="214"/>
      <c r="FX229" s="214"/>
      <c r="FY229" s="214"/>
      <c r="FZ229" s="214"/>
      <c r="GA229" s="214"/>
      <c r="GB229" s="214"/>
      <c r="GC229" s="214"/>
      <c r="GD229" s="214"/>
      <c r="GE229" s="214"/>
      <c r="GF229" s="214"/>
      <c r="GG229" s="214"/>
      <c r="GH229" s="214"/>
      <c r="GI229" s="214"/>
      <c r="GJ229" s="214"/>
      <c r="GK229" s="214"/>
      <c r="GL229" s="214"/>
      <c r="GM229" s="214"/>
      <c r="GN229" s="214"/>
      <c r="GO229" s="214"/>
      <c r="GP229" s="214"/>
      <c r="GQ229" s="214"/>
      <c r="GR229" s="214"/>
      <c r="GS229" s="214"/>
      <c r="GT229" s="214"/>
      <c r="GU229" s="214"/>
      <c r="GV229" s="214"/>
      <c r="GW229" s="214"/>
      <c r="GX229" s="214"/>
      <c r="GY229" s="214"/>
      <c r="GZ229" s="214"/>
      <c r="HA229" s="214"/>
      <c r="HB229" s="214"/>
      <c r="HC229" s="214"/>
      <c r="HD229" s="214"/>
      <c r="HE229" s="214"/>
      <c r="HF229" s="214"/>
      <c r="HG229" s="214"/>
      <c r="HH229" s="214"/>
      <c r="HI229" s="214"/>
      <c r="HJ229" s="214"/>
      <c r="HK229" s="214"/>
      <c r="HL229" s="214"/>
      <c r="HM229" s="214"/>
      <c r="HN229" s="214"/>
      <c r="HO229" s="214"/>
      <c r="HP229" s="214"/>
      <c r="HQ229" s="214"/>
      <c r="HR229" s="214"/>
      <c r="HS229" s="214"/>
      <c r="HT229" s="214"/>
      <c r="HU229" s="214"/>
      <c r="HV229" s="214"/>
      <c r="HW229" s="214"/>
      <c r="HX229" s="214"/>
      <c r="HY229" s="214"/>
      <c r="HZ229" s="214"/>
      <c r="IA229" s="214"/>
      <c r="IB229" s="214"/>
      <c r="IC229" s="214"/>
      <c r="ID229" s="214"/>
      <c r="IE229" s="214"/>
      <c r="IF229" s="214"/>
      <c r="IG229" s="214"/>
      <c r="IH229" s="214"/>
      <c r="II229" s="214"/>
      <c r="IJ229" s="214"/>
      <c r="IK229" s="214"/>
      <c r="IL229" s="214"/>
      <c r="IM229" s="214"/>
      <c r="IN229" s="214"/>
      <c r="IO229" s="214"/>
      <c r="IP229" s="214"/>
      <c r="IQ229" s="214"/>
      <c r="IR229" s="214"/>
    </row>
    <row r="230" spans="13:252" ht="13.5" hidden="1" customHeight="1" thickTop="1" thickBot="1">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c r="CG230" s="214"/>
      <c r="CH230" s="214"/>
      <c r="CI230" s="214"/>
      <c r="CJ230" s="214"/>
      <c r="CK230" s="214"/>
      <c r="CL230" s="214"/>
      <c r="CM230" s="214"/>
      <c r="CN230" s="214"/>
      <c r="CO230" s="214"/>
      <c r="CP230" s="214"/>
      <c r="CQ230" s="214"/>
      <c r="CR230" s="214"/>
      <c r="CS230" s="214"/>
      <c r="CT230" s="214"/>
      <c r="CU230" s="214"/>
      <c r="CV230" s="214"/>
      <c r="CW230" s="214"/>
      <c r="CX230" s="214"/>
      <c r="CY230" s="214"/>
      <c r="CZ230" s="214"/>
      <c r="DA230" s="214"/>
      <c r="DB230" s="214"/>
      <c r="DC230" s="214"/>
      <c r="DD230" s="214"/>
      <c r="DE230" s="214"/>
      <c r="DF230" s="214"/>
      <c r="DG230" s="214"/>
      <c r="DH230" s="214"/>
      <c r="DI230" s="214"/>
      <c r="DJ230" s="214"/>
      <c r="DK230" s="214"/>
      <c r="DL230" s="214"/>
      <c r="DM230" s="214"/>
      <c r="DN230" s="214"/>
      <c r="DO230" s="214"/>
      <c r="DP230" s="214"/>
      <c r="DQ230" s="214"/>
      <c r="DR230" s="214"/>
      <c r="DS230" s="214"/>
      <c r="DT230" s="214"/>
      <c r="DU230" s="214"/>
      <c r="DV230" s="214"/>
      <c r="DW230" s="214"/>
      <c r="DX230" s="214"/>
      <c r="DY230" s="214"/>
      <c r="DZ230" s="214"/>
      <c r="EA230" s="214"/>
      <c r="EB230" s="214"/>
      <c r="EC230" s="214"/>
      <c r="ED230" s="214"/>
      <c r="EE230" s="214"/>
      <c r="EF230" s="214"/>
      <c r="EG230" s="214"/>
      <c r="EH230" s="214"/>
      <c r="EI230" s="214"/>
      <c r="EJ230" s="214"/>
      <c r="EK230" s="214"/>
      <c r="EL230" s="214"/>
      <c r="EM230" s="214"/>
      <c r="EN230" s="214"/>
      <c r="EO230" s="214"/>
      <c r="EP230" s="214"/>
      <c r="EQ230" s="214"/>
      <c r="ER230" s="214"/>
      <c r="ES230" s="214"/>
      <c r="ET230" s="214"/>
      <c r="EU230" s="214"/>
      <c r="EV230" s="214"/>
      <c r="EW230" s="214"/>
      <c r="EX230" s="214"/>
      <c r="EY230" s="214"/>
      <c r="EZ230" s="214"/>
      <c r="FA230" s="214"/>
      <c r="FB230" s="214"/>
      <c r="FC230" s="214"/>
      <c r="FD230" s="214"/>
      <c r="FE230" s="214"/>
      <c r="FF230" s="214"/>
      <c r="FG230" s="214"/>
      <c r="FH230" s="214"/>
      <c r="FI230" s="214"/>
      <c r="FJ230" s="214"/>
      <c r="FK230" s="214"/>
      <c r="FL230" s="214"/>
      <c r="FM230" s="214"/>
      <c r="FN230" s="214"/>
      <c r="FO230" s="214"/>
      <c r="FP230" s="214"/>
      <c r="FQ230" s="214"/>
      <c r="FR230" s="214"/>
      <c r="FS230" s="214"/>
      <c r="FT230" s="214"/>
      <c r="FU230" s="214"/>
      <c r="FV230" s="214"/>
      <c r="FW230" s="214"/>
      <c r="FX230" s="214"/>
      <c r="FY230" s="214"/>
      <c r="FZ230" s="214"/>
      <c r="GA230" s="214"/>
      <c r="GB230" s="214"/>
      <c r="GC230" s="214"/>
      <c r="GD230" s="214"/>
      <c r="GE230" s="214"/>
      <c r="GF230" s="214"/>
      <c r="GG230" s="214"/>
      <c r="GH230" s="214"/>
      <c r="GI230" s="214"/>
      <c r="GJ230" s="214"/>
      <c r="GK230" s="214"/>
      <c r="GL230" s="214"/>
      <c r="GM230" s="214"/>
      <c r="GN230" s="214"/>
      <c r="GO230" s="214"/>
      <c r="GP230" s="214"/>
      <c r="GQ230" s="214"/>
      <c r="GR230" s="214"/>
      <c r="GS230" s="214"/>
      <c r="GT230" s="214"/>
      <c r="GU230" s="214"/>
      <c r="GV230" s="214"/>
      <c r="GW230" s="214"/>
      <c r="GX230" s="214"/>
      <c r="GY230" s="214"/>
      <c r="GZ230" s="214"/>
      <c r="HA230" s="214"/>
      <c r="HB230" s="214"/>
      <c r="HC230" s="214"/>
      <c r="HD230" s="214"/>
      <c r="HE230" s="214"/>
      <c r="HF230" s="214"/>
      <c r="HG230" s="214"/>
      <c r="HH230" s="214"/>
      <c r="HI230" s="214"/>
      <c r="HJ230" s="214"/>
      <c r="HK230" s="214"/>
      <c r="HL230" s="214"/>
      <c r="HM230" s="214"/>
      <c r="HN230" s="214"/>
      <c r="HO230" s="214"/>
      <c r="HP230" s="214"/>
      <c r="HQ230" s="214"/>
      <c r="HR230" s="214"/>
      <c r="HS230" s="214"/>
      <c r="HT230" s="214"/>
      <c r="HU230" s="214"/>
      <c r="HV230" s="214"/>
      <c r="HW230" s="214"/>
      <c r="HX230" s="214"/>
      <c r="HY230" s="214"/>
      <c r="HZ230" s="214"/>
      <c r="IA230" s="214"/>
      <c r="IB230" s="214"/>
      <c r="IC230" s="214"/>
      <c r="ID230" s="214"/>
      <c r="IE230" s="214"/>
      <c r="IF230" s="214"/>
      <c r="IG230" s="214"/>
      <c r="IH230" s="214"/>
      <c r="II230" s="214"/>
      <c r="IJ230" s="214"/>
      <c r="IK230" s="214"/>
      <c r="IL230" s="214"/>
      <c r="IM230" s="214"/>
      <c r="IN230" s="214"/>
      <c r="IO230" s="214"/>
      <c r="IP230" s="214"/>
      <c r="IQ230" s="214"/>
      <c r="IR230" s="214"/>
    </row>
    <row r="231" spans="13:252" ht="15.75" hidden="1" customHeight="1" thickTop="1" thickBot="1">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c r="CG231" s="214"/>
      <c r="CH231" s="214"/>
      <c r="CI231" s="214"/>
      <c r="CJ231" s="214"/>
      <c r="CK231" s="214"/>
      <c r="CL231" s="214"/>
      <c r="CM231" s="214"/>
      <c r="CN231" s="214"/>
      <c r="CO231" s="214"/>
      <c r="CP231" s="214"/>
      <c r="CQ231" s="214"/>
      <c r="CR231" s="214"/>
      <c r="CS231" s="214"/>
      <c r="CT231" s="214"/>
      <c r="CU231" s="214"/>
      <c r="CV231" s="214"/>
      <c r="CW231" s="214"/>
      <c r="CX231" s="214"/>
      <c r="CY231" s="214"/>
      <c r="CZ231" s="214"/>
      <c r="DA231" s="214"/>
      <c r="DB231" s="214"/>
      <c r="DC231" s="214"/>
      <c r="DD231" s="214"/>
      <c r="DE231" s="214"/>
      <c r="DF231" s="214"/>
      <c r="DG231" s="214"/>
      <c r="DH231" s="214"/>
      <c r="DI231" s="214"/>
      <c r="DJ231" s="214"/>
      <c r="DK231" s="214"/>
      <c r="DL231" s="214"/>
      <c r="DM231" s="214"/>
      <c r="DN231" s="214"/>
      <c r="DO231" s="214"/>
      <c r="DP231" s="214"/>
      <c r="DQ231" s="214"/>
      <c r="DR231" s="214"/>
      <c r="DS231" s="214"/>
      <c r="DT231" s="214"/>
      <c r="DU231" s="214"/>
      <c r="DV231" s="214"/>
      <c r="DW231" s="214"/>
      <c r="DX231" s="214"/>
      <c r="DY231" s="214"/>
      <c r="DZ231" s="214"/>
      <c r="EA231" s="214"/>
      <c r="EB231" s="214"/>
      <c r="EC231" s="214"/>
      <c r="ED231" s="214"/>
      <c r="EE231" s="214"/>
      <c r="EF231" s="214"/>
      <c r="EG231" s="214"/>
      <c r="EH231" s="214"/>
      <c r="EI231" s="214"/>
      <c r="EJ231" s="214"/>
      <c r="EK231" s="214"/>
      <c r="EL231" s="214"/>
      <c r="EM231" s="214"/>
      <c r="EN231" s="214"/>
      <c r="EO231" s="214"/>
      <c r="EP231" s="214"/>
      <c r="EQ231" s="214"/>
      <c r="ER231" s="214"/>
      <c r="ES231" s="214"/>
      <c r="ET231" s="214"/>
      <c r="EU231" s="214"/>
      <c r="EV231" s="214"/>
      <c r="EW231" s="214"/>
      <c r="EX231" s="214"/>
      <c r="EY231" s="214"/>
      <c r="EZ231" s="214"/>
      <c r="FA231" s="214"/>
      <c r="FB231" s="214"/>
      <c r="FC231" s="214"/>
      <c r="FD231" s="214"/>
      <c r="FE231" s="214"/>
      <c r="FF231" s="214"/>
      <c r="FG231" s="214"/>
      <c r="FH231" s="214"/>
      <c r="FI231" s="214"/>
      <c r="FJ231" s="214"/>
      <c r="FK231" s="214"/>
      <c r="FL231" s="214"/>
      <c r="FM231" s="214"/>
      <c r="FN231" s="214"/>
      <c r="FO231" s="214"/>
      <c r="FP231" s="214"/>
      <c r="FQ231" s="214"/>
      <c r="FR231" s="214"/>
      <c r="FS231" s="214"/>
      <c r="FT231" s="214"/>
      <c r="FU231" s="214"/>
      <c r="FV231" s="214"/>
      <c r="FW231" s="214"/>
      <c r="FX231" s="214"/>
      <c r="FY231" s="214"/>
      <c r="FZ231" s="214"/>
      <c r="GA231" s="214"/>
      <c r="GB231" s="214"/>
      <c r="GC231" s="214"/>
      <c r="GD231" s="214"/>
      <c r="GE231" s="214"/>
      <c r="GF231" s="214"/>
      <c r="GG231" s="214"/>
      <c r="GH231" s="214"/>
      <c r="GI231" s="214"/>
      <c r="GJ231" s="214"/>
      <c r="GK231" s="214"/>
      <c r="GL231" s="214"/>
      <c r="GM231" s="214"/>
      <c r="GN231" s="214"/>
      <c r="GO231" s="214"/>
      <c r="GP231" s="214"/>
      <c r="GQ231" s="214"/>
      <c r="GR231" s="214"/>
      <c r="GS231" s="214"/>
      <c r="GT231" s="214"/>
      <c r="GU231" s="214"/>
      <c r="GV231" s="214"/>
      <c r="GW231" s="214"/>
      <c r="GX231" s="214"/>
      <c r="GY231" s="214"/>
      <c r="GZ231" s="214"/>
      <c r="HA231" s="214"/>
      <c r="HB231" s="214"/>
      <c r="HC231" s="214"/>
      <c r="HD231" s="214"/>
      <c r="HE231" s="214"/>
      <c r="HF231" s="214"/>
      <c r="HG231" s="214"/>
      <c r="HH231" s="214"/>
      <c r="HI231" s="214"/>
      <c r="HJ231" s="214"/>
      <c r="HK231" s="214"/>
      <c r="HL231" s="214"/>
      <c r="HM231" s="214"/>
      <c r="HN231" s="214"/>
      <c r="HO231" s="214"/>
      <c r="HP231" s="214"/>
      <c r="HQ231" s="214"/>
      <c r="HR231" s="214"/>
      <c r="HS231" s="214"/>
      <c r="HT231" s="214"/>
      <c r="HU231" s="214"/>
      <c r="HV231" s="214"/>
      <c r="HW231" s="214"/>
      <c r="HX231" s="214"/>
      <c r="HY231" s="214"/>
      <c r="HZ231" s="214"/>
      <c r="IA231" s="214"/>
      <c r="IB231" s="214"/>
      <c r="IC231" s="214"/>
      <c r="ID231" s="214"/>
      <c r="IE231" s="214"/>
      <c r="IF231" s="214"/>
      <c r="IG231" s="214"/>
      <c r="IH231" s="214"/>
      <c r="II231" s="214"/>
      <c r="IJ231" s="214"/>
      <c r="IK231" s="214"/>
      <c r="IL231" s="214"/>
      <c r="IM231" s="214"/>
      <c r="IN231" s="214"/>
      <c r="IO231" s="214"/>
      <c r="IP231" s="214"/>
      <c r="IQ231" s="214"/>
      <c r="IR231" s="214"/>
    </row>
    <row r="232" spans="13:252" ht="18" hidden="1" customHeight="1" thickTop="1" thickBot="1">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c r="CG232" s="214"/>
      <c r="CH232" s="214"/>
      <c r="CI232" s="214"/>
      <c r="CJ232" s="214"/>
      <c r="CK232" s="214"/>
      <c r="CL232" s="214"/>
      <c r="CM232" s="214"/>
      <c r="CN232" s="214"/>
      <c r="CO232" s="214"/>
      <c r="CP232" s="214"/>
      <c r="CQ232" s="214"/>
      <c r="CR232" s="214"/>
      <c r="CS232" s="214"/>
      <c r="CT232" s="214"/>
      <c r="CU232" s="214"/>
      <c r="CV232" s="214"/>
      <c r="CW232" s="214"/>
      <c r="CX232" s="214"/>
      <c r="CY232" s="214"/>
      <c r="CZ232" s="214"/>
      <c r="DA232" s="214"/>
      <c r="DB232" s="214"/>
      <c r="DC232" s="214"/>
      <c r="DD232" s="214"/>
      <c r="DE232" s="214"/>
      <c r="DF232" s="214"/>
      <c r="DG232" s="214"/>
      <c r="DH232" s="214"/>
      <c r="DI232" s="214"/>
      <c r="DJ232" s="214"/>
      <c r="DK232" s="214"/>
      <c r="DL232" s="214"/>
      <c r="DM232" s="214"/>
      <c r="DN232" s="214"/>
      <c r="DO232" s="214"/>
      <c r="DP232" s="214"/>
      <c r="DQ232" s="214"/>
      <c r="DR232" s="214"/>
      <c r="DS232" s="214"/>
      <c r="DT232" s="214"/>
      <c r="DU232" s="214"/>
      <c r="DV232" s="214"/>
      <c r="DW232" s="214"/>
      <c r="DX232" s="214"/>
      <c r="DY232" s="214"/>
      <c r="DZ232" s="214"/>
      <c r="EA232" s="214"/>
      <c r="EB232" s="214"/>
      <c r="EC232" s="214"/>
      <c r="ED232" s="214"/>
      <c r="EE232" s="214"/>
      <c r="EF232" s="214"/>
      <c r="EG232" s="214"/>
      <c r="EH232" s="214"/>
      <c r="EI232" s="214"/>
      <c r="EJ232" s="214"/>
      <c r="EK232" s="214"/>
      <c r="EL232" s="214"/>
      <c r="EM232" s="214"/>
      <c r="EN232" s="214"/>
      <c r="EO232" s="214"/>
      <c r="EP232" s="214"/>
      <c r="EQ232" s="214"/>
      <c r="ER232" s="214"/>
      <c r="ES232" s="214"/>
      <c r="ET232" s="214"/>
      <c r="EU232" s="214"/>
      <c r="EV232" s="214"/>
      <c r="EW232" s="214"/>
      <c r="EX232" s="214"/>
      <c r="EY232" s="214"/>
      <c r="EZ232" s="214"/>
      <c r="FA232" s="214"/>
      <c r="FB232" s="214"/>
      <c r="FC232" s="214"/>
      <c r="FD232" s="214"/>
      <c r="FE232" s="214"/>
      <c r="FF232" s="214"/>
      <c r="FG232" s="214"/>
      <c r="FH232" s="214"/>
      <c r="FI232" s="214"/>
      <c r="FJ232" s="214"/>
      <c r="FK232" s="214"/>
      <c r="FL232" s="214"/>
      <c r="FM232" s="214"/>
      <c r="FN232" s="214"/>
      <c r="FO232" s="214"/>
      <c r="FP232" s="214"/>
      <c r="FQ232" s="214"/>
      <c r="FR232" s="214"/>
      <c r="FS232" s="214"/>
      <c r="FT232" s="214"/>
      <c r="FU232" s="214"/>
      <c r="FV232" s="214"/>
      <c r="FW232" s="214"/>
      <c r="FX232" s="214"/>
      <c r="FY232" s="214"/>
      <c r="FZ232" s="214"/>
      <c r="GA232" s="214"/>
      <c r="GB232" s="214"/>
      <c r="GC232" s="214"/>
      <c r="GD232" s="214"/>
      <c r="GE232" s="214"/>
      <c r="GF232" s="214"/>
      <c r="GG232" s="214"/>
      <c r="GH232" s="214"/>
      <c r="GI232" s="214"/>
      <c r="GJ232" s="214"/>
      <c r="GK232" s="214"/>
      <c r="GL232" s="214"/>
      <c r="GM232" s="214"/>
      <c r="GN232" s="214"/>
      <c r="GO232" s="214"/>
      <c r="GP232" s="214"/>
      <c r="GQ232" s="214"/>
      <c r="GR232" s="214"/>
      <c r="GS232" s="214"/>
      <c r="GT232" s="214"/>
      <c r="GU232" s="214"/>
      <c r="GV232" s="214"/>
      <c r="GW232" s="214"/>
      <c r="GX232" s="214"/>
      <c r="GY232" s="214"/>
      <c r="GZ232" s="214"/>
      <c r="HA232" s="214"/>
      <c r="HB232" s="214"/>
      <c r="HC232" s="214"/>
      <c r="HD232" s="214"/>
      <c r="HE232" s="214"/>
      <c r="HF232" s="214"/>
      <c r="HG232" s="214"/>
      <c r="HH232" s="214"/>
      <c r="HI232" s="214"/>
      <c r="HJ232" s="214"/>
      <c r="HK232" s="214"/>
      <c r="HL232" s="214"/>
      <c r="HM232" s="214"/>
      <c r="HN232" s="214"/>
      <c r="HO232" s="214"/>
      <c r="HP232" s="214"/>
      <c r="HQ232" s="214"/>
      <c r="HR232" s="214"/>
      <c r="HS232" s="214"/>
      <c r="HT232" s="214"/>
      <c r="HU232" s="214"/>
      <c r="HV232" s="214"/>
      <c r="HW232" s="214"/>
      <c r="HX232" s="214"/>
      <c r="HY232" s="214"/>
      <c r="HZ232" s="214"/>
      <c r="IA232" s="214"/>
      <c r="IB232" s="214"/>
      <c r="IC232" s="214"/>
      <c r="ID232" s="214"/>
      <c r="IE232" s="214"/>
      <c r="IF232" s="214"/>
      <c r="IG232" s="214"/>
      <c r="IH232" s="214"/>
      <c r="II232" s="214"/>
      <c r="IJ232" s="214"/>
      <c r="IK232" s="214"/>
      <c r="IL232" s="214"/>
      <c r="IM232" s="214"/>
      <c r="IN232" s="214"/>
      <c r="IO232" s="214"/>
      <c r="IP232" s="214"/>
      <c r="IQ232" s="214"/>
      <c r="IR232" s="214"/>
    </row>
    <row r="233" spans="13:252" ht="18" hidden="1" customHeight="1" thickTop="1" thickBot="1">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c r="CG233" s="214"/>
      <c r="CH233" s="214"/>
      <c r="CI233" s="214"/>
      <c r="CJ233" s="214"/>
      <c r="CK233" s="214"/>
      <c r="CL233" s="214"/>
      <c r="CM233" s="214"/>
      <c r="CN233" s="214"/>
      <c r="CO233" s="214"/>
      <c r="CP233" s="214"/>
      <c r="CQ233" s="214"/>
      <c r="CR233" s="214"/>
      <c r="CS233" s="214"/>
      <c r="CT233" s="214"/>
      <c r="CU233" s="214"/>
      <c r="CV233" s="214"/>
      <c r="CW233" s="214"/>
      <c r="CX233" s="214"/>
      <c r="CY233" s="214"/>
      <c r="CZ233" s="214"/>
      <c r="DA233" s="214"/>
      <c r="DB233" s="214"/>
      <c r="DC233" s="214"/>
      <c r="DD233" s="214"/>
      <c r="DE233" s="214"/>
      <c r="DF233" s="214"/>
      <c r="DG233" s="214"/>
      <c r="DH233" s="214"/>
      <c r="DI233" s="214"/>
      <c r="DJ233" s="214"/>
      <c r="DK233" s="214"/>
      <c r="DL233" s="214"/>
      <c r="DM233" s="214"/>
      <c r="DN233" s="214"/>
      <c r="DO233" s="214"/>
      <c r="DP233" s="214"/>
      <c r="DQ233" s="214"/>
      <c r="DR233" s="214"/>
      <c r="DS233" s="214"/>
      <c r="DT233" s="214"/>
      <c r="DU233" s="214"/>
      <c r="DV233" s="214"/>
      <c r="DW233" s="214"/>
      <c r="DX233" s="214"/>
      <c r="DY233" s="214"/>
      <c r="DZ233" s="214"/>
      <c r="EA233" s="214"/>
      <c r="EB233" s="214"/>
      <c r="EC233" s="214"/>
      <c r="ED233" s="214"/>
      <c r="EE233" s="214"/>
      <c r="EF233" s="214"/>
      <c r="EG233" s="214"/>
      <c r="EH233" s="214"/>
      <c r="EI233" s="214"/>
      <c r="EJ233" s="214"/>
      <c r="EK233" s="214"/>
      <c r="EL233" s="214"/>
      <c r="EM233" s="214"/>
      <c r="EN233" s="214"/>
      <c r="EO233" s="214"/>
      <c r="EP233" s="214"/>
      <c r="EQ233" s="214"/>
      <c r="ER233" s="214"/>
      <c r="ES233" s="214"/>
      <c r="ET233" s="214"/>
      <c r="EU233" s="214"/>
      <c r="EV233" s="214"/>
      <c r="EW233" s="214"/>
      <c r="EX233" s="214"/>
      <c r="EY233" s="214"/>
      <c r="EZ233" s="214"/>
      <c r="FA233" s="214"/>
      <c r="FB233" s="214"/>
      <c r="FC233" s="214"/>
      <c r="FD233" s="214"/>
      <c r="FE233" s="214"/>
      <c r="FF233" s="214"/>
      <c r="FG233" s="214"/>
      <c r="FH233" s="214"/>
      <c r="FI233" s="214"/>
      <c r="FJ233" s="214"/>
      <c r="FK233" s="214"/>
      <c r="FL233" s="214"/>
      <c r="FM233" s="214"/>
      <c r="FN233" s="214"/>
      <c r="FO233" s="214"/>
      <c r="FP233" s="214"/>
      <c r="FQ233" s="214"/>
      <c r="FR233" s="214"/>
      <c r="FS233" s="214"/>
      <c r="FT233" s="214"/>
      <c r="FU233" s="214"/>
      <c r="FV233" s="214"/>
      <c r="FW233" s="214"/>
      <c r="FX233" s="214"/>
      <c r="FY233" s="214"/>
      <c r="FZ233" s="214"/>
      <c r="GA233" s="214"/>
      <c r="GB233" s="214"/>
      <c r="GC233" s="214"/>
      <c r="GD233" s="214"/>
      <c r="GE233" s="214"/>
      <c r="GF233" s="214"/>
      <c r="GG233" s="214"/>
      <c r="GH233" s="214"/>
      <c r="GI233" s="214"/>
      <c r="GJ233" s="214"/>
      <c r="GK233" s="214"/>
      <c r="GL233" s="214"/>
      <c r="GM233" s="214"/>
      <c r="GN233" s="214"/>
      <c r="GO233" s="214"/>
      <c r="GP233" s="214"/>
      <c r="GQ233" s="214"/>
      <c r="GR233" s="214"/>
      <c r="GS233" s="214"/>
      <c r="GT233" s="214"/>
      <c r="GU233" s="214"/>
      <c r="GV233" s="214"/>
      <c r="GW233" s="214"/>
      <c r="GX233" s="214"/>
      <c r="GY233" s="214"/>
      <c r="GZ233" s="214"/>
      <c r="HA233" s="214"/>
      <c r="HB233" s="214"/>
      <c r="HC233" s="214"/>
      <c r="HD233" s="214"/>
      <c r="HE233" s="214"/>
      <c r="HF233" s="214"/>
      <c r="HG233" s="214"/>
      <c r="HH233" s="214"/>
      <c r="HI233" s="214"/>
      <c r="HJ233" s="214"/>
      <c r="HK233" s="214"/>
      <c r="HL233" s="214"/>
      <c r="HM233" s="214"/>
      <c r="HN233" s="214"/>
      <c r="HO233" s="214"/>
      <c r="HP233" s="214"/>
      <c r="HQ233" s="214"/>
      <c r="HR233" s="214"/>
      <c r="HS233" s="214"/>
      <c r="HT233" s="214"/>
      <c r="HU233" s="214"/>
      <c r="HV233" s="214"/>
      <c r="HW233" s="214"/>
      <c r="HX233" s="214"/>
      <c r="HY233" s="214"/>
      <c r="HZ233" s="214"/>
      <c r="IA233" s="214"/>
      <c r="IB233" s="214"/>
      <c r="IC233" s="214"/>
      <c r="ID233" s="214"/>
      <c r="IE233" s="214"/>
      <c r="IF233" s="214"/>
      <c r="IG233" s="214"/>
      <c r="IH233" s="214"/>
      <c r="II233" s="214"/>
      <c r="IJ233" s="214"/>
      <c r="IK233" s="214"/>
      <c r="IL233" s="214"/>
      <c r="IM233" s="214"/>
      <c r="IN233" s="214"/>
      <c r="IO233" s="214"/>
      <c r="IP233" s="214"/>
      <c r="IQ233" s="214"/>
      <c r="IR233" s="214"/>
    </row>
    <row r="234" spans="13:252" ht="15.75" hidden="1" customHeight="1" thickTop="1" thickBot="1">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c r="CG234" s="214"/>
      <c r="CH234" s="214"/>
      <c r="CI234" s="214"/>
      <c r="CJ234" s="214"/>
      <c r="CK234" s="214"/>
      <c r="CL234" s="214"/>
      <c r="CM234" s="214"/>
      <c r="CN234" s="214"/>
      <c r="CO234" s="214"/>
      <c r="CP234" s="214"/>
      <c r="CQ234" s="214"/>
      <c r="CR234" s="214"/>
      <c r="CS234" s="214"/>
      <c r="CT234" s="214"/>
      <c r="CU234" s="214"/>
      <c r="CV234" s="214"/>
      <c r="CW234" s="214"/>
      <c r="CX234" s="214"/>
      <c r="CY234" s="214"/>
      <c r="CZ234" s="214"/>
      <c r="DA234" s="214"/>
      <c r="DB234" s="214"/>
      <c r="DC234" s="214"/>
      <c r="DD234" s="214"/>
      <c r="DE234" s="214"/>
      <c r="DF234" s="214"/>
      <c r="DG234" s="214"/>
      <c r="DH234" s="214"/>
      <c r="DI234" s="214"/>
      <c r="DJ234" s="214"/>
      <c r="DK234" s="214"/>
      <c r="DL234" s="214"/>
      <c r="DM234" s="214"/>
      <c r="DN234" s="214"/>
      <c r="DO234" s="214"/>
      <c r="DP234" s="214"/>
      <c r="DQ234" s="214"/>
      <c r="DR234" s="214"/>
      <c r="DS234" s="214"/>
      <c r="DT234" s="214"/>
      <c r="DU234" s="214"/>
      <c r="DV234" s="214"/>
      <c r="DW234" s="214"/>
      <c r="DX234" s="214"/>
      <c r="DY234" s="214"/>
      <c r="DZ234" s="214"/>
      <c r="EA234" s="214"/>
      <c r="EB234" s="214"/>
      <c r="EC234" s="214"/>
      <c r="ED234" s="214"/>
      <c r="EE234" s="214"/>
      <c r="EF234" s="214"/>
      <c r="EG234" s="214"/>
      <c r="EH234" s="214"/>
      <c r="EI234" s="214"/>
      <c r="EJ234" s="214"/>
      <c r="EK234" s="214"/>
      <c r="EL234" s="214"/>
      <c r="EM234" s="214"/>
      <c r="EN234" s="214"/>
      <c r="EO234" s="214"/>
      <c r="EP234" s="214"/>
      <c r="EQ234" s="214"/>
      <c r="ER234" s="214"/>
      <c r="ES234" s="214"/>
      <c r="ET234" s="214"/>
      <c r="EU234" s="214"/>
      <c r="EV234" s="214"/>
      <c r="EW234" s="214"/>
      <c r="EX234" s="214"/>
      <c r="EY234" s="214"/>
      <c r="EZ234" s="214"/>
      <c r="FA234" s="214"/>
      <c r="FB234" s="214"/>
      <c r="FC234" s="214"/>
      <c r="FD234" s="214"/>
      <c r="FE234" s="214"/>
      <c r="FF234" s="214"/>
      <c r="FG234" s="214"/>
      <c r="FH234" s="214"/>
      <c r="FI234" s="214"/>
      <c r="FJ234" s="214"/>
      <c r="FK234" s="214"/>
      <c r="FL234" s="214"/>
      <c r="FM234" s="214"/>
      <c r="FN234" s="214"/>
      <c r="FO234" s="214"/>
      <c r="FP234" s="214"/>
      <c r="FQ234" s="214"/>
      <c r="FR234" s="214"/>
      <c r="FS234" s="214"/>
      <c r="FT234" s="214"/>
      <c r="FU234" s="214"/>
      <c r="FV234" s="214"/>
      <c r="FW234" s="214"/>
      <c r="FX234" s="214"/>
      <c r="FY234" s="214"/>
      <c r="FZ234" s="214"/>
      <c r="GA234" s="214"/>
      <c r="GB234" s="214"/>
      <c r="GC234" s="214"/>
      <c r="GD234" s="214"/>
      <c r="GE234" s="214"/>
      <c r="GF234" s="214"/>
      <c r="GG234" s="214"/>
      <c r="GH234" s="214"/>
      <c r="GI234" s="214"/>
      <c r="GJ234" s="214"/>
      <c r="GK234" s="214"/>
      <c r="GL234" s="214"/>
      <c r="GM234" s="214"/>
      <c r="GN234" s="214"/>
      <c r="GO234" s="214"/>
      <c r="GP234" s="214"/>
      <c r="GQ234" s="214"/>
      <c r="GR234" s="214"/>
      <c r="GS234" s="214"/>
      <c r="GT234" s="214"/>
      <c r="GU234" s="214"/>
      <c r="GV234" s="214"/>
      <c r="GW234" s="214"/>
      <c r="GX234" s="214"/>
      <c r="GY234" s="214"/>
      <c r="GZ234" s="214"/>
      <c r="HA234" s="214"/>
      <c r="HB234" s="214"/>
      <c r="HC234" s="214"/>
      <c r="HD234" s="214"/>
      <c r="HE234" s="214"/>
      <c r="HF234" s="214"/>
      <c r="HG234" s="214"/>
      <c r="HH234" s="214"/>
      <c r="HI234" s="214"/>
      <c r="HJ234" s="214"/>
      <c r="HK234" s="214"/>
      <c r="HL234" s="214"/>
      <c r="HM234" s="214"/>
      <c r="HN234" s="214"/>
      <c r="HO234" s="214"/>
      <c r="HP234" s="214"/>
      <c r="HQ234" s="214"/>
      <c r="HR234" s="214"/>
      <c r="HS234" s="214"/>
      <c r="HT234" s="214"/>
      <c r="HU234" s="214"/>
      <c r="HV234" s="214"/>
      <c r="HW234" s="214"/>
      <c r="HX234" s="214"/>
      <c r="HY234" s="214"/>
      <c r="HZ234" s="214"/>
      <c r="IA234" s="214"/>
      <c r="IB234" s="214"/>
      <c r="IC234" s="214"/>
      <c r="ID234" s="214"/>
      <c r="IE234" s="214"/>
      <c r="IF234" s="214"/>
      <c r="IG234" s="214"/>
      <c r="IH234" s="214"/>
      <c r="II234" s="214"/>
      <c r="IJ234" s="214"/>
      <c r="IK234" s="214"/>
      <c r="IL234" s="214"/>
      <c r="IM234" s="214"/>
      <c r="IN234" s="214"/>
      <c r="IO234" s="214"/>
      <c r="IP234" s="214"/>
      <c r="IQ234" s="214"/>
      <c r="IR234" s="214"/>
    </row>
    <row r="235" spans="13:252" ht="18" hidden="1" customHeight="1" thickTop="1" thickBot="1">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c r="CG235" s="214"/>
      <c r="CH235" s="214"/>
      <c r="CI235" s="214"/>
      <c r="CJ235" s="214"/>
      <c r="CK235" s="214"/>
      <c r="CL235" s="214"/>
      <c r="CM235" s="214"/>
      <c r="CN235" s="214"/>
      <c r="CO235" s="214"/>
      <c r="CP235" s="214"/>
      <c r="CQ235" s="214"/>
      <c r="CR235" s="214"/>
      <c r="CS235" s="214"/>
      <c r="CT235" s="214"/>
      <c r="CU235" s="214"/>
      <c r="CV235" s="214"/>
      <c r="CW235" s="214"/>
      <c r="CX235" s="214"/>
      <c r="CY235" s="214"/>
      <c r="CZ235" s="214"/>
      <c r="DA235" s="214"/>
      <c r="DB235" s="214"/>
      <c r="DC235" s="214"/>
      <c r="DD235" s="214"/>
      <c r="DE235" s="214"/>
      <c r="DF235" s="214"/>
      <c r="DG235" s="214"/>
      <c r="DH235" s="214"/>
      <c r="DI235" s="214"/>
      <c r="DJ235" s="214"/>
      <c r="DK235" s="214"/>
      <c r="DL235" s="214"/>
      <c r="DM235" s="214"/>
      <c r="DN235" s="214"/>
      <c r="DO235" s="214"/>
      <c r="DP235" s="214"/>
      <c r="DQ235" s="214"/>
      <c r="DR235" s="214"/>
      <c r="DS235" s="214"/>
      <c r="DT235" s="214"/>
      <c r="DU235" s="214"/>
      <c r="DV235" s="214"/>
      <c r="DW235" s="214"/>
      <c r="DX235" s="214"/>
      <c r="DY235" s="214"/>
      <c r="DZ235" s="214"/>
      <c r="EA235" s="214"/>
      <c r="EB235" s="214"/>
      <c r="EC235" s="214"/>
      <c r="ED235" s="214"/>
      <c r="EE235" s="214"/>
      <c r="EF235" s="214"/>
      <c r="EG235" s="214"/>
      <c r="EH235" s="214"/>
      <c r="EI235" s="214"/>
      <c r="EJ235" s="214"/>
      <c r="EK235" s="214"/>
      <c r="EL235" s="214"/>
      <c r="EM235" s="214"/>
      <c r="EN235" s="214"/>
      <c r="EO235" s="214"/>
      <c r="EP235" s="214"/>
      <c r="EQ235" s="214"/>
      <c r="ER235" s="214"/>
      <c r="ES235" s="214"/>
      <c r="ET235" s="214"/>
      <c r="EU235" s="214"/>
      <c r="EV235" s="214"/>
      <c r="EW235" s="214"/>
      <c r="EX235" s="214"/>
      <c r="EY235" s="214"/>
      <c r="EZ235" s="214"/>
      <c r="FA235" s="214"/>
      <c r="FB235" s="214"/>
      <c r="FC235" s="214"/>
      <c r="FD235" s="214"/>
      <c r="FE235" s="214"/>
      <c r="FF235" s="214"/>
      <c r="FG235" s="214"/>
      <c r="FH235" s="214"/>
      <c r="FI235" s="214"/>
      <c r="FJ235" s="214"/>
      <c r="FK235" s="214"/>
      <c r="FL235" s="214"/>
      <c r="FM235" s="214"/>
      <c r="FN235" s="214"/>
      <c r="FO235" s="214"/>
      <c r="FP235" s="214"/>
      <c r="FQ235" s="214"/>
      <c r="FR235" s="214"/>
      <c r="FS235" s="214"/>
      <c r="FT235" s="214"/>
      <c r="FU235" s="214"/>
      <c r="FV235" s="214"/>
      <c r="FW235" s="214"/>
      <c r="FX235" s="214"/>
      <c r="FY235" s="214"/>
      <c r="FZ235" s="214"/>
      <c r="GA235" s="214"/>
      <c r="GB235" s="214"/>
      <c r="GC235" s="214"/>
      <c r="GD235" s="214"/>
      <c r="GE235" s="214"/>
      <c r="GF235" s="214"/>
      <c r="GG235" s="214"/>
      <c r="GH235" s="214"/>
      <c r="GI235" s="214"/>
      <c r="GJ235" s="214"/>
      <c r="GK235" s="214"/>
      <c r="GL235" s="214"/>
      <c r="GM235" s="214"/>
      <c r="GN235" s="214"/>
      <c r="GO235" s="214"/>
      <c r="GP235" s="214"/>
      <c r="GQ235" s="214"/>
      <c r="GR235" s="214"/>
      <c r="GS235" s="214"/>
      <c r="GT235" s="214"/>
      <c r="GU235" s="214"/>
      <c r="GV235" s="214"/>
      <c r="GW235" s="214"/>
      <c r="GX235" s="214"/>
      <c r="GY235" s="214"/>
      <c r="GZ235" s="214"/>
      <c r="HA235" s="214"/>
      <c r="HB235" s="214"/>
      <c r="HC235" s="214"/>
      <c r="HD235" s="214"/>
      <c r="HE235" s="214"/>
      <c r="HF235" s="214"/>
      <c r="HG235" s="214"/>
      <c r="HH235" s="214"/>
      <c r="HI235" s="214"/>
      <c r="HJ235" s="214"/>
      <c r="HK235" s="214"/>
      <c r="HL235" s="214"/>
      <c r="HM235" s="214"/>
      <c r="HN235" s="214"/>
      <c r="HO235" s="214"/>
      <c r="HP235" s="214"/>
      <c r="HQ235" s="214"/>
      <c r="HR235" s="214"/>
      <c r="HS235" s="214"/>
      <c r="HT235" s="214"/>
      <c r="HU235" s="214"/>
      <c r="HV235" s="214"/>
      <c r="HW235" s="214"/>
      <c r="HX235" s="214"/>
      <c r="HY235" s="214"/>
      <c r="HZ235" s="214"/>
      <c r="IA235" s="214"/>
      <c r="IB235" s="214"/>
      <c r="IC235" s="214"/>
      <c r="ID235" s="214"/>
      <c r="IE235" s="214"/>
      <c r="IF235" s="214"/>
      <c r="IG235" s="214"/>
      <c r="IH235" s="214"/>
      <c r="II235" s="214"/>
      <c r="IJ235" s="214"/>
      <c r="IK235" s="214"/>
      <c r="IL235" s="214"/>
      <c r="IM235" s="214"/>
      <c r="IN235" s="214"/>
      <c r="IO235" s="214"/>
      <c r="IP235" s="214"/>
      <c r="IQ235" s="214"/>
      <c r="IR235" s="214"/>
    </row>
    <row r="236" spans="13:252" ht="13.5" hidden="1" customHeight="1" thickTop="1" thickBot="1">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c r="CG236" s="214"/>
      <c r="CH236" s="214"/>
      <c r="CI236" s="214"/>
      <c r="CJ236" s="214"/>
      <c r="CK236" s="214"/>
      <c r="CL236" s="214"/>
      <c r="CM236" s="214"/>
      <c r="CN236" s="214"/>
      <c r="CO236" s="214"/>
      <c r="CP236" s="214"/>
      <c r="CQ236" s="214"/>
      <c r="CR236" s="214"/>
      <c r="CS236" s="214"/>
      <c r="CT236" s="214"/>
      <c r="CU236" s="214"/>
      <c r="CV236" s="214"/>
      <c r="CW236" s="214"/>
      <c r="CX236" s="214"/>
      <c r="CY236" s="214"/>
      <c r="CZ236" s="214"/>
      <c r="DA236" s="214"/>
      <c r="DB236" s="214"/>
      <c r="DC236" s="214"/>
      <c r="DD236" s="214"/>
      <c r="DE236" s="214"/>
      <c r="DF236" s="214"/>
      <c r="DG236" s="214"/>
      <c r="DH236" s="214"/>
      <c r="DI236" s="214"/>
      <c r="DJ236" s="214"/>
      <c r="DK236" s="214"/>
      <c r="DL236" s="214"/>
      <c r="DM236" s="214"/>
      <c r="DN236" s="214"/>
      <c r="DO236" s="214"/>
      <c r="DP236" s="214"/>
      <c r="DQ236" s="214"/>
      <c r="DR236" s="214"/>
      <c r="DS236" s="214"/>
      <c r="DT236" s="214"/>
      <c r="DU236" s="214"/>
      <c r="DV236" s="214"/>
      <c r="DW236" s="214"/>
      <c r="DX236" s="214"/>
      <c r="DY236" s="214"/>
      <c r="DZ236" s="214"/>
      <c r="EA236" s="214"/>
      <c r="EB236" s="214"/>
      <c r="EC236" s="214"/>
      <c r="ED236" s="214"/>
      <c r="EE236" s="214"/>
      <c r="EF236" s="214"/>
      <c r="EG236" s="214"/>
      <c r="EH236" s="214"/>
      <c r="EI236" s="214"/>
      <c r="EJ236" s="214"/>
      <c r="EK236" s="214"/>
      <c r="EL236" s="214"/>
      <c r="EM236" s="214"/>
      <c r="EN236" s="214"/>
      <c r="EO236" s="214"/>
      <c r="EP236" s="214"/>
      <c r="EQ236" s="214"/>
      <c r="ER236" s="214"/>
      <c r="ES236" s="214"/>
      <c r="ET236" s="214"/>
      <c r="EU236" s="214"/>
      <c r="EV236" s="214"/>
      <c r="EW236" s="214"/>
      <c r="EX236" s="214"/>
      <c r="EY236" s="214"/>
      <c r="EZ236" s="214"/>
      <c r="FA236" s="214"/>
      <c r="FB236" s="214"/>
      <c r="FC236" s="214"/>
      <c r="FD236" s="214"/>
      <c r="FE236" s="214"/>
      <c r="FF236" s="214"/>
      <c r="FG236" s="214"/>
      <c r="FH236" s="214"/>
      <c r="FI236" s="214"/>
      <c r="FJ236" s="214"/>
      <c r="FK236" s="214"/>
      <c r="FL236" s="214"/>
      <c r="FM236" s="214"/>
      <c r="FN236" s="214"/>
      <c r="FO236" s="214"/>
      <c r="FP236" s="214"/>
      <c r="FQ236" s="214"/>
      <c r="FR236" s="214"/>
      <c r="FS236" s="214"/>
      <c r="FT236" s="214"/>
      <c r="FU236" s="214"/>
      <c r="FV236" s="214"/>
      <c r="FW236" s="214"/>
      <c r="FX236" s="214"/>
      <c r="FY236" s="214"/>
      <c r="FZ236" s="214"/>
      <c r="GA236" s="214"/>
      <c r="GB236" s="214"/>
      <c r="GC236" s="214"/>
      <c r="GD236" s="214"/>
      <c r="GE236" s="214"/>
      <c r="GF236" s="214"/>
      <c r="GG236" s="214"/>
      <c r="GH236" s="214"/>
      <c r="GI236" s="214"/>
      <c r="GJ236" s="214"/>
      <c r="GK236" s="214"/>
      <c r="GL236" s="214"/>
      <c r="GM236" s="214"/>
      <c r="GN236" s="214"/>
      <c r="GO236" s="214"/>
      <c r="GP236" s="214"/>
      <c r="GQ236" s="214"/>
      <c r="GR236" s="214"/>
      <c r="GS236" s="214"/>
      <c r="GT236" s="214"/>
      <c r="GU236" s="214"/>
      <c r="GV236" s="214"/>
      <c r="GW236" s="214"/>
      <c r="GX236" s="214"/>
      <c r="GY236" s="214"/>
      <c r="GZ236" s="214"/>
      <c r="HA236" s="214"/>
      <c r="HB236" s="214"/>
      <c r="HC236" s="214"/>
      <c r="HD236" s="214"/>
      <c r="HE236" s="214"/>
      <c r="HF236" s="214"/>
      <c r="HG236" s="214"/>
      <c r="HH236" s="214"/>
      <c r="HI236" s="214"/>
      <c r="HJ236" s="214"/>
      <c r="HK236" s="214"/>
      <c r="HL236" s="214"/>
      <c r="HM236" s="214"/>
      <c r="HN236" s="214"/>
      <c r="HO236" s="214"/>
      <c r="HP236" s="214"/>
      <c r="HQ236" s="214"/>
      <c r="HR236" s="214"/>
      <c r="HS236" s="214"/>
      <c r="HT236" s="214"/>
      <c r="HU236" s="214"/>
      <c r="HV236" s="214"/>
      <c r="HW236" s="214"/>
      <c r="HX236" s="214"/>
      <c r="HY236" s="214"/>
      <c r="HZ236" s="214"/>
      <c r="IA236" s="214"/>
      <c r="IB236" s="214"/>
      <c r="IC236" s="214"/>
      <c r="ID236" s="214"/>
      <c r="IE236" s="214"/>
      <c r="IF236" s="214"/>
      <c r="IG236" s="214"/>
      <c r="IH236" s="214"/>
      <c r="II236" s="214"/>
      <c r="IJ236" s="214"/>
      <c r="IK236" s="214"/>
      <c r="IL236" s="214"/>
      <c r="IM236" s="214"/>
      <c r="IN236" s="214"/>
      <c r="IO236" s="214"/>
      <c r="IP236" s="214"/>
      <c r="IQ236" s="214"/>
      <c r="IR236" s="214"/>
    </row>
    <row r="237" spans="13:252" ht="20.25" hidden="1" customHeight="1" thickTop="1" thickBot="1">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c r="CG237" s="214"/>
      <c r="CH237" s="214"/>
      <c r="CI237" s="214"/>
      <c r="CJ237" s="214"/>
      <c r="CK237" s="214"/>
      <c r="CL237" s="214"/>
      <c r="CM237" s="214"/>
      <c r="CN237" s="214"/>
      <c r="CO237" s="214"/>
      <c r="CP237" s="214"/>
      <c r="CQ237" s="214"/>
      <c r="CR237" s="214"/>
      <c r="CS237" s="214"/>
      <c r="CT237" s="214"/>
      <c r="CU237" s="214"/>
      <c r="CV237" s="214"/>
      <c r="CW237" s="214"/>
      <c r="CX237" s="214"/>
      <c r="CY237" s="214"/>
      <c r="CZ237" s="214"/>
      <c r="DA237" s="214"/>
      <c r="DB237" s="214"/>
      <c r="DC237" s="214"/>
      <c r="DD237" s="214"/>
      <c r="DE237" s="214"/>
      <c r="DF237" s="214"/>
      <c r="DG237" s="214"/>
      <c r="DH237" s="214"/>
      <c r="DI237" s="214"/>
      <c r="DJ237" s="214"/>
      <c r="DK237" s="214"/>
      <c r="DL237" s="214"/>
      <c r="DM237" s="214"/>
      <c r="DN237" s="214"/>
      <c r="DO237" s="214"/>
      <c r="DP237" s="214"/>
      <c r="DQ237" s="214"/>
      <c r="DR237" s="214"/>
      <c r="DS237" s="214"/>
      <c r="DT237" s="214"/>
      <c r="DU237" s="214"/>
      <c r="DV237" s="214"/>
      <c r="DW237" s="214"/>
      <c r="DX237" s="214"/>
      <c r="DY237" s="214"/>
      <c r="DZ237" s="214"/>
      <c r="EA237" s="214"/>
      <c r="EB237" s="214"/>
      <c r="EC237" s="214"/>
      <c r="ED237" s="214"/>
      <c r="EE237" s="214"/>
      <c r="EF237" s="214"/>
      <c r="EG237" s="214"/>
      <c r="EH237" s="214"/>
      <c r="EI237" s="214"/>
      <c r="EJ237" s="214"/>
      <c r="EK237" s="214"/>
      <c r="EL237" s="214"/>
      <c r="EM237" s="214"/>
      <c r="EN237" s="214"/>
      <c r="EO237" s="214"/>
      <c r="EP237" s="214"/>
      <c r="EQ237" s="214"/>
      <c r="ER237" s="214"/>
      <c r="ES237" s="214"/>
      <c r="ET237" s="214"/>
      <c r="EU237" s="214"/>
      <c r="EV237" s="214"/>
      <c r="EW237" s="214"/>
      <c r="EX237" s="214"/>
      <c r="EY237" s="214"/>
      <c r="EZ237" s="214"/>
      <c r="FA237" s="214"/>
      <c r="FB237" s="214"/>
      <c r="FC237" s="214"/>
      <c r="FD237" s="214"/>
      <c r="FE237" s="214"/>
      <c r="FF237" s="214"/>
      <c r="FG237" s="214"/>
      <c r="FH237" s="214"/>
      <c r="FI237" s="214"/>
      <c r="FJ237" s="214"/>
      <c r="FK237" s="214"/>
      <c r="FL237" s="214"/>
      <c r="FM237" s="214"/>
      <c r="FN237" s="214"/>
      <c r="FO237" s="214"/>
      <c r="FP237" s="214"/>
      <c r="FQ237" s="214"/>
      <c r="FR237" s="214"/>
      <c r="FS237" s="214"/>
      <c r="FT237" s="214"/>
      <c r="FU237" s="214"/>
      <c r="FV237" s="214"/>
      <c r="FW237" s="214"/>
      <c r="FX237" s="214"/>
      <c r="FY237" s="214"/>
      <c r="FZ237" s="214"/>
      <c r="GA237" s="214"/>
      <c r="GB237" s="214"/>
      <c r="GC237" s="214"/>
      <c r="GD237" s="214"/>
      <c r="GE237" s="214"/>
      <c r="GF237" s="214"/>
      <c r="GG237" s="214"/>
      <c r="GH237" s="214"/>
      <c r="GI237" s="214"/>
      <c r="GJ237" s="214"/>
      <c r="GK237" s="214"/>
      <c r="GL237" s="214"/>
      <c r="GM237" s="214"/>
      <c r="GN237" s="214"/>
      <c r="GO237" s="214"/>
      <c r="GP237" s="214"/>
      <c r="GQ237" s="214"/>
      <c r="GR237" s="214"/>
      <c r="GS237" s="214"/>
      <c r="GT237" s="214"/>
      <c r="GU237" s="214"/>
      <c r="GV237" s="214"/>
      <c r="GW237" s="214"/>
      <c r="GX237" s="214"/>
      <c r="GY237" s="214"/>
      <c r="GZ237" s="214"/>
      <c r="HA237" s="214"/>
      <c r="HB237" s="214"/>
      <c r="HC237" s="214"/>
      <c r="HD237" s="214"/>
      <c r="HE237" s="214"/>
      <c r="HF237" s="214"/>
      <c r="HG237" s="214"/>
      <c r="HH237" s="214"/>
      <c r="HI237" s="214"/>
      <c r="HJ237" s="214"/>
      <c r="HK237" s="214"/>
      <c r="HL237" s="214"/>
      <c r="HM237" s="214"/>
      <c r="HN237" s="214"/>
      <c r="HO237" s="214"/>
      <c r="HP237" s="214"/>
      <c r="HQ237" s="214"/>
      <c r="HR237" s="214"/>
      <c r="HS237" s="214"/>
      <c r="HT237" s="214"/>
      <c r="HU237" s="214"/>
      <c r="HV237" s="214"/>
      <c r="HW237" s="214"/>
      <c r="HX237" s="214"/>
      <c r="HY237" s="214"/>
      <c r="HZ237" s="214"/>
      <c r="IA237" s="214"/>
      <c r="IB237" s="214"/>
      <c r="IC237" s="214"/>
      <c r="ID237" s="214"/>
      <c r="IE237" s="214"/>
      <c r="IF237" s="214"/>
      <c r="IG237" s="214"/>
      <c r="IH237" s="214"/>
      <c r="II237" s="214"/>
      <c r="IJ237" s="214"/>
      <c r="IK237" s="214"/>
      <c r="IL237" s="214"/>
      <c r="IM237" s="214"/>
      <c r="IN237" s="214"/>
      <c r="IO237" s="214"/>
      <c r="IP237" s="214"/>
      <c r="IQ237" s="214"/>
      <c r="IR237" s="214"/>
    </row>
    <row r="238" spans="13:252" ht="11.25" hidden="1" customHeight="1" thickTop="1" thickBot="1">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c r="CG238" s="214"/>
      <c r="CH238" s="214"/>
      <c r="CI238" s="214"/>
      <c r="CJ238" s="214"/>
      <c r="CK238" s="214"/>
      <c r="CL238" s="214"/>
      <c r="CM238" s="214"/>
      <c r="CN238" s="214"/>
      <c r="CO238" s="214"/>
      <c r="CP238" s="214"/>
      <c r="CQ238" s="214"/>
      <c r="CR238" s="214"/>
      <c r="CS238" s="214"/>
      <c r="CT238" s="214"/>
      <c r="CU238" s="214"/>
      <c r="CV238" s="214"/>
      <c r="CW238" s="214"/>
      <c r="CX238" s="214"/>
      <c r="CY238" s="214"/>
      <c r="CZ238" s="214"/>
      <c r="DA238" s="214"/>
      <c r="DB238" s="214"/>
      <c r="DC238" s="214"/>
      <c r="DD238" s="214"/>
      <c r="DE238" s="214"/>
      <c r="DF238" s="214"/>
      <c r="DG238" s="214"/>
      <c r="DH238" s="214"/>
      <c r="DI238" s="214"/>
      <c r="DJ238" s="214"/>
      <c r="DK238" s="214"/>
      <c r="DL238" s="214"/>
      <c r="DM238" s="214"/>
      <c r="DN238" s="214"/>
      <c r="DO238" s="214"/>
      <c r="DP238" s="214"/>
      <c r="DQ238" s="214"/>
      <c r="DR238" s="214"/>
      <c r="DS238" s="214"/>
      <c r="DT238" s="214"/>
      <c r="DU238" s="214"/>
      <c r="DV238" s="214"/>
      <c r="DW238" s="214"/>
      <c r="DX238" s="214"/>
      <c r="DY238" s="214"/>
      <c r="DZ238" s="214"/>
      <c r="EA238" s="214"/>
      <c r="EB238" s="214"/>
      <c r="EC238" s="214"/>
      <c r="ED238" s="214"/>
      <c r="EE238" s="214"/>
      <c r="EF238" s="214"/>
      <c r="EG238" s="214"/>
      <c r="EH238" s="214"/>
      <c r="EI238" s="214"/>
      <c r="EJ238" s="214"/>
      <c r="EK238" s="214"/>
      <c r="EL238" s="214"/>
      <c r="EM238" s="214"/>
      <c r="EN238" s="214"/>
      <c r="EO238" s="214"/>
      <c r="EP238" s="214"/>
      <c r="EQ238" s="214"/>
      <c r="ER238" s="214"/>
      <c r="ES238" s="214"/>
      <c r="ET238" s="214"/>
      <c r="EU238" s="214"/>
      <c r="EV238" s="214"/>
      <c r="EW238" s="214"/>
      <c r="EX238" s="214"/>
      <c r="EY238" s="214"/>
      <c r="EZ238" s="214"/>
      <c r="FA238" s="214"/>
      <c r="FB238" s="214"/>
      <c r="FC238" s="214"/>
      <c r="FD238" s="214"/>
      <c r="FE238" s="214"/>
      <c r="FF238" s="214"/>
      <c r="FG238" s="214"/>
      <c r="FH238" s="214"/>
      <c r="FI238" s="214"/>
      <c r="FJ238" s="214"/>
      <c r="FK238" s="214"/>
      <c r="FL238" s="214"/>
      <c r="FM238" s="214"/>
      <c r="FN238" s="214"/>
      <c r="FO238" s="214"/>
      <c r="FP238" s="214"/>
      <c r="FQ238" s="214"/>
      <c r="FR238" s="214"/>
      <c r="FS238" s="214"/>
      <c r="FT238" s="214"/>
      <c r="FU238" s="214"/>
      <c r="FV238" s="214"/>
      <c r="FW238" s="214"/>
      <c r="FX238" s="214"/>
      <c r="FY238" s="214"/>
      <c r="FZ238" s="214"/>
      <c r="GA238" s="214"/>
      <c r="GB238" s="214"/>
      <c r="GC238" s="214"/>
      <c r="GD238" s="214"/>
      <c r="GE238" s="214"/>
      <c r="GF238" s="214"/>
      <c r="GG238" s="214"/>
      <c r="GH238" s="214"/>
      <c r="GI238" s="214"/>
      <c r="GJ238" s="214"/>
      <c r="GK238" s="214"/>
      <c r="GL238" s="214"/>
      <c r="GM238" s="214"/>
      <c r="GN238" s="214"/>
      <c r="GO238" s="214"/>
      <c r="GP238" s="214"/>
      <c r="GQ238" s="214"/>
      <c r="GR238" s="214"/>
      <c r="GS238" s="214"/>
      <c r="GT238" s="214"/>
      <c r="GU238" s="214"/>
      <c r="GV238" s="214"/>
      <c r="GW238" s="214"/>
      <c r="GX238" s="214"/>
      <c r="GY238" s="214"/>
      <c r="GZ238" s="214"/>
      <c r="HA238" s="214"/>
      <c r="HB238" s="214"/>
      <c r="HC238" s="214"/>
      <c r="HD238" s="214"/>
      <c r="HE238" s="214"/>
      <c r="HF238" s="214"/>
      <c r="HG238" s="214"/>
      <c r="HH238" s="214"/>
      <c r="HI238" s="214"/>
      <c r="HJ238" s="214"/>
      <c r="HK238" s="214"/>
      <c r="HL238" s="214"/>
      <c r="HM238" s="214"/>
      <c r="HN238" s="214"/>
      <c r="HO238" s="214"/>
      <c r="HP238" s="214"/>
      <c r="HQ238" s="214"/>
      <c r="HR238" s="214"/>
      <c r="HS238" s="214"/>
      <c r="HT238" s="214"/>
      <c r="HU238" s="214"/>
      <c r="HV238" s="214"/>
      <c r="HW238" s="214"/>
      <c r="HX238" s="214"/>
      <c r="HY238" s="214"/>
      <c r="HZ238" s="214"/>
      <c r="IA238" s="214"/>
      <c r="IB238" s="214"/>
      <c r="IC238" s="214"/>
      <c r="ID238" s="214"/>
      <c r="IE238" s="214"/>
      <c r="IF238" s="214"/>
      <c r="IG238" s="214"/>
      <c r="IH238" s="214"/>
      <c r="II238" s="214"/>
      <c r="IJ238" s="214"/>
      <c r="IK238" s="214"/>
      <c r="IL238" s="214"/>
      <c r="IM238" s="214"/>
      <c r="IN238" s="214"/>
      <c r="IO238" s="214"/>
      <c r="IP238" s="214"/>
      <c r="IQ238" s="214"/>
      <c r="IR238" s="214"/>
    </row>
    <row r="239" spans="13:252" ht="15.75" hidden="1" customHeight="1" thickTop="1" thickBot="1">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c r="CG239" s="214"/>
      <c r="CH239" s="214"/>
      <c r="CI239" s="214"/>
      <c r="CJ239" s="214"/>
      <c r="CK239" s="214"/>
      <c r="CL239" s="214"/>
      <c r="CM239" s="214"/>
      <c r="CN239" s="214"/>
      <c r="CO239" s="214"/>
      <c r="CP239" s="214"/>
      <c r="CQ239" s="214"/>
      <c r="CR239" s="214"/>
      <c r="CS239" s="214"/>
      <c r="CT239" s="214"/>
      <c r="CU239" s="214"/>
      <c r="CV239" s="214"/>
      <c r="CW239" s="214"/>
      <c r="CX239" s="214"/>
      <c r="CY239" s="214"/>
      <c r="CZ239" s="214"/>
      <c r="DA239" s="214"/>
      <c r="DB239" s="214"/>
      <c r="DC239" s="214"/>
      <c r="DD239" s="214"/>
      <c r="DE239" s="214"/>
      <c r="DF239" s="214"/>
      <c r="DG239" s="214"/>
      <c r="DH239" s="214"/>
      <c r="DI239" s="214"/>
      <c r="DJ239" s="214"/>
      <c r="DK239" s="214"/>
      <c r="DL239" s="214"/>
      <c r="DM239" s="214"/>
      <c r="DN239" s="214"/>
      <c r="DO239" s="214"/>
      <c r="DP239" s="214"/>
      <c r="DQ239" s="214"/>
      <c r="DR239" s="214"/>
      <c r="DS239" s="214"/>
      <c r="DT239" s="214"/>
      <c r="DU239" s="214"/>
      <c r="DV239" s="214"/>
      <c r="DW239" s="214"/>
      <c r="DX239" s="214"/>
      <c r="DY239" s="214"/>
      <c r="DZ239" s="214"/>
      <c r="EA239" s="214"/>
      <c r="EB239" s="214"/>
      <c r="EC239" s="214"/>
      <c r="ED239" s="214"/>
      <c r="EE239" s="214"/>
      <c r="EF239" s="214"/>
      <c r="EG239" s="214"/>
      <c r="EH239" s="214"/>
      <c r="EI239" s="214"/>
      <c r="EJ239" s="214"/>
      <c r="EK239" s="214"/>
      <c r="EL239" s="214"/>
      <c r="EM239" s="214"/>
      <c r="EN239" s="214"/>
      <c r="EO239" s="214"/>
      <c r="EP239" s="214"/>
      <c r="EQ239" s="214"/>
      <c r="ER239" s="214"/>
      <c r="ES239" s="214"/>
      <c r="ET239" s="214"/>
      <c r="EU239" s="214"/>
      <c r="EV239" s="214"/>
      <c r="EW239" s="214"/>
      <c r="EX239" s="214"/>
      <c r="EY239" s="214"/>
      <c r="EZ239" s="214"/>
      <c r="FA239" s="214"/>
      <c r="FB239" s="214"/>
      <c r="FC239" s="214"/>
      <c r="FD239" s="214"/>
      <c r="FE239" s="214"/>
      <c r="FF239" s="214"/>
      <c r="FG239" s="214"/>
      <c r="FH239" s="214"/>
      <c r="FI239" s="214"/>
      <c r="FJ239" s="214"/>
      <c r="FK239" s="214"/>
      <c r="FL239" s="214"/>
      <c r="FM239" s="214"/>
      <c r="FN239" s="214"/>
      <c r="FO239" s="214"/>
      <c r="FP239" s="214"/>
      <c r="FQ239" s="214"/>
      <c r="FR239" s="214"/>
      <c r="FS239" s="214"/>
      <c r="FT239" s="214"/>
      <c r="FU239" s="214"/>
      <c r="FV239" s="214"/>
      <c r="FW239" s="214"/>
      <c r="FX239" s="214"/>
      <c r="FY239" s="214"/>
      <c r="FZ239" s="214"/>
      <c r="GA239" s="214"/>
      <c r="GB239" s="214"/>
      <c r="GC239" s="214"/>
      <c r="GD239" s="214"/>
      <c r="GE239" s="214"/>
      <c r="GF239" s="214"/>
      <c r="GG239" s="214"/>
      <c r="GH239" s="214"/>
      <c r="GI239" s="214"/>
      <c r="GJ239" s="214"/>
      <c r="GK239" s="214"/>
      <c r="GL239" s="214"/>
      <c r="GM239" s="214"/>
      <c r="GN239" s="214"/>
      <c r="GO239" s="214"/>
      <c r="GP239" s="214"/>
      <c r="GQ239" s="214"/>
      <c r="GR239" s="214"/>
      <c r="GS239" s="214"/>
      <c r="GT239" s="214"/>
      <c r="GU239" s="214"/>
      <c r="GV239" s="214"/>
      <c r="GW239" s="214"/>
      <c r="GX239" s="214"/>
      <c r="GY239" s="214"/>
      <c r="GZ239" s="214"/>
      <c r="HA239" s="214"/>
      <c r="HB239" s="214"/>
      <c r="HC239" s="214"/>
      <c r="HD239" s="214"/>
      <c r="HE239" s="214"/>
      <c r="HF239" s="214"/>
      <c r="HG239" s="214"/>
      <c r="HH239" s="214"/>
      <c r="HI239" s="214"/>
      <c r="HJ239" s="214"/>
      <c r="HK239" s="214"/>
      <c r="HL239" s="214"/>
      <c r="HM239" s="214"/>
      <c r="HN239" s="214"/>
      <c r="HO239" s="214"/>
      <c r="HP239" s="214"/>
      <c r="HQ239" s="214"/>
      <c r="HR239" s="214"/>
      <c r="HS239" s="214"/>
      <c r="HT239" s="214"/>
      <c r="HU239" s="214"/>
      <c r="HV239" s="214"/>
      <c r="HW239" s="214"/>
      <c r="HX239" s="214"/>
      <c r="HY239" s="214"/>
      <c r="HZ239" s="214"/>
      <c r="IA239" s="214"/>
      <c r="IB239" s="214"/>
      <c r="IC239" s="214"/>
      <c r="ID239" s="214"/>
      <c r="IE239" s="214"/>
      <c r="IF239" s="214"/>
      <c r="IG239" s="214"/>
      <c r="IH239" s="214"/>
      <c r="II239" s="214"/>
      <c r="IJ239" s="214"/>
      <c r="IK239" s="214"/>
      <c r="IL239" s="214"/>
      <c r="IM239" s="214"/>
      <c r="IN239" s="214"/>
      <c r="IO239" s="214"/>
      <c r="IP239" s="214"/>
      <c r="IQ239" s="214"/>
      <c r="IR239" s="214"/>
    </row>
    <row r="240" spans="13:252" ht="16.5" hidden="1" customHeight="1" thickTop="1" thickBot="1">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c r="CG240" s="214"/>
      <c r="CH240" s="214"/>
      <c r="CI240" s="214"/>
      <c r="CJ240" s="214"/>
      <c r="CK240" s="214"/>
      <c r="CL240" s="214"/>
      <c r="CM240" s="214"/>
      <c r="CN240" s="214"/>
      <c r="CO240" s="214"/>
      <c r="CP240" s="214"/>
      <c r="CQ240" s="214"/>
      <c r="CR240" s="214"/>
      <c r="CS240" s="214"/>
      <c r="CT240" s="214"/>
      <c r="CU240" s="214"/>
      <c r="CV240" s="214"/>
      <c r="CW240" s="214"/>
      <c r="CX240" s="214"/>
      <c r="CY240" s="214"/>
      <c r="CZ240" s="214"/>
      <c r="DA240" s="214"/>
      <c r="DB240" s="214"/>
      <c r="DC240" s="214"/>
      <c r="DD240" s="214"/>
      <c r="DE240" s="214"/>
      <c r="DF240" s="214"/>
      <c r="DG240" s="214"/>
      <c r="DH240" s="214"/>
      <c r="DI240" s="214"/>
      <c r="DJ240" s="214"/>
      <c r="DK240" s="214"/>
      <c r="DL240" s="214"/>
      <c r="DM240" s="214"/>
      <c r="DN240" s="214"/>
      <c r="DO240" s="214"/>
      <c r="DP240" s="214"/>
      <c r="DQ240" s="214"/>
      <c r="DR240" s="214"/>
      <c r="DS240" s="214"/>
      <c r="DT240" s="214"/>
      <c r="DU240" s="214"/>
      <c r="DV240" s="214"/>
      <c r="DW240" s="214"/>
      <c r="DX240" s="214"/>
      <c r="DY240" s="214"/>
      <c r="DZ240" s="214"/>
      <c r="EA240" s="214"/>
      <c r="EB240" s="214"/>
      <c r="EC240" s="214"/>
      <c r="ED240" s="214"/>
      <c r="EE240" s="214"/>
      <c r="EF240" s="214"/>
      <c r="EG240" s="214"/>
      <c r="EH240" s="214"/>
      <c r="EI240" s="214"/>
      <c r="EJ240" s="214"/>
      <c r="EK240" s="214"/>
      <c r="EL240" s="214"/>
      <c r="EM240" s="214"/>
      <c r="EN240" s="214"/>
      <c r="EO240" s="214"/>
      <c r="EP240" s="214"/>
      <c r="EQ240" s="214"/>
      <c r="ER240" s="214"/>
      <c r="ES240" s="214"/>
      <c r="ET240" s="214"/>
      <c r="EU240" s="214"/>
      <c r="EV240" s="214"/>
      <c r="EW240" s="214"/>
      <c r="EX240" s="214"/>
      <c r="EY240" s="214"/>
      <c r="EZ240" s="214"/>
      <c r="FA240" s="214"/>
      <c r="FB240" s="214"/>
      <c r="FC240" s="214"/>
      <c r="FD240" s="214"/>
      <c r="FE240" s="214"/>
      <c r="FF240" s="214"/>
      <c r="FG240" s="214"/>
      <c r="FH240" s="214"/>
      <c r="FI240" s="214"/>
      <c r="FJ240" s="214"/>
      <c r="FK240" s="214"/>
      <c r="FL240" s="214"/>
      <c r="FM240" s="214"/>
      <c r="FN240" s="214"/>
      <c r="FO240" s="214"/>
      <c r="FP240" s="214"/>
      <c r="FQ240" s="214"/>
      <c r="FR240" s="214"/>
      <c r="FS240" s="214"/>
      <c r="FT240" s="214"/>
      <c r="FU240" s="214"/>
      <c r="FV240" s="214"/>
      <c r="FW240" s="214"/>
      <c r="FX240" s="214"/>
      <c r="FY240" s="214"/>
      <c r="FZ240" s="214"/>
      <c r="GA240" s="214"/>
      <c r="GB240" s="214"/>
      <c r="GC240" s="214"/>
      <c r="GD240" s="214"/>
      <c r="GE240" s="214"/>
      <c r="GF240" s="214"/>
      <c r="GG240" s="214"/>
      <c r="GH240" s="214"/>
      <c r="GI240" s="214"/>
      <c r="GJ240" s="214"/>
      <c r="GK240" s="214"/>
      <c r="GL240" s="214"/>
      <c r="GM240" s="214"/>
      <c r="GN240" s="214"/>
      <c r="GO240" s="214"/>
      <c r="GP240" s="214"/>
      <c r="GQ240" s="214"/>
      <c r="GR240" s="214"/>
      <c r="GS240" s="214"/>
      <c r="GT240" s="214"/>
      <c r="GU240" s="214"/>
      <c r="GV240" s="214"/>
      <c r="GW240" s="214"/>
      <c r="GX240" s="214"/>
      <c r="GY240" s="214"/>
      <c r="GZ240" s="214"/>
      <c r="HA240" s="214"/>
      <c r="HB240" s="214"/>
      <c r="HC240" s="214"/>
      <c r="HD240" s="214"/>
      <c r="HE240" s="214"/>
      <c r="HF240" s="214"/>
      <c r="HG240" s="214"/>
      <c r="HH240" s="214"/>
      <c r="HI240" s="214"/>
      <c r="HJ240" s="214"/>
      <c r="HK240" s="214"/>
      <c r="HL240" s="214"/>
      <c r="HM240" s="214"/>
      <c r="HN240" s="214"/>
      <c r="HO240" s="214"/>
      <c r="HP240" s="214"/>
      <c r="HQ240" s="214"/>
      <c r="HR240" s="214"/>
      <c r="HS240" s="214"/>
      <c r="HT240" s="214"/>
      <c r="HU240" s="214"/>
      <c r="HV240" s="214"/>
      <c r="HW240" s="214"/>
      <c r="HX240" s="214"/>
      <c r="HY240" s="214"/>
      <c r="HZ240" s="214"/>
      <c r="IA240" s="214"/>
      <c r="IB240" s="214"/>
      <c r="IC240" s="214"/>
      <c r="ID240" s="214"/>
      <c r="IE240" s="214"/>
      <c r="IF240" s="214"/>
      <c r="IG240" s="214"/>
      <c r="IH240" s="214"/>
      <c r="II240" s="214"/>
      <c r="IJ240" s="214"/>
      <c r="IK240" s="214"/>
      <c r="IL240" s="214"/>
      <c r="IM240" s="214"/>
      <c r="IN240" s="214"/>
      <c r="IO240" s="214"/>
      <c r="IP240" s="214"/>
      <c r="IQ240" s="214"/>
      <c r="IR240" s="214"/>
    </row>
    <row r="241" spans="13:252" ht="16.5" hidden="1" customHeight="1" thickTop="1" thickBot="1">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c r="CG241" s="214"/>
      <c r="CH241" s="214"/>
      <c r="CI241" s="214"/>
      <c r="CJ241" s="214"/>
      <c r="CK241" s="214"/>
      <c r="CL241" s="214"/>
      <c r="CM241" s="214"/>
      <c r="CN241" s="214"/>
      <c r="CO241" s="214"/>
      <c r="CP241" s="214"/>
      <c r="CQ241" s="214"/>
      <c r="CR241" s="214"/>
      <c r="CS241" s="214"/>
      <c r="CT241" s="214"/>
      <c r="CU241" s="214"/>
      <c r="CV241" s="214"/>
      <c r="CW241" s="214"/>
      <c r="CX241" s="214"/>
      <c r="CY241" s="214"/>
      <c r="CZ241" s="214"/>
      <c r="DA241" s="214"/>
      <c r="DB241" s="214"/>
      <c r="DC241" s="214"/>
      <c r="DD241" s="214"/>
      <c r="DE241" s="214"/>
      <c r="DF241" s="214"/>
      <c r="DG241" s="214"/>
      <c r="DH241" s="214"/>
      <c r="DI241" s="214"/>
      <c r="DJ241" s="214"/>
      <c r="DK241" s="214"/>
      <c r="DL241" s="214"/>
      <c r="DM241" s="214"/>
      <c r="DN241" s="214"/>
      <c r="DO241" s="214"/>
      <c r="DP241" s="214"/>
      <c r="DQ241" s="214"/>
      <c r="DR241" s="214"/>
      <c r="DS241" s="214"/>
      <c r="DT241" s="214"/>
      <c r="DU241" s="214"/>
      <c r="DV241" s="214"/>
      <c r="DW241" s="214"/>
      <c r="DX241" s="214"/>
      <c r="DY241" s="214"/>
      <c r="DZ241" s="214"/>
      <c r="EA241" s="214"/>
      <c r="EB241" s="214"/>
      <c r="EC241" s="214"/>
      <c r="ED241" s="214"/>
      <c r="EE241" s="214"/>
      <c r="EF241" s="214"/>
      <c r="EG241" s="214"/>
      <c r="EH241" s="214"/>
      <c r="EI241" s="214"/>
      <c r="EJ241" s="214"/>
      <c r="EK241" s="214"/>
      <c r="EL241" s="214"/>
      <c r="EM241" s="214"/>
      <c r="EN241" s="214"/>
      <c r="EO241" s="214"/>
      <c r="EP241" s="214"/>
      <c r="EQ241" s="214"/>
      <c r="ER241" s="214"/>
      <c r="ES241" s="214"/>
      <c r="ET241" s="214"/>
      <c r="EU241" s="214"/>
      <c r="EV241" s="214"/>
      <c r="EW241" s="214"/>
      <c r="EX241" s="214"/>
      <c r="EY241" s="214"/>
      <c r="EZ241" s="214"/>
      <c r="FA241" s="214"/>
      <c r="FB241" s="214"/>
      <c r="FC241" s="214"/>
      <c r="FD241" s="214"/>
      <c r="FE241" s="214"/>
      <c r="FF241" s="214"/>
      <c r="FG241" s="214"/>
      <c r="FH241" s="214"/>
      <c r="FI241" s="214"/>
      <c r="FJ241" s="214"/>
      <c r="FK241" s="214"/>
      <c r="FL241" s="214"/>
      <c r="FM241" s="214"/>
      <c r="FN241" s="214"/>
      <c r="FO241" s="214"/>
      <c r="FP241" s="214"/>
      <c r="FQ241" s="214"/>
      <c r="FR241" s="214"/>
      <c r="FS241" s="214"/>
      <c r="FT241" s="214"/>
      <c r="FU241" s="214"/>
      <c r="FV241" s="214"/>
      <c r="FW241" s="214"/>
      <c r="FX241" s="214"/>
      <c r="FY241" s="214"/>
      <c r="FZ241" s="214"/>
      <c r="GA241" s="214"/>
      <c r="GB241" s="214"/>
      <c r="GC241" s="214"/>
      <c r="GD241" s="214"/>
      <c r="GE241" s="214"/>
      <c r="GF241" s="214"/>
      <c r="GG241" s="214"/>
      <c r="GH241" s="214"/>
      <c r="GI241" s="214"/>
      <c r="GJ241" s="214"/>
      <c r="GK241" s="214"/>
      <c r="GL241" s="214"/>
      <c r="GM241" s="214"/>
      <c r="GN241" s="214"/>
      <c r="GO241" s="214"/>
      <c r="GP241" s="214"/>
      <c r="GQ241" s="214"/>
      <c r="GR241" s="214"/>
      <c r="GS241" s="214"/>
      <c r="GT241" s="214"/>
      <c r="GU241" s="214"/>
      <c r="GV241" s="214"/>
      <c r="GW241" s="214"/>
      <c r="GX241" s="214"/>
      <c r="GY241" s="214"/>
      <c r="GZ241" s="214"/>
      <c r="HA241" s="214"/>
      <c r="HB241" s="214"/>
      <c r="HC241" s="214"/>
      <c r="HD241" s="214"/>
      <c r="HE241" s="214"/>
      <c r="HF241" s="214"/>
      <c r="HG241" s="214"/>
      <c r="HH241" s="214"/>
      <c r="HI241" s="214"/>
      <c r="HJ241" s="214"/>
      <c r="HK241" s="214"/>
      <c r="HL241" s="214"/>
      <c r="HM241" s="214"/>
      <c r="HN241" s="214"/>
      <c r="HO241" s="214"/>
      <c r="HP241" s="214"/>
      <c r="HQ241" s="214"/>
      <c r="HR241" s="214"/>
      <c r="HS241" s="214"/>
      <c r="HT241" s="214"/>
      <c r="HU241" s="214"/>
      <c r="HV241" s="214"/>
      <c r="HW241" s="214"/>
      <c r="HX241" s="214"/>
      <c r="HY241" s="214"/>
      <c r="HZ241" s="214"/>
      <c r="IA241" s="214"/>
      <c r="IB241" s="214"/>
      <c r="IC241" s="214"/>
      <c r="ID241" s="214"/>
      <c r="IE241" s="214"/>
      <c r="IF241" s="214"/>
      <c r="IG241" s="214"/>
      <c r="IH241" s="214"/>
      <c r="II241" s="214"/>
      <c r="IJ241" s="214"/>
      <c r="IK241" s="214"/>
      <c r="IL241" s="214"/>
      <c r="IM241" s="214"/>
      <c r="IN241" s="214"/>
      <c r="IO241" s="214"/>
      <c r="IP241" s="214"/>
      <c r="IQ241" s="214"/>
      <c r="IR241" s="214"/>
    </row>
    <row r="242" spans="13:252" ht="15.75" hidden="1" customHeight="1" thickTop="1" thickBot="1">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c r="CG242" s="214"/>
      <c r="CH242" s="214"/>
      <c r="CI242" s="214"/>
      <c r="CJ242" s="214"/>
      <c r="CK242" s="214"/>
      <c r="CL242" s="214"/>
      <c r="CM242" s="214"/>
      <c r="CN242" s="214"/>
      <c r="CO242" s="214"/>
      <c r="CP242" s="214"/>
      <c r="CQ242" s="214"/>
      <c r="CR242" s="214"/>
      <c r="CS242" s="214"/>
      <c r="CT242" s="214"/>
      <c r="CU242" s="214"/>
      <c r="CV242" s="214"/>
      <c r="CW242" s="214"/>
      <c r="CX242" s="214"/>
      <c r="CY242" s="214"/>
      <c r="CZ242" s="214"/>
      <c r="DA242" s="214"/>
      <c r="DB242" s="214"/>
      <c r="DC242" s="214"/>
      <c r="DD242" s="214"/>
      <c r="DE242" s="214"/>
      <c r="DF242" s="214"/>
      <c r="DG242" s="214"/>
      <c r="DH242" s="214"/>
      <c r="DI242" s="214"/>
      <c r="DJ242" s="214"/>
      <c r="DK242" s="214"/>
      <c r="DL242" s="214"/>
      <c r="DM242" s="214"/>
      <c r="DN242" s="214"/>
      <c r="DO242" s="214"/>
      <c r="DP242" s="214"/>
      <c r="DQ242" s="214"/>
      <c r="DR242" s="214"/>
      <c r="DS242" s="214"/>
      <c r="DT242" s="214"/>
      <c r="DU242" s="214"/>
      <c r="DV242" s="214"/>
      <c r="DW242" s="214"/>
      <c r="DX242" s="214"/>
      <c r="DY242" s="214"/>
      <c r="DZ242" s="214"/>
      <c r="EA242" s="214"/>
      <c r="EB242" s="214"/>
      <c r="EC242" s="214"/>
      <c r="ED242" s="214"/>
      <c r="EE242" s="214"/>
      <c r="EF242" s="214"/>
      <c r="EG242" s="214"/>
      <c r="EH242" s="214"/>
      <c r="EI242" s="214"/>
      <c r="EJ242" s="214"/>
      <c r="EK242" s="214"/>
      <c r="EL242" s="214"/>
      <c r="EM242" s="214"/>
      <c r="EN242" s="214"/>
      <c r="EO242" s="214"/>
      <c r="EP242" s="214"/>
      <c r="EQ242" s="214"/>
      <c r="ER242" s="214"/>
      <c r="ES242" s="214"/>
      <c r="ET242" s="214"/>
      <c r="EU242" s="214"/>
      <c r="EV242" s="214"/>
      <c r="EW242" s="214"/>
      <c r="EX242" s="214"/>
      <c r="EY242" s="214"/>
      <c r="EZ242" s="214"/>
      <c r="FA242" s="214"/>
      <c r="FB242" s="214"/>
      <c r="FC242" s="214"/>
      <c r="FD242" s="214"/>
      <c r="FE242" s="214"/>
      <c r="FF242" s="214"/>
      <c r="FG242" s="214"/>
      <c r="FH242" s="214"/>
      <c r="FI242" s="214"/>
      <c r="FJ242" s="214"/>
      <c r="FK242" s="214"/>
      <c r="FL242" s="214"/>
      <c r="FM242" s="214"/>
      <c r="FN242" s="214"/>
      <c r="FO242" s="214"/>
      <c r="FP242" s="214"/>
      <c r="FQ242" s="214"/>
      <c r="FR242" s="214"/>
      <c r="FS242" s="214"/>
      <c r="FT242" s="214"/>
      <c r="FU242" s="214"/>
      <c r="FV242" s="214"/>
      <c r="FW242" s="214"/>
      <c r="FX242" s="214"/>
      <c r="FY242" s="214"/>
      <c r="FZ242" s="214"/>
      <c r="GA242" s="214"/>
      <c r="GB242" s="214"/>
      <c r="GC242" s="214"/>
      <c r="GD242" s="214"/>
      <c r="GE242" s="214"/>
      <c r="GF242" s="214"/>
      <c r="GG242" s="214"/>
      <c r="GH242" s="214"/>
      <c r="GI242" s="214"/>
      <c r="GJ242" s="214"/>
      <c r="GK242" s="214"/>
      <c r="GL242" s="214"/>
      <c r="GM242" s="214"/>
      <c r="GN242" s="214"/>
      <c r="GO242" s="214"/>
      <c r="GP242" s="214"/>
      <c r="GQ242" s="214"/>
      <c r="GR242" s="214"/>
      <c r="GS242" s="214"/>
      <c r="GT242" s="214"/>
      <c r="GU242" s="214"/>
      <c r="GV242" s="214"/>
      <c r="GW242" s="214"/>
      <c r="GX242" s="214"/>
      <c r="GY242" s="214"/>
      <c r="GZ242" s="214"/>
      <c r="HA242" s="214"/>
      <c r="HB242" s="214"/>
      <c r="HC242" s="214"/>
      <c r="HD242" s="214"/>
      <c r="HE242" s="214"/>
      <c r="HF242" s="214"/>
      <c r="HG242" s="214"/>
      <c r="HH242" s="214"/>
      <c r="HI242" s="214"/>
      <c r="HJ242" s="214"/>
      <c r="HK242" s="214"/>
      <c r="HL242" s="214"/>
      <c r="HM242" s="214"/>
      <c r="HN242" s="214"/>
      <c r="HO242" s="214"/>
      <c r="HP242" s="214"/>
      <c r="HQ242" s="214"/>
      <c r="HR242" s="214"/>
      <c r="HS242" s="214"/>
      <c r="HT242" s="214"/>
      <c r="HU242" s="214"/>
      <c r="HV242" s="214"/>
      <c r="HW242" s="214"/>
      <c r="HX242" s="214"/>
      <c r="HY242" s="214"/>
      <c r="HZ242" s="214"/>
      <c r="IA242" s="214"/>
      <c r="IB242" s="214"/>
      <c r="IC242" s="214"/>
      <c r="ID242" s="214"/>
      <c r="IE242" s="214"/>
      <c r="IF242" s="214"/>
      <c r="IG242" s="214"/>
      <c r="IH242" s="214"/>
      <c r="II242" s="214"/>
      <c r="IJ242" s="214"/>
      <c r="IK242" s="214"/>
      <c r="IL242" s="214"/>
      <c r="IM242" s="214"/>
      <c r="IN242" s="214"/>
      <c r="IO242" s="214"/>
      <c r="IP242" s="214"/>
      <c r="IQ242" s="214"/>
      <c r="IR242" s="214"/>
    </row>
    <row r="243" spans="13:252" ht="15" hidden="1" customHeight="1" thickTop="1" thickBot="1">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c r="CG243" s="214"/>
      <c r="CH243" s="214"/>
      <c r="CI243" s="214"/>
      <c r="CJ243" s="214"/>
      <c r="CK243" s="214"/>
      <c r="CL243" s="214"/>
      <c r="CM243" s="214"/>
      <c r="CN243" s="214"/>
      <c r="CO243" s="214"/>
      <c r="CP243" s="214"/>
      <c r="CQ243" s="214"/>
      <c r="CR243" s="214"/>
      <c r="CS243" s="214"/>
      <c r="CT243" s="214"/>
      <c r="CU243" s="214"/>
      <c r="CV243" s="214"/>
      <c r="CW243" s="214"/>
      <c r="CX243" s="214"/>
      <c r="CY243" s="214"/>
      <c r="CZ243" s="214"/>
      <c r="DA243" s="214"/>
      <c r="DB243" s="214"/>
      <c r="DC243" s="214"/>
      <c r="DD243" s="214"/>
      <c r="DE243" s="214"/>
      <c r="DF243" s="214"/>
      <c r="DG243" s="214"/>
      <c r="DH243" s="214"/>
      <c r="DI243" s="214"/>
      <c r="DJ243" s="214"/>
      <c r="DK243" s="214"/>
      <c r="DL243" s="214"/>
      <c r="DM243" s="214"/>
      <c r="DN243" s="214"/>
      <c r="DO243" s="214"/>
      <c r="DP243" s="214"/>
      <c r="DQ243" s="214"/>
      <c r="DR243" s="214"/>
      <c r="DS243" s="214"/>
      <c r="DT243" s="214"/>
      <c r="DU243" s="214"/>
      <c r="DV243" s="214"/>
      <c r="DW243" s="214"/>
      <c r="DX243" s="214"/>
      <c r="DY243" s="214"/>
      <c r="DZ243" s="214"/>
      <c r="EA243" s="214"/>
      <c r="EB243" s="214"/>
      <c r="EC243" s="214"/>
      <c r="ED243" s="214"/>
      <c r="EE243" s="214"/>
      <c r="EF243" s="214"/>
      <c r="EG243" s="214"/>
      <c r="EH243" s="214"/>
      <c r="EI243" s="214"/>
      <c r="EJ243" s="214"/>
      <c r="EK243" s="214"/>
      <c r="EL243" s="214"/>
      <c r="EM243" s="214"/>
      <c r="EN243" s="214"/>
      <c r="EO243" s="214"/>
      <c r="EP243" s="214"/>
      <c r="EQ243" s="214"/>
      <c r="ER243" s="214"/>
      <c r="ES243" s="214"/>
      <c r="ET243" s="214"/>
      <c r="EU243" s="214"/>
      <c r="EV243" s="214"/>
      <c r="EW243" s="214"/>
      <c r="EX243" s="214"/>
      <c r="EY243" s="214"/>
      <c r="EZ243" s="214"/>
      <c r="FA243" s="214"/>
      <c r="FB243" s="214"/>
      <c r="FC243" s="214"/>
      <c r="FD243" s="214"/>
      <c r="FE243" s="214"/>
      <c r="FF243" s="214"/>
      <c r="FG243" s="214"/>
      <c r="FH243" s="214"/>
      <c r="FI243" s="214"/>
      <c r="FJ243" s="214"/>
      <c r="FK243" s="214"/>
      <c r="FL243" s="214"/>
      <c r="FM243" s="214"/>
      <c r="FN243" s="214"/>
      <c r="FO243" s="214"/>
      <c r="FP243" s="214"/>
      <c r="FQ243" s="214"/>
      <c r="FR243" s="214"/>
      <c r="FS243" s="214"/>
      <c r="FT243" s="214"/>
      <c r="FU243" s="214"/>
      <c r="FV243" s="214"/>
      <c r="FW243" s="214"/>
      <c r="FX243" s="214"/>
      <c r="FY243" s="214"/>
      <c r="FZ243" s="214"/>
      <c r="GA243" s="214"/>
      <c r="GB243" s="214"/>
      <c r="GC243" s="214"/>
      <c r="GD243" s="214"/>
      <c r="GE243" s="214"/>
      <c r="GF243" s="214"/>
      <c r="GG243" s="214"/>
      <c r="GH243" s="214"/>
      <c r="GI243" s="214"/>
      <c r="GJ243" s="214"/>
      <c r="GK243" s="214"/>
      <c r="GL243" s="214"/>
      <c r="GM243" s="214"/>
      <c r="GN243" s="214"/>
      <c r="GO243" s="214"/>
      <c r="GP243" s="214"/>
      <c r="GQ243" s="214"/>
      <c r="GR243" s="214"/>
      <c r="GS243" s="214"/>
      <c r="GT243" s="214"/>
      <c r="GU243" s="214"/>
      <c r="GV243" s="214"/>
      <c r="GW243" s="214"/>
      <c r="GX243" s="214"/>
      <c r="GY243" s="214"/>
      <c r="GZ243" s="214"/>
      <c r="HA243" s="214"/>
      <c r="HB243" s="214"/>
      <c r="HC243" s="214"/>
      <c r="HD243" s="214"/>
      <c r="HE243" s="214"/>
      <c r="HF243" s="214"/>
      <c r="HG243" s="214"/>
      <c r="HH243" s="214"/>
      <c r="HI243" s="214"/>
      <c r="HJ243" s="214"/>
      <c r="HK243" s="214"/>
      <c r="HL243" s="214"/>
      <c r="HM243" s="214"/>
      <c r="HN243" s="214"/>
      <c r="HO243" s="214"/>
      <c r="HP243" s="214"/>
      <c r="HQ243" s="214"/>
      <c r="HR243" s="214"/>
      <c r="HS243" s="214"/>
      <c r="HT243" s="214"/>
      <c r="HU243" s="214"/>
      <c r="HV243" s="214"/>
      <c r="HW243" s="214"/>
      <c r="HX243" s="214"/>
      <c r="HY243" s="214"/>
      <c r="HZ243" s="214"/>
      <c r="IA243" s="214"/>
      <c r="IB243" s="214"/>
      <c r="IC243" s="214"/>
      <c r="ID243" s="214"/>
      <c r="IE243" s="214"/>
      <c r="IF243" s="214"/>
      <c r="IG243" s="214"/>
      <c r="IH243" s="214"/>
      <c r="II243" s="214"/>
      <c r="IJ243" s="214"/>
      <c r="IK243" s="214"/>
      <c r="IL243" s="214"/>
      <c r="IM243" s="214"/>
      <c r="IN243" s="214"/>
      <c r="IO243" s="214"/>
      <c r="IP243" s="214"/>
      <c r="IQ243" s="214"/>
      <c r="IR243" s="214"/>
    </row>
    <row r="244" spans="13:252" ht="16.5" hidden="1" customHeight="1" thickTop="1" thickBot="1">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c r="CG244" s="214"/>
      <c r="CH244" s="214"/>
      <c r="CI244" s="214"/>
      <c r="CJ244" s="214"/>
      <c r="CK244" s="214"/>
      <c r="CL244" s="214"/>
      <c r="CM244" s="214"/>
      <c r="CN244" s="214"/>
      <c r="CO244" s="214"/>
      <c r="CP244" s="214"/>
      <c r="CQ244" s="214"/>
      <c r="CR244" s="214"/>
      <c r="CS244" s="214"/>
      <c r="CT244" s="214"/>
      <c r="CU244" s="214"/>
      <c r="CV244" s="214"/>
      <c r="CW244" s="214"/>
      <c r="CX244" s="214"/>
      <c r="CY244" s="214"/>
      <c r="CZ244" s="214"/>
      <c r="DA244" s="214"/>
      <c r="DB244" s="214"/>
      <c r="DC244" s="214"/>
      <c r="DD244" s="214"/>
      <c r="DE244" s="214"/>
      <c r="DF244" s="214"/>
      <c r="DG244" s="214"/>
      <c r="DH244" s="214"/>
      <c r="DI244" s="214"/>
      <c r="DJ244" s="214"/>
      <c r="DK244" s="214"/>
      <c r="DL244" s="214"/>
      <c r="DM244" s="214"/>
      <c r="DN244" s="214"/>
      <c r="DO244" s="214"/>
      <c r="DP244" s="214"/>
      <c r="DQ244" s="214"/>
      <c r="DR244" s="214"/>
      <c r="DS244" s="214"/>
      <c r="DT244" s="214"/>
      <c r="DU244" s="214"/>
      <c r="DV244" s="214"/>
      <c r="DW244" s="214"/>
      <c r="DX244" s="214"/>
      <c r="DY244" s="214"/>
      <c r="DZ244" s="214"/>
      <c r="EA244" s="214"/>
      <c r="EB244" s="214"/>
      <c r="EC244" s="214"/>
      <c r="ED244" s="214"/>
      <c r="EE244" s="214"/>
      <c r="EF244" s="214"/>
      <c r="EG244" s="214"/>
      <c r="EH244" s="214"/>
      <c r="EI244" s="214"/>
      <c r="EJ244" s="214"/>
      <c r="EK244" s="214"/>
      <c r="EL244" s="214"/>
      <c r="EM244" s="214"/>
      <c r="EN244" s="214"/>
      <c r="EO244" s="214"/>
      <c r="EP244" s="214"/>
      <c r="EQ244" s="214"/>
      <c r="ER244" s="214"/>
      <c r="ES244" s="214"/>
      <c r="ET244" s="214"/>
      <c r="EU244" s="214"/>
      <c r="EV244" s="214"/>
      <c r="EW244" s="214"/>
      <c r="EX244" s="214"/>
      <c r="EY244" s="214"/>
      <c r="EZ244" s="214"/>
      <c r="FA244" s="214"/>
      <c r="FB244" s="214"/>
      <c r="FC244" s="214"/>
      <c r="FD244" s="214"/>
      <c r="FE244" s="214"/>
      <c r="FF244" s="214"/>
      <c r="FG244" s="214"/>
      <c r="FH244" s="214"/>
      <c r="FI244" s="214"/>
      <c r="FJ244" s="214"/>
      <c r="FK244" s="214"/>
      <c r="FL244" s="214"/>
      <c r="FM244" s="214"/>
      <c r="FN244" s="214"/>
      <c r="FO244" s="214"/>
      <c r="FP244" s="214"/>
      <c r="FQ244" s="214"/>
      <c r="FR244" s="214"/>
      <c r="FS244" s="214"/>
      <c r="FT244" s="214"/>
      <c r="FU244" s="214"/>
      <c r="FV244" s="214"/>
      <c r="FW244" s="214"/>
      <c r="FX244" s="214"/>
      <c r="FY244" s="214"/>
      <c r="FZ244" s="214"/>
      <c r="GA244" s="214"/>
      <c r="GB244" s="214"/>
      <c r="GC244" s="214"/>
      <c r="GD244" s="214"/>
      <c r="GE244" s="214"/>
      <c r="GF244" s="214"/>
      <c r="GG244" s="214"/>
      <c r="GH244" s="214"/>
      <c r="GI244" s="214"/>
      <c r="GJ244" s="214"/>
      <c r="GK244" s="214"/>
      <c r="GL244" s="214"/>
      <c r="GM244" s="214"/>
      <c r="GN244" s="214"/>
      <c r="GO244" s="214"/>
      <c r="GP244" s="214"/>
      <c r="GQ244" s="214"/>
      <c r="GR244" s="214"/>
      <c r="GS244" s="214"/>
      <c r="GT244" s="214"/>
      <c r="GU244" s="214"/>
      <c r="GV244" s="214"/>
      <c r="GW244" s="214"/>
      <c r="GX244" s="214"/>
      <c r="GY244" s="214"/>
      <c r="GZ244" s="214"/>
      <c r="HA244" s="214"/>
      <c r="HB244" s="214"/>
      <c r="HC244" s="214"/>
      <c r="HD244" s="214"/>
      <c r="HE244" s="214"/>
      <c r="HF244" s="214"/>
      <c r="HG244" s="214"/>
      <c r="HH244" s="214"/>
      <c r="HI244" s="214"/>
      <c r="HJ244" s="214"/>
      <c r="HK244" s="214"/>
      <c r="HL244" s="214"/>
      <c r="HM244" s="214"/>
      <c r="HN244" s="214"/>
      <c r="HO244" s="214"/>
      <c r="HP244" s="214"/>
      <c r="HQ244" s="214"/>
      <c r="HR244" s="214"/>
      <c r="HS244" s="214"/>
      <c r="HT244" s="214"/>
      <c r="HU244" s="214"/>
      <c r="HV244" s="214"/>
      <c r="HW244" s="214"/>
      <c r="HX244" s="214"/>
      <c r="HY244" s="214"/>
      <c r="HZ244" s="214"/>
      <c r="IA244" s="214"/>
      <c r="IB244" s="214"/>
      <c r="IC244" s="214"/>
      <c r="ID244" s="214"/>
      <c r="IE244" s="214"/>
      <c r="IF244" s="214"/>
      <c r="IG244" s="214"/>
      <c r="IH244" s="214"/>
      <c r="II244" s="214"/>
      <c r="IJ244" s="214"/>
      <c r="IK244" s="214"/>
      <c r="IL244" s="214"/>
      <c r="IM244" s="214"/>
      <c r="IN244" s="214"/>
      <c r="IO244" s="214"/>
      <c r="IP244" s="214"/>
      <c r="IQ244" s="214"/>
      <c r="IR244" s="214"/>
    </row>
    <row r="245" spans="13:252" ht="16.5" hidden="1" customHeight="1" thickTop="1" thickBot="1">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c r="CG245" s="214"/>
      <c r="CH245" s="214"/>
      <c r="CI245" s="214"/>
      <c r="CJ245" s="214"/>
      <c r="CK245" s="214"/>
      <c r="CL245" s="214"/>
      <c r="CM245" s="214"/>
      <c r="CN245" s="214"/>
      <c r="CO245" s="214"/>
      <c r="CP245" s="214"/>
      <c r="CQ245" s="214"/>
      <c r="CR245" s="214"/>
      <c r="CS245" s="214"/>
      <c r="CT245" s="214"/>
      <c r="CU245" s="214"/>
      <c r="CV245" s="214"/>
      <c r="CW245" s="214"/>
      <c r="CX245" s="214"/>
      <c r="CY245" s="214"/>
      <c r="CZ245" s="214"/>
      <c r="DA245" s="214"/>
      <c r="DB245" s="214"/>
      <c r="DC245" s="214"/>
      <c r="DD245" s="214"/>
      <c r="DE245" s="214"/>
      <c r="DF245" s="214"/>
      <c r="DG245" s="214"/>
      <c r="DH245" s="214"/>
      <c r="DI245" s="214"/>
      <c r="DJ245" s="214"/>
      <c r="DK245" s="214"/>
      <c r="DL245" s="214"/>
      <c r="DM245" s="214"/>
      <c r="DN245" s="214"/>
      <c r="DO245" s="214"/>
      <c r="DP245" s="214"/>
      <c r="DQ245" s="214"/>
      <c r="DR245" s="214"/>
      <c r="DS245" s="214"/>
      <c r="DT245" s="214"/>
      <c r="DU245" s="214"/>
      <c r="DV245" s="214"/>
      <c r="DW245" s="214"/>
      <c r="DX245" s="214"/>
      <c r="DY245" s="214"/>
      <c r="DZ245" s="214"/>
      <c r="EA245" s="214"/>
      <c r="EB245" s="214"/>
      <c r="EC245" s="214"/>
      <c r="ED245" s="214"/>
      <c r="EE245" s="214"/>
      <c r="EF245" s="214"/>
      <c r="EG245" s="214"/>
      <c r="EH245" s="214"/>
      <c r="EI245" s="214"/>
      <c r="EJ245" s="214"/>
      <c r="EK245" s="214"/>
      <c r="EL245" s="214"/>
      <c r="EM245" s="214"/>
      <c r="EN245" s="214"/>
      <c r="EO245" s="214"/>
      <c r="EP245" s="214"/>
      <c r="EQ245" s="214"/>
      <c r="ER245" s="214"/>
      <c r="ES245" s="214"/>
      <c r="ET245" s="214"/>
      <c r="EU245" s="214"/>
      <c r="EV245" s="214"/>
      <c r="EW245" s="214"/>
      <c r="EX245" s="214"/>
      <c r="EY245" s="214"/>
      <c r="EZ245" s="214"/>
      <c r="FA245" s="214"/>
      <c r="FB245" s="214"/>
      <c r="FC245" s="214"/>
      <c r="FD245" s="214"/>
      <c r="FE245" s="214"/>
      <c r="FF245" s="214"/>
      <c r="FG245" s="214"/>
      <c r="FH245" s="214"/>
      <c r="FI245" s="214"/>
      <c r="FJ245" s="214"/>
      <c r="FK245" s="214"/>
      <c r="FL245" s="214"/>
      <c r="FM245" s="214"/>
      <c r="FN245" s="214"/>
      <c r="FO245" s="214"/>
      <c r="FP245" s="214"/>
      <c r="FQ245" s="214"/>
      <c r="FR245" s="214"/>
      <c r="FS245" s="214"/>
      <c r="FT245" s="214"/>
      <c r="FU245" s="214"/>
      <c r="FV245" s="214"/>
      <c r="FW245" s="214"/>
      <c r="FX245" s="214"/>
      <c r="FY245" s="214"/>
      <c r="FZ245" s="214"/>
      <c r="GA245" s="214"/>
      <c r="GB245" s="214"/>
      <c r="GC245" s="214"/>
      <c r="GD245" s="214"/>
      <c r="GE245" s="214"/>
      <c r="GF245" s="214"/>
      <c r="GG245" s="214"/>
      <c r="GH245" s="214"/>
      <c r="GI245" s="214"/>
      <c r="GJ245" s="214"/>
      <c r="GK245" s="214"/>
      <c r="GL245" s="214"/>
      <c r="GM245" s="214"/>
      <c r="GN245" s="214"/>
      <c r="GO245" s="214"/>
      <c r="GP245" s="214"/>
      <c r="GQ245" s="214"/>
      <c r="GR245" s="214"/>
      <c r="GS245" s="214"/>
      <c r="GT245" s="214"/>
      <c r="GU245" s="214"/>
      <c r="GV245" s="214"/>
      <c r="GW245" s="214"/>
      <c r="GX245" s="214"/>
      <c r="GY245" s="214"/>
      <c r="GZ245" s="214"/>
      <c r="HA245" s="214"/>
      <c r="HB245" s="214"/>
      <c r="HC245" s="214"/>
      <c r="HD245" s="214"/>
      <c r="HE245" s="214"/>
      <c r="HF245" s="214"/>
      <c r="HG245" s="214"/>
      <c r="HH245" s="214"/>
      <c r="HI245" s="214"/>
      <c r="HJ245" s="214"/>
      <c r="HK245" s="214"/>
      <c r="HL245" s="214"/>
      <c r="HM245" s="214"/>
      <c r="HN245" s="214"/>
      <c r="HO245" s="214"/>
      <c r="HP245" s="214"/>
      <c r="HQ245" s="214"/>
      <c r="HR245" s="214"/>
      <c r="HS245" s="214"/>
      <c r="HT245" s="214"/>
      <c r="HU245" s="214"/>
      <c r="HV245" s="214"/>
      <c r="HW245" s="214"/>
      <c r="HX245" s="214"/>
      <c r="HY245" s="214"/>
      <c r="HZ245" s="214"/>
      <c r="IA245" s="214"/>
      <c r="IB245" s="214"/>
      <c r="IC245" s="214"/>
      <c r="ID245" s="214"/>
      <c r="IE245" s="214"/>
      <c r="IF245" s="214"/>
      <c r="IG245" s="214"/>
      <c r="IH245" s="214"/>
      <c r="II245" s="214"/>
      <c r="IJ245" s="214"/>
      <c r="IK245" s="214"/>
      <c r="IL245" s="214"/>
      <c r="IM245" s="214"/>
      <c r="IN245" s="214"/>
      <c r="IO245" s="214"/>
      <c r="IP245" s="214"/>
      <c r="IQ245" s="214"/>
      <c r="IR245" s="214"/>
    </row>
    <row r="246" spans="13:252" ht="16.5" hidden="1" customHeight="1" thickTop="1" thickBot="1">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c r="CG246" s="214"/>
      <c r="CH246" s="214"/>
      <c r="CI246" s="214"/>
      <c r="CJ246" s="214"/>
      <c r="CK246" s="214"/>
      <c r="CL246" s="214"/>
      <c r="CM246" s="214"/>
      <c r="CN246" s="214"/>
      <c r="CO246" s="214"/>
      <c r="CP246" s="214"/>
      <c r="CQ246" s="214"/>
      <c r="CR246" s="214"/>
      <c r="CS246" s="214"/>
      <c r="CT246" s="214"/>
      <c r="CU246" s="214"/>
      <c r="CV246" s="214"/>
      <c r="CW246" s="214"/>
      <c r="CX246" s="214"/>
      <c r="CY246" s="214"/>
      <c r="CZ246" s="214"/>
      <c r="DA246" s="214"/>
      <c r="DB246" s="214"/>
      <c r="DC246" s="214"/>
      <c r="DD246" s="214"/>
      <c r="DE246" s="214"/>
      <c r="DF246" s="214"/>
      <c r="DG246" s="214"/>
      <c r="DH246" s="214"/>
      <c r="DI246" s="214"/>
      <c r="DJ246" s="214"/>
      <c r="DK246" s="214"/>
      <c r="DL246" s="214"/>
      <c r="DM246" s="214"/>
      <c r="DN246" s="214"/>
      <c r="DO246" s="214"/>
      <c r="DP246" s="214"/>
      <c r="DQ246" s="214"/>
      <c r="DR246" s="214"/>
      <c r="DS246" s="214"/>
      <c r="DT246" s="214"/>
      <c r="DU246" s="214"/>
      <c r="DV246" s="214"/>
      <c r="DW246" s="214"/>
      <c r="DX246" s="214"/>
      <c r="DY246" s="214"/>
      <c r="DZ246" s="214"/>
      <c r="EA246" s="214"/>
      <c r="EB246" s="214"/>
      <c r="EC246" s="214"/>
      <c r="ED246" s="214"/>
      <c r="EE246" s="214"/>
      <c r="EF246" s="214"/>
      <c r="EG246" s="214"/>
      <c r="EH246" s="214"/>
      <c r="EI246" s="214"/>
      <c r="EJ246" s="214"/>
      <c r="EK246" s="214"/>
      <c r="EL246" s="214"/>
      <c r="EM246" s="214"/>
      <c r="EN246" s="214"/>
      <c r="EO246" s="214"/>
      <c r="EP246" s="214"/>
      <c r="EQ246" s="214"/>
      <c r="ER246" s="214"/>
      <c r="ES246" s="214"/>
      <c r="ET246" s="214"/>
      <c r="EU246" s="214"/>
      <c r="EV246" s="214"/>
      <c r="EW246" s="214"/>
      <c r="EX246" s="214"/>
      <c r="EY246" s="214"/>
      <c r="EZ246" s="214"/>
      <c r="FA246" s="214"/>
      <c r="FB246" s="214"/>
      <c r="FC246" s="214"/>
      <c r="FD246" s="214"/>
      <c r="FE246" s="214"/>
      <c r="FF246" s="214"/>
      <c r="FG246" s="214"/>
      <c r="FH246" s="214"/>
      <c r="FI246" s="214"/>
      <c r="FJ246" s="214"/>
      <c r="FK246" s="214"/>
      <c r="FL246" s="214"/>
      <c r="FM246" s="214"/>
      <c r="FN246" s="214"/>
      <c r="FO246" s="214"/>
      <c r="FP246" s="214"/>
      <c r="FQ246" s="214"/>
      <c r="FR246" s="214"/>
      <c r="FS246" s="214"/>
      <c r="FT246" s="214"/>
      <c r="FU246" s="214"/>
      <c r="FV246" s="214"/>
      <c r="FW246" s="214"/>
      <c r="FX246" s="214"/>
      <c r="FY246" s="214"/>
      <c r="FZ246" s="214"/>
      <c r="GA246" s="214"/>
      <c r="GB246" s="214"/>
      <c r="GC246" s="214"/>
      <c r="GD246" s="214"/>
      <c r="GE246" s="214"/>
      <c r="GF246" s="214"/>
      <c r="GG246" s="214"/>
      <c r="GH246" s="214"/>
      <c r="GI246" s="214"/>
      <c r="GJ246" s="214"/>
      <c r="GK246" s="214"/>
      <c r="GL246" s="214"/>
      <c r="GM246" s="214"/>
      <c r="GN246" s="214"/>
      <c r="GO246" s="214"/>
      <c r="GP246" s="214"/>
      <c r="GQ246" s="214"/>
      <c r="GR246" s="214"/>
      <c r="GS246" s="214"/>
      <c r="GT246" s="214"/>
      <c r="GU246" s="214"/>
      <c r="GV246" s="214"/>
      <c r="GW246" s="214"/>
      <c r="GX246" s="214"/>
      <c r="GY246" s="214"/>
      <c r="GZ246" s="214"/>
      <c r="HA246" s="214"/>
      <c r="HB246" s="214"/>
      <c r="HC246" s="214"/>
      <c r="HD246" s="214"/>
      <c r="HE246" s="214"/>
      <c r="HF246" s="214"/>
      <c r="HG246" s="214"/>
      <c r="HH246" s="214"/>
      <c r="HI246" s="214"/>
      <c r="HJ246" s="214"/>
      <c r="HK246" s="214"/>
      <c r="HL246" s="214"/>
      <c r="HM246" s="214"/>
      <c r="HN246" s="214"/>
      <c r="HO246" s="214"/>
      <c r="HP246" s="214"/>
      <c r="HQ246" s="214"/>
      <c r="HR246" s="214"/>
      <c r="HS246" s="214"/>
      <c r="HT246" s="214"/>
      <c r="HU246" s="214"/>
      <c r="HV246" s="214"/>
      <c r="HW246" s="214"/>
      <c r="HX246" s="214"/>
      <c r="HY246" s="214"/>
      <c r="HZ246" s="214"/>
      <c r="IA246" s="214"/>
      <c r="IB246" s="214"/>
      <c r="IC246" s="214"/>
      <c r="ID246" s="214"/>
      <c r="IE246" s="214"/>
      <c r="IF246" s="214"/>
      <c r="IG246" s="214"/>
      <c r="IH246" s="214"/>
      <c r="II246" s="214"/>
      <c r="IJ246" s="214"/>
      <c r="IK246" s="214"/>
      <c r="IL246" s="214"/>
      <c r="IM246" s="214"/>
      <c r="IN246" s="214"/>
      <c r="IO246" s="214"/>
      <c r="IP246" s="214"/>
      <c r="IQ246" s="214"/>
      <c r="IR246" s="214"/>
    </row>
    <row r="247" spans="13:252" ht="16.5" hidden="1" customHeight="1" thickTop="1" thickBot="1">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c r="BM247" s="214"/>
      <c r="BN247" s="214"/>
      <c r="BO247" s="214"/>
      <c r="BP247" s="214"/>
      <c r="BQ247" s="214"/>
      <c r="BR247" s="214"/>
      <c r="BS247" s="214"/>
      <c r="BT247" s="214"/>
      <c r="BU247" s="214"/>
      <c r="BV247" s="214"/>
      <c r="BW247" s="214"/>
      <c r="BX247" s="214"/>
      <c r="BY247" s="214"/>
      <c r="BZ247" s="214"/>
      <c r="CA247" s="214"/>
      <c r="CB247" s="214"/>
      <c r="CC247" s="214"/>
      <c r="CD247" s="214"/>
      <c r="CE247" s="214"/>
      <c r="CF247" s="214"/>
      <c r="CG247" s="214"/>
      <c r="CH247" s="214"/>
      <c r="CI247" s="214"/>
      <c r="CJ247" s="214"/>
      <c r="CK247" s="214"/>
      <c r="CL247" s="214"/>
      <c r="CM247" s="214"/>
      <c r="CN247" s="214"/>
      <c r="CO247" s="214"/>
      <c r="CP247" s="214"/>
      <c r="CQ247" s="214"/>
      <c r="CR247" s="214"/>
      <c r="CS247" s="214"/>
      <c r="CT247" s="214"/>
      <c r="CU247" s="214"/>
      <c r="CV247" s="214"/>
      <c r="CW247" s="214"/>
      <c r="CX247" s="214"/>
      <c r="CY247" s="214"/>
      <c r="CZ247" s="214"/>
      <c r="DA247" s="214"/>
      <c r="DB247" s="214"/>
      <c r="DC247" s="214"/>
      <c r="DD247" s="214"/>
      <c r="DE247" s="214"/>
      <c r="DF247" s="214"/>
      <c r="DG247" s="214"/>
      <c r="DH247" s="214"/>
      <c r="DI247" s="214"/>
      <c r="DJ247" s="214"/>
      <c r="DK247" s="214"/>
      <c r="DL247" s="214"/>
      <c r="DM247" s="214"/>
      <c r="DN247" s="214"/>
      <c r="DO247" s="214"/>
      <c r="DP247" s="214"/>
      <c r="DQ247" s="214"/>
      <c r="DR247" s="214"/>
      <c r="DS247" s="214"/>
      <c r="DT247" s="214"/>
      <c r="DU247" s="214"/>
      <c r="DV247" s="214"/>
      <c r="DW247" s="214"/>
      <c r="DX247" s="214"/>
      <c r="DY247" s="214"/>
      <c r="DZ247" s="214"/>
      <c r="EA247" s="214"/>
      <c r="EB247" s="214"/>
      <c r="EC247" s="214"/>
      <c r="ED247" s="214"/>
      <c r="EE247" s="214"/>
      <c r="EF247" s="214"/>
      <c r="EG247" s="214"/>
      <c r="EH247" s="214"/>
      <c r="EI247" s="214"/>
      <c r="EJ247" s="214"/>
      <c r="EK247" s="214"/>
      <c r="EL247" s="214"/>
      <c r="EM247" s="214"/>
      <c r="EN247" s="214"/>
      <c r="EO247" s="214"/>
      <c r="EP247" s="214"/>
      <c r="EQ247" s="214"/>
      <c r="ER247" s="214"/>
      <c r="ES247" s="214"/>
      <c r="ET247" s="214"/>
      <c r="EU247" s="214"/>
      <c r="EV247" s="214"/>
      <c r="EW247" s="214"/>
      <c r="EX247" s="214"/>
      <c r="EY247" s="214"/>
      <c r="EZ247" s="214"/>
      <c r="FA247" s="214"/>
      <c r="FB247" s="214"/>
      <c r="FC247" s="214"/>
      <c r="FD247" s="214"/>
      <c r="FE247" s="214"/>
      <c r="FF247" s="214"/>
      <c r="FG247" s="214"/>
      <c r="FH247" s="214"/>
      <c r="FI247" s="214"/>
      <c r="FJ247" s="214"/>
      <c r="FK247" s="214"/>
      <c r="FL247" s="214"/>
      <c r="FM247" s="214"/>
      <c r="FN247" s="214"/>
      <c r="FO247" s="214"/>
      <c r="FP247" s="214"/>
      <c r="FQ247" s="214"/>
      <c r="FR247" s="214"/>
      <c r="FS247" s="214"/>
      <c r="FT247" s="214"/>
      <c r="FU247" s="214"/>
      <c r="FV247" s="214"/>
      <c r="FW247" s="214"/>
      <c r="FX247" s="214"/>
      <c r="FY247" s="214"/>
      <c r="FZ247" s="214"/>
      <c r="GA247" s="214"/>
      <c r="GB247" s="214"/>
      <c r="GC247" s="214"/>
      <c r="GD247" s="214"/>
      <c r="GE247" s="214"/>
      <c r="GF247" s="214"/>
      <c r="GG247" s="214"/>
      <c r="GH247" s="214"/>
      <c r="GI247" s="214"/>
      <c r="GJ247" s="214"/>
      <c r="GK247" s="214"/>
      <c r="GL247" s="214"/>
      <c r="GM247" s="214"/>
      <c r="GN247" s="214"/>
      <c r="GO247" s="214"/>
      <c r="GP247" s="214"/>
      <c r="GQ247" s="214"/>
      <c r="GR247" s="214"/>
      <c r="GS247" s="214"/>
      <c r="GT247" s="214"/>
      <c r="GU247" s="214"/>
      <c r="GV247" s="214"/>
      <c r="GW247" s="214"/>
      <c r="GX247" s="214"/>
      <c r="GY247" s="214"/>
      <c r="GZ247" s="214"/>
      <c r="HA247" s="214"/>
      <c r="HB247" s="214"/>
      <c r="HC247" s="214"/>
      <c r="HD247" s="214"/>
      <c r="HE247" s="214"/>
      <c r="HF247" s="214"/>
      <c r="HG247" s="214"/>
      <c r="HH247" s="214"/>
      <c r="HI247" s="214"/>
      <c r="HJ247" s="214"/>
      <c r="HK247" s="214"/>
      <c r="HL247" s="214"/>
      <c r="HM247" s="214"/>
      <c r="HN247" s="214"/>
      <c r="HO247" s="214"/>
      <c r="HP247" s="214"/>
      <c r="HQ247" s="214"/>
      <c r="HR247" s="214"/>
      <c r="HS247" s="214"/>
      <c r="HT247" s="214"/>
      <c r="HU247" s="214"/>
      <c r="HV247" s="214"/>
      <c r="HW247" s="214"/>
      <c r="HX247" s="214"/>
      <c r="HY247" s="214"/>
      <c r="HZ247" s="214"/>
      <c r="IA247" s="214"/>
      <c r="IB247" s="214"/>
      <c r="IC247" s="214"/>
      <c r="ID247" s="214"/>
      <c r="IE247" s="214"/>
      <c r="IF247" s="214"/>
      <c r="IG247" s="214"/>
      <c r="IH247" s="214"/>
      <c r="II247" s="214"/>
      <c r="IJ247" s="214"/>
      <c r="IK247" s="214"/>
      <c r="IL247" s="214"/>
      <c r="IM247" s="214"/>
      <c r="IN247" s="214"/>
      <c r="IO247" s="214"/>
      <c r="IP247" s="214"/>
      <c r="IQ247" s="214"/>
      <c r="IR247" s="214"/>
    </row>
    <row r="248" spans="13:252" ht="16.5" hidden="1" customHeight="1" thickTop="1" thickBot="1">
      <c r="M248" s="214"/>
      <c r="N248" s="214"/>
      <c r="O248" s="214"/>
      <c r="P248" s="214"/>
      <c r="Q248" s="214"/>
      <c r="R248" s="214"/>
      <c r="S248" s="214"/>
      <c r="T248" s="214"/>
      <c r="U248" s="214"/>
      <c r="V248" s="214"/>
      <c r="W248" s="214"/>
      <c r="X248" s="214"/>
      <c r="Y248" s="214"/>
      <c r="Z248" s="214"/>
      <c r="AA248" s="214"/>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c r="BI248" s="214"/>
      <c r="BJ248" s="214"/>
      <c r="BK248" s="214"/>
      <c r="BL248" s="214"/>
      <c r="BM248" s="214"/>
      <c r="BN248" s="214"/>
      <c r="BO248" s="214"/>
      <c r="BP248" s="214"/>
      <c r="BQ248" s="214"/>
      <c r="BR248" s="214"/>
      <c r="BS248" s="214"/>
      <c r="BT248" s="214"/>
      <c r="BU248" s="214"/>
      <c r="BV248" s="214"/>
      <c r="BW248" s="214"/>
      <c r="BX248" s="214"/>
      <c r="BY248" s="214"/>
      <c r="BZ248" s="214"/>
      <c r="CA248" s="214"/>
      <c r="CB248" s="214"/>
      <c r="CC248" s="214"/>
      <c r="CD248" s="214"/>
      <c r="CE248" s="214"/>
      <c r="CF248" s="214"/>
      <c r="CG248" s="214"/>
      <c r="CH248" s="214"/>
      <c r="CI248" s="214"/>
      <c r="CJ248" s="214"/>
      <c r="CK248" s="214"/>
      <c r="CL248" s="214"/>
      <c r="CM248" s="214"/>
      <c r="CN248" s="214"/>
      <c r="CO248" s="214"/>
      <c r="CP248" s="214"/>
      <c r="CQ248" s="214"/>
      <c r="CR248" s="214"/>
      <c r="CS248" s="214"/>
      <c r="CT248" s="214"/>
      <c r="CU248" s="214"/>
      <c r="CV248" s="214"/>
      <c r="CW248" s="214"/>
      <c r="CX248" s="214"/>
      <c r="CY248" s="214"/>
      <c r="CZ248" s="214"/>
      <c r="DA248" s="214"/>
      <c r="DB248" s="214"/>
      <c r="DC248" s="214"/>
      <c r="DD248" s="214"/>
      <c r="DE248" s="214"/>
      <c r="DF248" s="214"/>
      <c r="DG248" s="214"/>
      <c r="DH248" s="214"/>
      <c r="DI248" s="214"/>
      <c r="DJ248" s="214"/>
      <c r="DK248" s="214"/>
      <c r="DL248" s="214"/>
      <c r="DM248" s="214"/>
      <c r="DN248" s="214"/>
      <c r="DO248" s="214"/>
      <c r="DP248" s="214"/>
      <c r="DQ248" s="214"/>
      <c r="DR248" s="214"/>
      <c r="DS248" s="214"/>
      <c r="DT248" s="214"/>
      <c r="DU248" s="214"/>
      <c r="DV248" s="214"/>
      <c r="DW248" s="214"/>
      <c r="DX248" s="214"/>
      <c r="DY248" s="214"/>
      <c r="DZ248" s="214"/>
      <c r="EA248" s="214"/>
      <c r="EB248" s="214"/>
      <c r="EC248" s="214"/>
      <c r="ED248" s="214"/>
      <c r="EE248" s="214"/>
      <c r="EF248" s="214"/>
      <c r="EG248" s="214"/>
      <c r="EH248" s="214"/>
      <c r="EI248" s="214"/>
      <c r="EJ248" s="214"/>
      <c r="EK248" s="214"/>
      <c r="EL248" s="214"/>
      <c r="EM248" s="214"/>
      <c r="EN248" s="214"/>
      <c r="EO248" s="214"/>
      <c r="EP248" s="214"/>
      <c r="EQ248" s="214"/>
      <c r="ER248" s="214"/>
      <c r="ES248" s="214"/>
      <c r="ET248" s="214"/>
      <c r="EU248" s="214"/>
      <c r="EV248" s="214"/>
      <c r="EW248" s="214"/>
      <c r="EX248" s="214"/>
      <c r="EY248" s="214"/>
      <c r="EZ248" s="214"/>
      <c r="FA248" s="214"/>
      <c r="FB248" s="214"/>
      <c r="FC248" s="214"/>
      <c r="FD248" s="214"/>
      <c r="FE248" s="214"/>
      <c r="FF248" s="214"/>
      <c r="FG248" s="214"/>
      <c r="FH248" s="214"/>
      <c r="FI248" s="214"/>
      <c r="FJ248" s="214"/>
      <c r="FK248" s="214"/>
      <c r="FL248" s="214"/>
      <c r="FM248" s="214"/>
      <c r="FN248" s="214"/>
      <c r="FO248" s="214"/>
      <c r="FP248" s="214"/>
      <c r="FQ248" s="214"/>
      <c r="FR248" s="214"/>
      <c r="FS248" s="214"/>
      <c r="FT248" s="214"/>
      <c r="FU248" s="214"/>
      <c r="FV248" s="214"/>
      <c r="FW248" s="214"/>
      <c r="FX248" s="214"/>
      <c r="FY248" s="214"/>
      <c r="FZ248" s="214"/>
      <c r="GA248" s="214"/>
      <c r="GB248" s="214"/>
      <c r="GC248" s="214"/>
      <c r="GD248" s="214"/>
      <c r="GE248" s="214"/>
      <c r="GF248" s="214"/>
      <c r="GG248" s="214"/>
      <c r="GH248" s="214"/>
      <c r="GI248" s="214"/>
      <c r="GJ248" s="214"/>
      <c r="GK248" s="214"/>
      <c r="GL248" s="214"/>
      <c r="GM248" s="214"/>
      <c r="GN248" s="214"/>
      <c r="GO248" s="214"/>
      <c r="GP248" s="214"/>
      <c r="GQ248" s="214"/>
      <c r="GR248" s="214"/>
      <c r="GS248" s="214"/>
      <c r="GT248" s="214"/>
      <c r="GU248" s="214"/>
      <c r="GV248" s="214"/>
      <c r="GW248" s="214"/>
      <c r="GX248" s="214"/>
      <c r="GY248" s="214"/>
      <c r="GZ248" s="214"/>
      <c r="HA248" s="214"/>
      <c r="HB248" s="214"/>
      <c r="HC248" s="214"/>
      <c r="HD248" s="214"/>
      <c r="HE248" s="214"/>
      <c r="HF248" s="214"/>
      <c r="HG248" s="214"/>
      <c r="HH248" s="214"/>
      <c r="HI248" s="214"/>
      <c r="HJ248" s="214"/>
      <c r="HK248" s="214"/>
      <c r="HL248" s="214"/>
      <c r="HM248" s="214"/>
      <c r="HN248" s="214"/>
      <c r="HO248" s="214"/>
      <c r="HP248" s="214"/>
      <c r="HQ248" s="214"/>
      <c r="HR248" s="214"/>
      <c r="HS248" s="214"/>
      <c r="HT248" s="214"/>
      <c r="HU248" s="214"/>
      <c r="HV248" s="214"/>
      <c r="HW248" s="214"/>
      <c r="HX248" s="214"/>
      <c r="HY248" s="214"/>
      <c r="HZ248" s="214"/>
      <c r="IA248" s="214"/>
      <c r="IB248" s="214"/>
      <c r="IC248" s="214"/>
      <c r="ID248" s="214"/>
      <c r="IE248" s="214"/>
      <c r="IF248" s="214"/>
      <c r="IG248" s="214"/>
      <c r="IH248" s="214"/>
      <c r="II248" s="214"/>
      <c r="IJ248" s="214"/>
      <c r="IK248" s="214"/>
      <c r="IL248" s="214"/>
      <c r="IM248" s="214"/>
      <c r="IN248" s="214"/>
      <c r="IO248" s="214"/>
      <c r="IP248" s="214"/>
      <c r="IQ248" s="214"/>
      <c r="IR248" s="214"/>
    </row>
    <row r="249" spans="13:252" ht="16.5" hidden="1" customHeight="1" thickTop="1" thickBot="1">
      <c r="M249" s="214"/>
      <c r="N249" s="214"/>
      <c r="O249" s="214"/>
      <c r="P249" s="214"/>
      <c r="Q249" s="214"/>
      <c r="R249" s="214"/>
      <c r="S249" s="214"/>
      <c r="T249" s="214"/>
      <c r="U249" s="214"/>
      <c r="V249" s="214"/>
      <c r="W249" s="214"/>
      <c r="X249" s="214"/>
      <c r="Y249" s="214"/>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c r="BI249" s="214"/>
      <c r="BJ249" s="214"/>
      <c r="BK249" s="214"/>
      <c r="BL249" s="214"/>
      <c r="BM249" s="214"/>
      <c r="BN249" s="214"/>
      <c r="BO249" s="214"/>
      <c r="BP249" s="214"/>
      <c r="BQ249" s="214"/>
      <c r="BR249" s="214"/>
      <c r="BS249" s="214"/>
      <c r="BT249" s="214"/>
      <c r="BU249" s="214"/>
      <c r="BV249" s="214"/>
      <c r="BW249" s="214"/>
      <c r="BX249" s="214"/>
      <c r="BY249" s="214"/>
      <c r="BZ249" s="214"/>
      <c r="CA249" s="214"/>
      <c r="CB249" s="214"/>
      <c r="CC249" s="214"/>
      <c r="CD249" s="214"/>
      <c r="CE249" s="214"/>
      <c r="CF249" s="214"/>
      <c r="CG249" s="214"/>
      <c r="CH249" s="214"/>
      <c r="CI249" s="214"/>
      <c r="CJ249" s="214"/>
      <c r="CK249" s="214"/>
      <c r="CL249" s="214"/>
      <c r="CM249" s="214"/>
      <c r="CN249" s="214"/>
      <c r="CO249" s="214"/>
      <c r="CP249" s="214"/>
      <c r="CQ249" s="214"/>
      <c r="CR249" s="214"/>
      <c r="CS249" s="214"/>
      <c r="CT249" s="214"/>
      <c r="CU249" s="214"/>
      <c r="CV249" s="214"/>
      <c r="CW249" s="214"/>
      <c r="CX249" s="214"/>
      <c r="CY249" s="214"/>
      <c r="CZ249" s="214"/>
      <c r="DA249" s="214"/>
      <c r="DB249" s="214"/>
      <c r="DC249" s="214"/>
      <c r="DD249" s="214"/>
      <c r="DE249" s="214"/>
      <c r="DF249" s="214"/>
      <c r="DG249" s="214"/>
      <c r="DH249" s="214"/>
      <c r="DI249" s="214"/>
      <c r="DJ249" s="214"/>
      <c r="DK249" s="214"/>
      <c r="DL249" s="214"/>
      <c r="DM249" s="214"/>
      <c r="DN249" s="214"/>
      <c r="DO249" s="214"/>
      <c r="DP249" s="214"/>
      <c r="DQ249" s="214"/>
      <c r="DR249" s="214"/>
      <c r="DS249" s="214"/>
      <c r="DT249" s="214"/>
      <c r="DU249" s="214"/>
      <c r="DV249" s="214"/>
      <c r="DW249" s="214"/>
      <c r="DX249" s="214"/>
      <c r="DY249" s="214"/>
      <c r="DZ249" s="214"/>
      <c r="EA249" s="214"/>
      <c r="EB249" s="214"/>
      <c r="EC249" s="214"/>
      <c r="ED249" s="214"/>
      <c r="EE249" s="214"/>
      <c r="EF249" s="214"/>
      <c r="EG249" s="214"/>
      <c r="EH249" s="214"/>
      <c r="EI249" s="214"/>
      <c r="EJ249" s="214"/>
      <c r="EK249" s="214"/>
      <c r="EL249" s="214"/>
      <c r="EM249" s="214"/>
      <c r="EN249" s="214"/>
      <c r="EO249" s="214"/>
      <c r="EP249" s="214"/>
      <c r="EQ249" s="214"/>
      <c r="ER249" s="214"/>
      <c r="ES249" s="214"/>
      <c r="ET249" s="214"/>
      <c r="EU249" s="214"/>
      <c r="EV249" s="214"/>
      <c r="EW249" s="214"/>
      <c r="EX249" s="214"/>
      <c r="EY249" s="214"/>
      <c r="EZ249" s="214"/>
      <c r="FA249" s="214"/>
      <c r="FB249" s="214"/>
      <c r="FC249" s="214"/>
      <c r="FD249" s="214"/>
      <c r="FE249" s="214"/>
      <c r="FF249" s="214"/>
      <c r="FG249" s="214"/>
      <c r="FH249" s="214"/>
      <c r="FI249" s="214"/>
      <c r="FJ249" s="214"/>
      <c r="FK249" s="214"/>
      <c r="FL249" s="214"/>
      <c r="FM249" s="214"/>
      <c r="FN249" s="214"/>
      <c r="FO249" s="214"/>
      <c r="FP249" s="214"/>
      <c r="FQ249" s="214"/>
      <c r="FR249" s="214"/>
      <c r="FS249" s="214"/>
      <c r="FT249" s="214"/>
      <c r="FU249" s="214"/>
      <c r="FV249" s="214"/>
      <c r="FW249" s="214"/>
      <c r="FX249" s="214"/>
      <c r="FY249" s="214"/>
      <c r="FZ249" s="214"/>
      <c r="GA249" s="214"/>
      <c r="GB249" s="214"/>
      <c r="GC249" s="214"/>
      <c r="GD249" s="214"/>
      <c r="GE249" s="214"/>
      <c r="GF249" s="214"/>
      <c r="GG249" s="214"/>
      <c r="GH249" s="214"/>
      <c r="GI249" s="214"/>
      <c r="GJ249" s="214"/>
      <c r="GK249" s="214"/>
      <c r="GL249" s="214"/>
      <c r="GM249" s="214"/>
      <c r="GN249" s="214"/>
      <c r="GO249" s="214"/>
      <c r="GP249" s="214"/>
      <c r="GQ249" s="214"/>
      <c r="GR249" s="214"/>
      <c r="GS249" s="214"/>
      <c r="GT249" s="214"/>
      <c r="GU249" s="214"/>
      <c r="GV249" s="214"/>
      <c r="GW249" s="214"/>
      <c r="GX249" s="214"/>
      <c r="GY249" s="214"/>
      <c r="GZ249" s="214"/>
      <c r="HA249" s="214"/>
      <c r="HB249" s="214"/>
      <c r="HC249" s="214"/>
      <c r="HD249" s="214"/>
      <c r="HE249" s="214"/>
      <c r="HF249" s="214"/>
      <c r="HG249" s="214"/>
      <c r="HH249" s="214"/>
      <c r="HI249" s="214"/>
      <c r="HJ249" s="214"/>
      <c r="HK249" s="214"/>
      <c r="HL249" s="214"/>
      <c r="HM249" s="214"/>
      <c r="HN249" s="214"/>
      <c r="HO249" s="214"/>
      <c r="HP249" s="214"/>
      <c r="HQ249" s="214"/>
      <c r="HR249" s="214"/>
      <c r="HS249" s="214"/>
      <c r="HT249" s="214"/>
      <c r="HU249" s="214"/>
      <c r="HV249" s="214"/>
      <c r="HW249" s="214"/>
      <c r="HX249" s="214"/>
      <c r="HY249" s="214"/>
      <c r="HZ249" s="214"/>
      <c r="IA249" s="214"/>
      <c r="IB249" s="214"/>
      <c r="IC249" s="214"/>
      <c r="ID249" s="214"/>
      <c r="IE249" s="214"/>
      <c r="IF249" s="214"/>
      <c r="IG249" s="214"/>
      <c r="IH249" s="214"/>
      <c r="II249" s="214"/>
      <c r="IJ249" s="214"/>
      <c r="IK249" s="214"/>
      <c r="IL249" s="214"/>
      <c r="IM249" s="214"/>
      <c r="IN249" s="214"/>
      <c r="IO249" s="214"/>
      <c r="IP249" s="214"/>
      <c r="IQ249" s="214"/>
      <c r="IR249" s="214"/>
    </row>
    <row r="250" spans="13:252" ht="16.5" hidden="1" customHeight="1" thickTop="1" thickBot="1">
      <c r="M250" s="214"/>
      <c r="N250" s="214"/>
      <c r="O250" s="214"/>
      <c r="P250" s="214"/>
      <c r="Q250" s="214"/>
      <c r="R250" s="214"/>
      <c r="S250" s="214"/>
      <c r="T250" s="214"/>
      <c r="U250" s="214"/>
      <c r="V250" s="214"/>
      <c r="W250" s="214"/>
      <c r="X250" s="214"/>
      <c r="Y250" s="214"/>
      <c r="Z250" s="214"/>
      <c r="AA250" s="214"/>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c r="BI250" s="214"/>
      <c r="BJ250" s="214"/>
      <c r="BK250" s="214"/>
      <c r="BL250" s="214"/>
      <c r="BM250" s="214"/>
      <c r="BN250" s="214"/>
      <c r="BO250" s="214"/>
      <c r="BP250" s="214"/>
      <c r="BQ250" s="214"/>
      <c r="BR250" s="214"/>
      <c r="BS250" s="214"/>
      <c r="BT250" s="214"/>
      <c r="BU250" s="214"/>
      <c r="BV250" s="214"/>
      <c r="BW250" s="214"/>
      <c r="BX250" s="214"/>
      <c r="BY250" s="214"/>
      <c r="BZ250" s="214"/>
      <c r="CA250" s="214"/>
      <c r="CB250" s="214"/>
      <c r="CC250" s="214"/>
      <c r="CD250" s="214"/>
      <c r="CE250" s="214"/>
      <c r="CF250" s="214"/>
      <c r="CG250" s="214"/>
      <c r="CH250" s="214"/>
      <c r="CI250" s="214"/>
      <c r="CJ250" s="214"/>
      <c r="CK250" s="214"/>
      <c r="CL250" s="214"/>
      <c r="CM250" s="214"/>
      <c r="CN250" s="214"/>
      <c r="CO250" s="214"/>
      <c r="CP250" s="214"/>
      <c r="CQ250" s="214"/>
      <c r="CR250" s="214"/>
      <c r="CS250" s="214"/>
      <c r="CT250" s="214"/>
      <c r="CU250" s="214"/>
      <c r="CV250" s="214"/>
      <c r="CW250" s="214"/>
      <c r="CX250" s="214"/>
      <c r="CY250" s="214"/>
      <c r="CZ250" s="214"/>
      <c r="DA250" s="214"/>
      <c r="DB250" s="214"/>
      <c r="DC250" s="214"/>
      <c r="DD250" s="214"/>
      <c r="DE250" s="214"/>
      <c r="DF250" s="214"/>
      <c r="DG250" s="214"/>
      <c r="DH250" s="214"/>
      <c r="DI250" s="214"/>
      <c r="DJ250" s="214"/>
      <c r="DK250" s="214"/>
      <c r="DL250" s="214"/>
      <c r="DM250" s="214"/>
      <c r="DN250" s="214"/>
      <c r="DO250" s="214"/>
      <c r="DP250" s="214"/>
      <c r="DQ250" s="214"/>
      <c r="DR250" s="214"/>
      <c r="DS250" s="214"/>
      <c r="DT250" s="214"/>
      <c r="DU250" s="214"/>
      <c r="DV250" s="214"/>
      <c r="DW250" s="214"/>
      <c r="DX250" s="214"/>
      <c r="DY250" s="214"/>
      <c r="DZ250" s="214"/>
      <c r="EA250" s="214"/>
      <c r="EB250" s="214"/>
      <c r="EC250" s="214"/>
      <c r="ED250" s="214"/>
      <c r="EE250" s="214"/>
      <c r="EF250" s="214"/>
      <c r="EG250" s="214"/>
      <c r="EH250" s="214"/>
      <c r="EI250" s="214"/>
      <c r="EJ250" s="214"/>
      <c r="EK250" s="214"/>
      <c r="EL250" s="214"/>
      <c r="EM250" s="214"/>
      <c r="EN250" s="214"/>
      <c r="EO250" s="214"/>
      <c r="EP250" s="214"/>
      <c r="EQ250" s="214"/>
      <c r="ER250" s="214"/>
      <c r="ES250" s="214"/>
      <c r="ET250" s="214"/>
      <c r="EU250" s="214"/>
      <c r="EV250" s="214"/>
      <c r="EW250" s="214"/>
      <c r="EX250" s="214"/>
      <c r="EY250" s="214"/>
      <c r="EZ250" s="214"/>
      <c r="FA250" s="214"/>
      <c r="FB250" s="214"/>
      <c r="FC250" s="214"/>
      <c r="FD250" s="214"/>
      <c r="FE250" s="214"/>
      <c r="FF250" s="214"/>
      <c r="FG250" s="214"/>
      <c r="FH250" s="214"/>
      <c r="FI250" s="214"/>
      <c r="FJ250" s="214"/>
      <c r="FK250" s="214"/>
      <c r="FL250" s="214"/>
      <c r="FM250" s="214"/>
      <c r="FN250" s="214"/>
      <c r="FO250" s="214"/>
      <c r="FP250" s="214"/>
      <c r="FQ250" s="214"/>
      <c r="FR250" s="214"/>
      <c r="FS250" s="214"/>
      <c r="FT250" s="214"/>
      <c r="FU250" s="214"/>
      <c r="FV250" s="214"/>
      <c r="FW250" s="214"/>
      <c r="FX250" s="214"/>
      <c r="FY250" s="214"/>
      <c r="FZ250" s="214"/>
      <c r="GA250" s="214"/>
      <c r="GB250" s="214"/>
      <c r="GC250" s="214"/>
      <c r="GD250" s="214"/>
      <c r="GE250" s="214"/>
      <c r="GF250" s="214"/>
      <c r="GG250" s="214"/>
      <c r="GH250" s="214"/>
      <c r="GI250" s="214"/>
      <c r="GJ250" s="214"/>
      <c r="GK250" s="214"/>
      <c r="GL250" s="214"/>
      <c r="GM250" s="214"/>
      <c r="GN250" s="214"/>
      <c r="GO250" s="214"/>
      <c r="GP250" s="214"/>
      <c r="GQ250" s="214"/>
      <c r="GR250" s="214"/>
      <c r="GS250" s="214"/>
      <c r="GT250" s="214"/>
      <c r="GU250" s="214"/>
      <c r="GV250" s="214"/>
      <c r="GW250" s="214"/>
      <c r="GX250" s="214"/>
      <c r="GY250" s="214"/>
      <c r="GZ250" s="214"/>
      <c r="HA250" s="214"/>
      <c r="HB250" s="214"/>
      <c r="HC250" s="214"/>
      <c r="HD250" s="214"/>
      <c r="HE250" s="214"/>
      <c r="HF250" s="214"/>
      <c r="HG250" s="214"/>
      <c r="HH250" s="214"/>
      <c r="HI250" s="214"/>
      <c r="HJ250" s="214"/>
      <c r="HK250" s="214"/>
      <c r="HL250" s="214"/>
      <c r="HM250" s="214"/>
      <c r="HN250" s="214"/>
      <c r="HO250" s="214"/>
      <c r="HP250" s="214"/>
      <c r="HQ250" s="214"/>
      <c r="HR250" s="214"/>
      <c r="HS250" s="214"/>
      <c r="HT250" s="214"/>
      <c r="HU250" s="214"/>
      <c r="HV250" s="214"/>
      <c r="HW250" s="214"/>
      <c r="HX250" s="214"/>
      <c r="HY250" s="214"/>
      <c r="HZ250" s="214"/>
      <c r="IA250" s="214"/>
      <c r="IB250" s="214"/>
      <c r="IC250" s="214"/>
      <c r="ID250" s="214"/>
      <c r="IE250" s="214"/>
      <c r="IF250" s="214"/>
      <c r="IG250" s="214"/>
      <c r="IH250" s="214"/>
      <c r="II250" s="214"/>
      <c r="IJ250" s="214"/>
      <c r="IK250" s="214"/>
      <c r="IL250" s="214"/>
      <c r="IM250" s="214"/>
      <c r="IN250" s="214"/>
      <c r="IO250" s="214"/>
      <c r="IP250" s="214"/>
      <c r="IQ250" s="214"/>
      <c r="IR250" s="214"/>
    </row>
    <row r="251" spans="13:252" ht="16.5" hidden="1" customHeight="1" thickTop="1" thickBot="1">
      <c r="M251" s="214"/>
      <c r="N251" s="214"/>
      <c r="O251" s="214"/>
      <c r="P251" s="214"/>
      <c r="Q251" s="214"/>
      <c r="R251" s="214"/>
      <c r="S251" s="214"/>
      <c r="T251" s="214"/>
      <c r="U251" s="214"/>
      <c r="V251" s="214"/>
      <c r="W251" s="214"/>
      <c r="X251" s="214"/>
      <c r="Y251" s="214"/>
      <c r="Z251" s="214"/>
      <c r="AA251" s="214"/>
      <c r="AB251" s="214"/>
      <c r="AC251" s="214"/>
      <c r="AD251" s="214"/>
      <c r="AE251" s="214"/>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c r="BI251" s="214"/>
      <c r="BJ251" s="214"/>
      <c r="BK251" s="214"/>
      <c r="BL251" s="214"/>
      <c r="BM251" s="214"/>
      <c r="BN251" s="214"/>
      <c r="BO251" s="214"/>
      <c r="BP251" s="214"/>
      <c r="BQ251" s="214"/>
      <c r="BR251" s="214"/>
      <c r="BS251" s="214"/>
      <c r="BT251" s="214"/>
      <c r="BU251" s="214"/>
      <c r="BV251" s="214"/>
      <c r="BW251" s="214"/>
      <c r="BX251" s="214"/>
      <c r="BY251" s="214"/>
      <c r="BZ251" s="214"/>
      <c r="CA251" s="214"/>
      <c r="CB251" s="214"/>
      <c r="CC251" s="214"/>
      <c r="CD251" s="214"/>
      <c r="CE251" s="214"/>
      <c r="CF251" s="214"/>
      <c r="CG251" s="214"/>
      <c r="CH251" s="214"/>
      <c r="CI251" s="214"/>
      <c r="CJ251" s="214"/>
      <c r="CK251" s="214"/>
      <c r="CL251" s="214"/>
      <c r="CM251" s="214"/>
      <c r="CN251" s="214"/>
      <c r="CO251" s="214"/>
      <c r="CP251" s="214"/>
      <c r="CQ251" s="214"/>
      <c r="CR251" s="214"/>
      <c r="CS251" s="214"/>
      <c r="CT251" s="214"/>
      <c r="CU251" s="214"/>
      <c r="CV251" s="214"/>
      <c r="CW251" s="214"/>
      <c r="CX251" s="214"/>
      <c r="CY251" s="214"/>
      <c r="CZ251" s="214"/>
      <c r="DA251" s="214"/>
      <c r="DB251" s="214"/>
      <c r="DC251" s="214"/>
      <c r="DD251" s="214"/>
      <c r="DE251" s="214"/>
      <c r="DF251" s="214"/>
      <c r="DG251" s="214"/>
      <c r="DH251" s="214"/>
      <c r="DI251" s="214"/>
      <c r="DJ251" s="214"/>
      <c r="DK251" s="214"/>
      <c r="DL251" s="214"/>
      <c r="DM251" s="214"/>
      <c r="DN251" s="214"/>
      <c r="DO251" s="214"/>
      <c r="DP251" s="214"/>
      <c r="DQ251" s="214"/>
      <c r="DR251" s="214"/>
      <c r="DS251" s="214"/>
      <c r="DT251" s="214"/>
      <c r="DU251" s="214"/>
      <c r="DV251" s="214"/>
      <c r="DW251" s="214"/>
      <c r="DX251" s="214"/>
      <c r="DY251" s="214"/>
      <c r="DZ251" s="214"/>
      <c r="EA251" s="214"/>
      <c r="EB251" s="214"/>
      <c r="EC251" s="214"/>
      <c r="ED251" s="214"/>
      <c r="EE251" s="214"/>
      <c r="EF251" s="214"/>
      <c r="EG251" s="214"/>
      <c r="EH251" s="214"/>
      <c r="EI251" s="214"/>
      <c r="EJ251" s="214"/>
      <c r="EK251" s="214"/>
      <c r="EL251" s="214"/>
      <c r="EM251" s="214"/>
      <c r="EN251" s="214"/>
      <c r="EO251" s="214"/>
      <c r="EP251" s="214"/>
      <c r="EQ251" s="214"/>
      <c r="ER251" s="214"/>
      <c r="ES251" s="214"/>
      <c r="ET251" s="214"/>
      <c r="EU251" s="214"/>
      <c r="EV251" s="214"/>
      <c r="EW251" s="214"/>
      <c r="EX251" s="214"/>
      <c r="EY251" s="214"/>
      <c r="EZ251" s="214"/>
      <c r="FA251" s="214"/>
      <c r="FB251" s="214"/>
      <c r="FC251" s="214"/>
      <c r="FD251" s="214"/>
      <c r="FE251" s="214"/>
      <c r="FF251" s="214"/>
      <c r="FG251" s="214"/>
      <c r="FH251" s="214"/>
      <c r="FI251" s="214"/>
      <c r="FJ251" s="214"/>
      <c r="FK251" s="214"/>
      <c r="FL251" s="214"/>
      <c r="FM251" s="214"/>
      <c r="FN251" s="214"/>
      <c r="FO251" s="214"/>
      <c r="FP251" s="214"/>
      <c r="FQ251" s="214"/>
      <c r="FR251" s="214"/>
      <c r="FS251" s="214"/>
      <c r="FT251" s="214"/>
      <c r="FU251" s="214"/>
      <c r="FV251" s="214"/>
      <c r="FW251" s="214"/>
      <c r="FX251" s="214"/>
      <c r="FY251" s="214"/>
      <c r="FZ251" s="214"/>
      <c r="GA251" s="214"/>
      <c r="GB251" s="214"/>
      <c r="GC251" s="214"/>
      <c r="GD251" s="214"/>
      <c r="GE251" s="214"/>
      <c r="GF251" s="214"/>
      <c r="GG251" s="214"/>
      <c r="GH251" s="214"/>
      <c r="GI251" s="214"/>
      <c r="GJ251" s="214"/>
      <c r="GK251" s="214"/>
      <c r="GL251" s="214"/>
      <c r="GM251" s="214"/>
      <c r="GN251" s="214"/>
      <c r="GO251" s="214"/>
      <c r="GP251" s="214"/>
      <c r="GQ251" s="214"/>
      <c r="GR251" s="214"/>
      <c r="GS251" s="214"/>
      <c r="GT251" s="214"/>
      <c r="GU251" s="214"/>
      <c r="GV251" s="214"/>
      <c r="GW251" s="214"/>
      <c r="GX251" s="214"/>
      <c r="GY251" s="214"/>
      <c r="GZ251" s="214"/>
      <c r="HA251" s="214"/>
      <c r="HB251" s="214"/>
      <c r="HC251" s="214"/>
      <c r="HD251" s="214"/>
      <c r="HE251" s="214"/>
      <c r="HF251" s="214"/>
      <c r="HG251" s="214"/>
      <c r="HH251" s="214"/>
      <c r="HI251" s="214"/>
      <c r="HJ251" s="214"/>
      <c r="HK251" s="214"/>
      <c r="HL251" s="214"/>
      <c r="HM251" s="214"/>
      <c r="HN251" s="214"/>
      <c r="HO251" s="214"/>
      <c r="HP251" s="214"/>
      <c r="HQ251" s="214"/>
      <c r="HR251" s="214"/>
      <c r="HS251" s="214"/>
      <c r="HT251" s="214"/>
      <c r="HU251" s="214"/>
      <c r="HV251" s="214"/>
      <c r="HW251" s="214"/>
      <c r="HX251" s="214"/>
      <c r="HY251" s="214"/>
      <c r="HZ251" s="214"/>
      <c r="IA251" s="214"/>
      <c r="IB251" s="214"/>
      <c r="IC251" s="214"/>
      <c r="ID251" s="214"/>
      <c r="IE251" s="214"/>
      <c r="IF251" s="214"/>
      <c r="IG251" s="214"/>
      <c r="IH251" s="214"/>
      <c r="II251" s="214"/>
      <c r="IJ251" s="214"/>
      <c r="IK251" s="214"/>
      <c r="IL251" s="214"/>
      <c r="IM251" s="214"/>
      <c r="IN251" s="214"/>
      <c r="IO251" s="214"/>
      <c r="IP251" s="214"/>
      <c r="IQ251" s="214"/>
      <c r="IR251" s="214"/>
    </row>
    <row r="252" spans="13:252" ht="16.5" hidden="1" customHeight="1" thickTop="1" thickBot="1">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c r="BM252" s="214"/>
      <c r="BN252" s="214"/>
      <c r="BO252" s="214"/>
      <c r="BP252" s="214"/>
      <c r="BQ252" s="214"/>
      <c r="BR252" s="214"/>
      <c r="BS252" s="214"/>
      <c r="BT252" s="214"/>
      <c r="BU252" s="214"/>
      <c r="BV252" s="214"/>
      <c r="BW252" s="214"/>
      <c r="BX252" s="214"/>
      <c r="BY252" s="214"/>
      <c r="BZ252" s="214"/>
      <c r="CA252" s="214"/>
      <c r="CB252" s="214"/>
      <c r="CC252" s="214"/>
      <c r="CD252" s="214"/>
      <c r="CE252" s="214"/>
      <c r="CF252" s="214"/>
      <c r="CG252" s="214"/>
      <c r="CH252" s="214"/>
      <c r="CI252" s="214"/>
      <c r="CJ252" s="214"/>
      <c r="CK252" s="214"/>
      <c r="CL252" s="214"/>
      <c r="CM252" s="214"/>
      <c r="CN252" s="214"/>
      <c r="CO252" s="214"/>
      <c r="CP252" s="214"/>
      <c r="CQ252" s="214"/>
      <c r="CR252" s="214"/>
      <c r="CS252" s="214"/>
      <c r="CT252" s="214"/>
      <c r="CU252" s="214"/>
      <c r="CV252" s="214"/>
      <c r="CW252" s="214"/>
      <c r="CX252" s="214"/>
      <c r="CY252" s="214"/>
      <c r="CZ252" s="214"/>
      <c r="DA252" s="214"/>
      <c r="DB252" s="214"/>
      <c r="DC252" s="214"/>
      <c r="DD252" s="214"/>
      <c r="DE252" s="214"/>
      <c r="DF252" s="214"/>
      <c r="DG252" s="214"/>
      <c r="DH252" s="214"/>
      <c r="DI252" s="214"/>
      <c r="DJ252" s="214"/>
      <c r="DK252" s="214"/>
      <c r="DL252" s="214"/>
      <c r="DM252" s="214"/>
      <c r="DN252" s="214"/>
      <c r="DO252" s="214"/>
      <c r="DP252" s="214"/>
      <c r="DQ252" s="214"/>
      <c r="DR252" s="214"/>
      <c r="DS252" s="214"/>
      <c r="DT252" s="214"/>
      <c r="DU252" s="214"/>
      <c r="DV252" s="214"/>
      <c r="DW252" s="214"/>
      <c r="DX252" s="214"/>
      <c r="DY252" s="214"/>
      <c r="DZ252" s="214"/>
      <c r="EA252" s="214"/>
      <c r="EB252" s="214"/>
      <c r="EC252" s="214"/>
      <c r="ED252" s="214"/>
      <c r="EE252" s="214"/>
      <c r="EF252" s="214"/>
      <c r="EG252" s="214"/>
      <c r="EH252" s="214"/>
      <c r="EI252" s="214"/>
      <c r="EJ252" s="214"/>
      <c r="EK252" s="214"/>
      <c r="EL252" s="214"/>
      <c r="EM252" s="214"/>
      <c r="EN252" s="214"/>
      <c r="EO252" s="214"/>
      <c r="EP252" s="214"/>
      <c r="EQ252" s="214"/>
      <c r="ER252" s="214"/>
      <c r="ES252" s="214"/>
      <c r="ET252" s="214"/>
      <c r="EU252" s="214"/>
      <c r="EV252" s="214"/>
      <c r="EW252" s="214"/>
      <c r="EX252" s="214"/>
      <c r="EY252" s="214"/>
      <c r="EZ252" s="214"/>
      <c r="FA252" s="214"/>
      <c r="FB252" s="214"/>
      <c r="FC252" s="214"/>
      <c r="FD252" s="214"/>
      <c r="FE252" s="214"/>
      <c r="FF252" s="214"/>
      <c r="FG252" s="214"/>
      <c r="FH252" s="214"/>
      <c r="FI252" s="214"/>
      <c r="FJ252" s="214"/>
      <c r="FK252" s="214"/>
      <c r="FL252" s="214"/>
      <c r="FM252" s="214"/>
      <c r="FN252" s="214"/>
      <c r="FO252" s="214"/>
      <c r="FP252" s="214"/>
      <c r="FQ252" s="214"/>
      <c r="FR252" s="214"/>
      <c r="FS252" s="214"/>
      <c r="FT252" s="214"/>
      <c r="FU252" s="214"/>
      <c r="FV252" s="214"/>
      <c r="FW252" s="214"/>
      <c r="FX252" s="214"/>
      <c r="FY252" s="214"/>
      <c r="FZ252" s="214"/>
      <c r="GA252" s="214"/>
      <c r="GB252" s="214"/>
      <c r="GC252" s="214"/>
      <c r="GD252" s="214"/>
      <c r="GE252" s="214"/>
      <c r="GF252" s="214"/>
      <c r="GG252" s="214"/>
      <c r="GH252" s="214"/>
      <c r="GI252" s="214"/>
      <c r="GJ252" s="214"/>
      <c r="GK252" s="214"/>
      <c r="GL252" s="214"/>
      <c r="GM252" s="214"/>
      <c r="GN252" s="214"/>
      <c r="GO252" s="214"/>
      <c r="GP252" s="214"/>
      <c r="GQ252" s="214"/>
      <c r="GR252" s="214"/>
      <c r="GS252" s="214"/>
      <c r="GT252" s="214"/>
      <c r="GU252" s="214"/>
      <c r="GV252" s="214"/>
      <c r="GW252" s="214"/>
      <c r="GX252" s="214"/>
      <c r="GY252" s="214"/>
      <c r="GZ252" s="214"/>
      <c r="HA252" s="214"/>
      <c r="HB252" s="214"/>
      <c r="HC252" s="214"/>
      <c r="HD252" s="214"/>
      <c r="HE252" s="214"/>
      <c r="HF252" s="214"/>
      <c r="HG252" s="214"/>
      <c r="HH252" s="214"/>
      <c r="HI252" s="214"/>
      <c r="HJ252" s="214"/>
      <c r="HK252" s="214"/>
      <c r="HL252" s="214"/>
      <c r="HM252" s="214"/>
      <c r="HN252" s="214"/>
      <c r="HO252" s="214"/>
      <c r="HP252" s="214"/>
      <c r="HQ252" s="214"/>
      <c r="HR252" s="214"/>
      <c r="HS252" s="214"/>
      <c r="HT252" s="214"/>
      <c r="HU252" s="214"/>
      <c r="HV252" s="214"/>
      <c r="HW252" s="214"/>
      <c r="HX252" s="214"/>
      <c r="HY252" s="214"/>
      <c r="HZ252" s="214"/>
      <c r="IA252" s="214"/>
      <c r="IB252" s="214"/>
      <c r="IC252" s="214"/>
      <c r="ID252" s="214"/>
      <c r="IE252" s="214"/>
      <c r="IF252" s="214"/>
      <c r="IG252" s="214"/>
      <c r="IH252" s="214"/>
      <c r="II252" s="214"/>
      <c r="IJ252" s="214"/>
      <c r="IK252" s="214"/>
      <c r="IL252" s="214"/>
      <c r="IM252" s="214"/>
      <c r="IN252" s="214"/>
      <c r="IO252" s="214"/>
      <c r="IP252" s="214"/>
      <c r="IQ252" s="214"/>
      <c r="IR252" s="214"/>
    </row>
    <row r="253" spans="13:252" ht="16.5" hidden="1" customHeight="1" thickTop="1" thickBot="1">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c r="BM253" s="214"/>
      <c r="BN253" s="214"/>
      <c r="BO253" s="214"/>
      <c r="BP253" s="214"/>
      <c r="BQ253" s="214"/>
      <c r="BR253" s="214"/>
      <c r="BS253" s="214"/>
      <c r="BT253" s="214"/>
      <c r="BU253" s="214"/>
      <c r="BV253" s="214"/>
      <c r="BW253" s="214"/>
      <c r="BX253" s="214"/>
      <c r="BY253" s="214"/>
      <c r="BZ253" s="214"/>
      <c r="CA253" s="214"/>
      <c r="CB253" s="214"/>
      <c r="CC253" s="214"/>
      <c r="CD253" s="214"/>
      <c r="CE253" s="214"/>
      <c r="CF253" s="214"/>
      <c r="CG253" s="214"/>
      <c r="CH253" s="214"/>
      <c r="CI253" s="214"/>
      <c r="CJ253" s="214"/>
      <c r="CK253" s="214"/>
      <c r="CL253" s="214"/>
      <c r="CM253" s="214"/>
      <c r="CN253" s="214"/>
      <c r="CO253" s="214"/>
      <c r="CP253" s="214"/>
      <c r="CQ253" s="214"/>
      <c r="CR253" s="214"/>
      <c r="CS253" s="214"/>
      <c r="CT253" s="214"/>
      <c r="CU253" s="214"/>
      <c r="CV253" s="214"/>
      <c r="CW253" s="214"/>
      <c r="CX253" s="214"/>
      <c r="CY253" s="214"/>
      <c r="CZ253" s="214"/>
      <c r="DA253" s="214"/>
      <c r="DB253" s="214"/>
      <c r="DC253" s="214"/>
      <c r="DD253" s="214"/>
      <c r="DE253" s="214"/>
      <c r="DF253" s="214"/>
      <c r="DG253" s="214"/>
      <c r="DH253" s="214"/>
      <c r="DI253" s="214"/>
      <c r="DJ253" s="214"/>
      <c r="DK253" s="214"/>
      <c r="DL253" s="214"/>
      <c r="DM253" s="214"/>
      <c r="DN253" s="214"/>
      <c r="DO253" s="214"/>
      <c r="DP253" s="214"/>
      <c r="DQ253" s="214"/>
      <c r="DR253" s="214"/>
      <c r="DS253" s="214"/>
      <c r="DT253" s="214"/>
      <c r="DU253" s="214"/>
      <c r="DV253" s="214"/>
      <c r="DW253" s="214"/>
      <c r="DX253" s="214"/>
      <c r="DY253" s="214"/>
      <c r="DZ253" s="214"/>
      <c r="EA253" s="214"/>
      <c r="EB253" s="214"/>
      <c r="EC253" s="214"/>
      <c r="ED253" s="214"/>
      <c r="EE253" s="214"/>
      <c r="EF253" s="214"/>
      <c r="EG253" s="214"/>
      <c r="EH253" s="214"/>
      <c r="EI253" s="214"/>
      <c r="EJ253" s="214"/>
      <c r="EK253" s="214"/>
      <c r="EL253" s="214"/>
      <c r="EM253" s="214"/>
      <c r="EN253" s="214"/>
      <c r="EO253" s="214"/>
      <c r="EP253" s="214"/>
      <c r="EQ253" s="214"/>
      <c r="ER253" s="214"/>
      <c r="ES253" s="214"/>
      <c r="ET253" s="214"/>
      <c r="EU253" s="214"/>
      <c r="EV253" s="214"/>
      <c r="EW253" s="214"/>
      <c r="EX253" s="214"/>
      <c r="EY253" s="214"/>
      <c r="EZ253" s="214"/>
      <c r="FA253" s="214"/>
      <c r="FB253" s="214"/>
      <c r="FC253" s="214"/>
      <c r="FD253" s="214"/>
      <c r="FE253" s="214"/>
      <c r="FF253" s="214"/>
      <c r="FG253" s="214"/>
      <c r="FH253" s="214"/>
      <c r="FI253" s="214"/>
      <c r="FJ253" s="214"/>
      <c r="FK253" s="214"/>
      <c r="FL253" s="214"/>
      <c r="FM253" s="214"/>
      <c r="FN253" s="214"/>
      <c r="FO253" s="214"/>
      <c r="FP253" s="214"/>
      <c r="FQ253" s="214"/>
      <c r="FR253" s="214"/>
      <c r="FS253" s="214"/>
      <c r="FT253" s="214"/>
      <c r="FU253" s="214"/>
      <c r="FV253" s="214"/>
      <c r="FW253" s="214"/>
      <c r="FX253" s="214"/>
      <c r="FY253" s="214"/>
      <c r="FZ253" s="214"/>
      <c r="GA253" s="214"/>
      <c r="GB253" s="214"/>
      <c r="GC253" s="214"/>
      <c r="GD253" s="214"/>
      <c r="GE253" s="214"/>
      <c r="GF253" s="214"/>
      <c r="GG253" s="214"/>
      <c r="GH253" s="214"/>
      <c r="GI253" s="214"/>
      <c r="GJ253" s="214"/>
      <c r="GK253" s="214"/>
      <c r="GL253" s="214"/>
      <c r="GM253" s="214"/>
      <c r="GN253" s="214"/>
      <c r="GO253" s="214"/>
      <c r="GP253" s="214"/>
      <c r="GQ253" s="214"/>
      <c r="GR253" s="214"/>
      <c r="GS253" s="214"/>
      <c r="GT253" s="214"/>
      <c r="GU253" s="214"/>
      <c r="GV253" s="214"/>
      <c r="GW253" s="214"/>
      <c r="GX253" s="214"/>
      <c r="GY253" s="214"/>
      <c r="GZ253" s="214"/>
      <c r="HA253" s="214"/>
      <c r="HB253" s="214"/>
      <c r="HC253" s="214"/>
      <c r="HD253" s="214"/>
      <c r="HE253" s="214"/>
      <c r="HF253" s="214"/>
      <c r="HG253" s="214"/>
      <c r="HH253" s="214"/>
      <c r="HI253" s="214"/>
      <c r="HJ253" s="214"/>
      <c r="HK253" s="214"/>
      <c r="HL253" s="214"/>
      <c r="HM253" s="214"/>
      <c r="HN253" s="214"/>
      <c r="HO253" s="214"/>
      <c r="HP253" s="214"/>
      <c r="HQ253" s="214"/>
      <c r="HR253" s="214"/>
      <c r="HS253" s="214"/>
      <c r="HT253" s="214"/>
      <c r="HU253" s="214"/>
      <c r="HV253" s="214"/>
      <c r="HW253" s="214"/>
      <c r="HX253" s="214"/>
      <c r="HY253" s="214"/>
      <c r="HZ253" s="214"/>
      <c r="IA253" s="214"/>
      <c r="IB253" s="214"/>
      <c r="IC253" s="214"/>
      <c r="ID253" s="214"/>
      <c r="IE253" s="214"/>
      <c r="IF253" s="214"/>
      <c r="IG253" s="214"/>
      <c r="IH253" s="214"/>
      <c r="II253" s="214"/>
      <c r="IJ253" s="214"/>
      <c r="IK253" s="214"/>
      <c r="IL253" s="214"/>
      <c r="IM253" s="214"/>
      <c r="IN253" s="214"/>
      <c r="IO253" s="214"/>
      <c r="IP253" s="214"/>
      <c r="IQ253" s="214"/>
      <c r="IR253" s="214"/>
    </row>
    <row r="254" spans="13:252" ht="16.5" customHeight="1" thickTop="1" thickBot="1">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c r="BM254" s="214"/>
      <c r="BN254" s="214"/>
      <c r="BO254" s="214"/>
      <c r="BP254" s="214"/>
      <c r="BQ254" s="214"/>
      <c r="BR254" s="214"/>
      <c r="BS254" s="214"/>
      <c r="BT254" s="214"/>
      <c r="BU254" s="214"/>
      <c r="BV254" s="214"/>
      <c r="BW254" s="214"/>
      <c r="BX254" s="214"/>
      <c r="BY254" s="214"/>
      <c r="BZ254" s="214"/>
      <c r="CA254" s="214"/>
      <c r="CB254" s="214"/>
      <c r="CC254" s="214"/>
      <c r="CD254" s="214"/>
      <c r="CE254" s="214"/>
      <c r="CF254" s="214"/>
      <c r="CG254" s="214"/>
      <c r="CH254" s="214"/>
      <c r="CI254" s="214"/>
      <c r="CJ254" s="214"/>
      <c r="CK254" s="214"/>
      <c r="CL254" s="214"/>
      <c r="CM254" s="214"/>
      <c r="CN254" s="214"/>
      <c r="CO254" s="214"/>
      <c r="CP254" s="214"/>
      <c r="CQ254" s="214"/>
      <c r="CR254" s="214"/>
      <c r="CS254" s="214"/>
      <c r="CT254" s="214"/>
      <c r="CU254" s="214"/>
      <c r="CV254" s="214"/>
      <c r="CW254" s="214"/>
      <c r="CX254" s="214"/>
      <c r="CY254" s="214"/>
      <c r="CZ254" s="214"/>
      <c r="DA254" s="214"/>
      <c r="DB254" s="214"/>
      <c r="DC254" s="214"/>
      <c r="DD254" s="214"/>
      <c r="DE254" s="214"/>
      <c r="DF254" s="214"/>
      <c r="DG254" s="214"/>
      <c r="DH254" s="214"/>
      <c r="DI254" s="214"/>
      <c r="DJ254" s="214"/>
      <c r="DK254" s="214"/>
      <c r="DL254" s="214"/>
      <c r="DM254" s="214"/>
      <c r="DN254" s="214"/>
      <c r="DO254" s="214"/>
      <c r="DP254" s="214"/>
      <c r="DQ254" s="214"/>
      <c r="DR254" s="214"/>
      <c r="DS254" s="214"/>
      <c r="DT254" s="214"/>
      <c r="DU254" s="214"/>
      <c r="DV254" s="214"/>
      <c r="DW254" s="214"/>
      <c r="DX254" s="214"/>
      <c r="DY254" s="214"/>
      <c r="DZ254" s="214"/>
      <c r="EA254" s="214"/>
      <c r="EB254" s="214"/>
      <c r="EC254" s="214"/>
      <c r="ED254" s="214"/>
      <c r="EE254" s="214"/>
      <c r="EF254" s="214"/>
      <c r="EG254" s="214"/>
      <c r="EH254" s="214"/>
      <c r="EI254" s="214"/>
      <c r="EJ254" s="214"/>
      <c r="EK254" s="214"/>
      <c r="EL254" s="214"/>
      <c r="EM254" s="214"/>
      <c r="EN254" s="214"/>
      <c r="EO254" s="214"/>
      <c r="EP254" s="214"/>
      <c r="EQ254" s="214"/>
      <c r="ER254" s="214"/>
      <c r="ES254" s="214"/>
      <c r="ET254" s="214"/>
      <c r="EU254" s="214"/>
      <c r="EV254" s="214"/>
      <c r="EW254" s="214"/>
      <c r="EX254" s="214"/>
      <c r="EY254" s="214"/>
      <c r="EZ254" s="214"/>
      <c r="FA254" s="214"/>
      <c r="FB254" s="214"/>
      <c r="FC254" s="214"/>
      <c r="FD254" s="214"/>
      <c r="FE254" s="214"/>
      <c r="FF254" s="214"/>
      <c r="FG254" s="214"/>
      <c r="FH254" s="214"/>
      <c r="FI254" s="214"/>
      <c r="FJ254" s="214"/>
      <c r="FK254" s="214"/>
      <c r="FL254" s="214"/>
      <c r="FM254" s="214"/>
      <c r="FN254" s="214"/>
      <c r="FO254" s="214"/>
      <c r="FP254" s="214"/>
      <c r="FQ254" s="214"/>
      <c r="FR254" s="214"/>
      <c r="FS254" s="214"/>
      <c r="FT254" s="214"/>
      <c r="FU254" s="214"/>
      <c r="FV254" s="214"/>
      <c r="FW254" s="214"/>
      <c r="FX254" s="214"/>
      <c r="FY254" s="214"/>
      <c r="FZ254" s="214"/>
      <c r="GA254" s="214"/>
      <c r="GB254" s="214"/>
      <c r="GC254" s="214"/>
      <c r="GD254" s="214"/>
      <c r="GE254" s="214"/>
      <c r="GF254" s="214"/>
      <c r="GG254" s="214"/>
      <c r="GH254" s="214"/>
      <c r="GI254" s="214"/>
      <c r="GJ254" s="214"/>
      <c r="GK254" s="214"/>
      <c r="GL254" s="214"/>
      <c r="GM254" s="214"/>
      <c r="GN254" s="214"/>
      <c r="GO254" s="214"/>
      <c r="GP254" s="214"/>
      <c r="GQ254" s="214"/>
      <c r="GR254" s="214"/>
      <c r="GS254" s="214"/>
      <c r="GT254" s="214"/>
      <c r="GU254" s="214"/>
      <c r="GV254" s="214"/>
      <c r="GW254" s="214"/>
      <c r="GX254" s="214"/>
      <c r="GY254" s="214"/>
      <c r="GZ254" s="214"/>
      <c r="HA254" s="214"/>
      <c r="HB254" s="214"/>
      <c r="HC254" s="214"/>
      <c r="HD254" s="214"/>
      <c r="HE254" s="214"/>
      <c r="HF254" s="214"/>
      <c r="HG254" s="214"/>
      <c r="HH254" s="214"/>
      <c r="HI254" s="214"/>
      <c r="HJ254" s="214"/>
      <c r="HK254" s="214"/>
      <c r="HL254" s="214"/>
      <c r="HM254" s="214"/>
      <c r="HN254" s="214"/>
      <c r="HO254" s="214"/>
      <c r="HP254" s="214"/>
      <c r="HQ254" s="214"/>
      <c r="HR254" s="214"/>
      <c r="HS254" s="214"/>
      <c r="HT254" s="214"/>
      <c r="HU254" s="214"/>
      <c r="HV254" s="214"/>
      <c r="HW254" s="214"/>
      <c r="HX254" s="214"/>
      <c r="HY254" s="214"/>
      <c r="HZ254" s="214"/>
      <c r="IA254" s="214"/>
      <c r="IB254" s="214"/>
      <c r="IC254" s="214"/>
      <c r="ID254" s="214"/>
      <c r="IE254" s="214"/>
      <c r="IF254" s="214"/>
      <c r="IG254" s="214"/>
      <c r="IH254" s="214"/>
      <c r="II254" s="214"/>
      <c r="IJ254" s="214"/>
      <c r="IK254" s="214"/>
      <c r="IL254" s="214"/>
      <c r="IM254" s="214"/>
      <c r="IN254" s="214"/>
      <c r="IO254" s="214"/>
      <c r="IP254" s="214"/>
      <c r="IQ254" s="214"/>
      <c r="IR254" s="214"/>
    </row>
    <row r="255" spans="13:252" ht="16.5" customHeight="1" thickTop="1" thickBot="1">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c r="BM255" s="214"/>
      <c r="BN255" s="214"/>
      <c r="BO255" s="214"/>
      <c r="BP255" s="214"/>
      <c r="BQ255" s="214"/>
      <c r="BR255" s="214"/>
      <c r="BS255" s="214"/>
      <c r="BT255" s="214"/>
      <c r="BU255" s="214"/>
      <c r="BV255" s="214"/>
      <c r="BW255" s="214"/>
      <c r="BX255" s="214"/>
      <c r="BY255" s="214"/>
      <c r="BZ255" s="214"/>
      <c r="CA255" s="214"/>
      <c r="CB255" s="214"/>
      <c r="CC255" s="214"/>
      <c r="CD255" s="214"/>
      <c r="CE255" s="214"/>
      <c r="CF255" s="214"/>
      <c r="CG255" s="214"/>
      <c r="CH255" s="214"/>
      <c r="CI255" s="214"/>
      <c r="CJ255" s="214"/>
      <c r="CK255" s="214"/>
      <c r="CL255" s="214"/>
      <c r="CM255" s="214"/>
      <c r="CN255" s="214"/>
      <c r="CO255" s="214"/>
      <c r="CP255" s="214"/>
      <c r="CQ255" s="214"/>
      <c r="CR255" s="214"/>
      <c r="CS255" s="214"/>
      <c r="CT255" s="214"/>
      <c r="CU255" s="214"/>
      <c r="CV255" s="214"/>
      <c r="CW255" s="214"/>
      <c r="CX255" s="214"/>
      <c r="CY255" s="214"/>
      <c r="CZ255" s="214"/>
      <c r="DA255" s="214"/>
      <c r="DB255" s="214"/>
      <c r="DC255" s="214"/>
      <c r="DD255" s="214"/>
      <c r="DE255" s="214"/>
      <c r="DF255" s="214"/>
      <c r="DG255" s="214"/>
      <c r="DH255" s="214"/>
      <c r="DI255" s="214"/>
      <c r="DJ255" s="214"/>
      <c r="DK255" s="214"/>
      <c r="DL255" s="214"/>
      <c r="DM255" s="214"/>
      <c r="DN255" s="214"/>
      <c r="DO255" s="214"/>
      <c r="DP255" s="214"/>
      <c r="DQ255" s="214"/>
      <c r="DR255" s="214"/>
      <c r="DS255" s="214"/>
      <c r="DT255" s="214"/>
      <c r="DU255" s="214"/>
      <c r="DV255" s="214"/>
      <c r="DW255" s="214"/>
      <c r="DX255" s="214"/>
      <c r="DY255" s="214"/>
      <c r="DZ255" s="214"/>
      <c r="EA255" s="214"/>
      <c r="EB255" s="214"/>
      <c r="EC255" s="214"/>
      <c r="ED255" s="214"/>
      <c r="EE255" s="214"/>
      <c r="EF255" s="214"/>
      <c r="EG255" s="214"/>
      <c r="EH255" s="214"/>
      <c r="EI255" s="214"/>
      <c r="EJ255" s="214"/>
      <c r="EK255" s="214"/>
      <c r="EL255" s="214"/>
      <c r="EM255" s="214"/>
      <c r="EN255" s="214"/>
      <c r="EO255" s="214"/>
      <c r="EP255" s="214"/>
      <c r="EQ255" s="214"/>
      <c r="ER255" s="214"/>
      <c r="ES255" s="214"/>
      <c r="ET255" s="214"/>
      <c r="EU255" s="214"/>
      <c r="EV255" s="214"/>
      <c r="EW255" s="214"/>
      <c r="EX255" s="214"/>
      <c r="EY255" s="214"/>
      <c r="EZ255" s="214"/>
      <c r="FA255" s="214"/>
      <c r="FB255" s="214"/>
      <c r="FC255" s="214"/>
      <c r="FD255" s="214"/>
      <c r="FE255" s="214"/>
      <c r="FF255" s="214"/>
      <c r="FG255" s="214"/>
      <c r="FH255" s="214"/>
      <c r="FI255" s="214"/>
      <c r="FJ255" s="214"/>
      <c r="FK255" s="214"/>
      <c r="FL255" s="214"/>
      <c r="FM255" s="214"/>
      <c r="FN255" s="214"/>
      <c r="FO255" s="214"/>
      <c r="FP255" s="214"/>
      <c r="FQ255" s="214"/>
      <c r="FR255" s="214"/>
      <c r="FS255" s="214"/>
      <c r="FT255" s="214"/>
      <c r="FU255" s="214"/>
      <c r="FV255" s="214"/>
      <c r="FW255" s="214"/>
      <c r="FX255" s="214"/>
      <c r="FY255" s="214"/>
      <c r="FZ255" s="214"/>
      <c r="GA255" s="214"/>
      <c r="GB255" s="214"/>
      <c r="GC255" s="214"/>
      <c r="GD255" s="214"/>
      <c r="GE255" s="214"/>
      <c r="GF255" s="214"/>
      <c r="GG255" s="214"/>
      <c r="GH255" s="214"/>
      <c r="GI255" s="214"/>
      <c r="GJ255" s="214"/>
      <c r="GK255" s="214"/>
      <c r="GL255" s="214"/>
      <c r="GM255" s="214"/>
      <c r="GN255" s="214"/>
      <c r="GO255" s="214"/>
      <c r="GP255" s="214"/>
      <c r="GQ255" s="214"/>
      <c r="GR255" s="214"/>
      <c r="GS255" s="214"/>
      <c r="GT255" s="214"/>
      <c r="GU255" s="214"/>
      <c r="GV255" s="214"/>
      <c r="GW255" s="214"/>
      <c r="GX255" s="214"/>
      <c r="GY255" s="214"/>
      <c r="GZ255" s="214"/>
      <c r="HA255" s="214"/>
      <c r="HB255" s="214"/>
      <c r="HC255" s="214"/>
      <c r="HD255" s="214"/>
      <c r="HE255" s="214"/>
      <c r="HF255" s="214"/>
      <c r="HG255" s="214"/>
      <c r="HH255" s="214"/>
      <c r="HI255" s="214"/>
      <c r="HJ255" s="214"/>
      <c r="HK255" s="214"/>
      <c r="HL255" s="214"/>
      <c r="HM255" s="214"/>
      <c r="HN255" s="214"/>
      <c r="HO255" s="214"/>
      <c r="HP255" s="214"/>
      <c r="HQ255" s="214"/>
      <c r="HR255" s="214"/>
      <c r="HS255" s="214"/>
      <c r="HT255" s="214"/>
      <c r="HU255" s="214"/>
      <c r="HV255" s="214"/>
      <c r="HW255" s="214"/>
      <c r="HX255" s="214"/>
      <c r="HY255" s="214"/>
      <c r="HZ255" s="214"/>
      <c r="IA255" s="214"/>
      <c r="IB255" s="214"/>
      <c r="IC255" s="214"/>
      <c r="ID255" s="214"/>
      <c r="IE255" s="214"/>
      <c r="IF255" s="214"/>
      <c r="IG255" s="214"/>
      <c r="IH255" s="214"/>
      <c r="II255" s="214"/>
      <c r="IJ255" s="214"/>
      <c r="IK255" s="214"/>
      <c r="IL255" s="214"/>
      <c r="IM255" s="214"/>
      <c r="IN255" s="214"/>
      <c r="IO255" s="214"/>
      <c r="IP255" s="214"/>
      <c r="IQ255" s="214"/>
      <c r="IR255" s="214"/>
    </row>
    <row r="256" spans="13:252" ht="16.5" customHeight="1" thickTop="1" thickBot="1">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c r="BM256" s="214"/>
      <c r="BN256" s="214"/>
      <c r="BO256" s="214"/>
      <c r="BP256" s="214"/>
      <c r="BQ256" s="214"/>
      <c r="BR256" s="214"/>
      <c r="BS256" s="214"/>
      <c r="BT256" s="214"/>
      <c r="BU256" s="214"/>
      <c r="BV256" s="214"/>
      <c r="BW256" s="214"/>
      <c r="BX256" s="214"/>
      <c r="BY256" s="214"/>
      <c r="BZ256" s="214"/>
      <c r="CA256" s="214"/>
      <c r="CB256" s="214"/>
      <c r="CC256" s="214"/>
      <c r="CD256" s="214"/>
      <c r="CE256" s="214"/>
      <c r="CF256" s="214"/>
      <c r="CG256" s="214"/>
      <c r="CH256" s="214"/>
      <c r="CI256" s="214"/>
      <c r="CJ256" s="214"/>
      <c r="CK256" s="214"/>
      <c r="CL256" s="214"/>
      <c r="CM256" s="214"/>
      <c r="CN256" s="214"/>
      <c r="CO256" s="214"/>
      <c r="CP256" s="214"/>
      <c r="CQ256" s="214"/>
      <c r="CR256" s="214"/>
      <c r="CS256" s="214"/>
      <c r="CT256" s="214"/>
      <c r="CU256" s="214"/>
      <c r="CV256" s="214"/>
      <c r="CW256" s="214"/>
      <c r="CX256" s="214"/>
      <c r="CY256" s="214"/>
      <c r="CZ256" s="214"/>
      <c r="DA256" s="214"/>
      <c r="DB256" s="214"/>
      <c r="DC256" s="214"/>
      <c r="DD256" s="214"/>
      <c r="DE256" s="214"/>
      <c r="DF256" s="214"/>
      <c r="DG256" s="214"/>
      <c r="DH256" s="214"/>
      <c r="DI256" s="214"/>
      <c r="DJ256" s="214"/>
      <c r="DK256" s="214"/>
      <c r="DL256" s="214"/>
      <c r="DM256" s="214"/>
      <c r="DN256" s="214"/>
      <c r="DO256" s="214"/>
      <c r="DP256" s="214"/>
      <c r="DQ256" s="214"/>
      <c r="DR256" s="214"/>
      <c r="DS256" s="214"/>
      <c r="DT256" s="214"/>
      <c r="DU256" s="214"/>
      <c r="DV256" s="214"/>
      <c r="DW256" s="214"/>
      <c r="DX256" s="214"/>
      <c r="DY256" s="214"/>
      <c r="DZ256" s="214"/>
      <c r="EA256" s="214"/>
      <c r="EB256" s="214"/>
      <c r="EC256" s="214"/>
      <c r="ED256" s="214"/>
      <c r="EE256" s="214"/>
      <c r="EF256" s="214"/>
      <c r="EG256" s="214"/>
      <c r="EH256" s="214"/>
      <c r="EI256" s="214"/>
      <c r="EJ256" s="214"/>
      <c r="EK256" s="214"/>
      <c r="EL256" s="214"/>
      <c r="EM256" s="214"/>
      <c r="EN256" s="214"/>
      <c r="EO256" s="214"/>
      <c r="EP256" s="214"/>
      <c r="EQ256" s="214"/>
      <c r="ER256" s="214"/>
      <c r="ES256" s="214"/>
      <c r="ET256" s="214"/>
      <c r="EU256" s="214"/>
      <c r="EV256" s="214"/>
      <c r="EW256" s="214"/>
      <c r="EX256" s="214"/>
      <c r="EY256" s="214"/>
      <c r="EZ256" s="214"/>
      <c r="FA256" s="214"/>
      <c r="FB256" s="214"/>
      <c r="FC256" s="214"/>
      <c r="FD256" s="214"/>
      <c r="FE256" s="214"/>
      <c r="FF256" s="214"/>
      <c r="FG256" s="214"/>
      <c r="FH256" s="214"/>
      <c r="FI256" s="214"/>
      <c r="FJ256" s="214"/>
      <c r="FK256" s="214"/>
      <c r="FL256" s="214"/>
      <c r="FM256" s="214"/>
      <c r="FN256" s="214"/>
      <c r="FO256" s="214"/>
      <c r="FP256" s="214"/>
      <c r="FQ256" s="214"/>
      <c r="FR256" s="214"/>
      <c r="FS256" s="214"/>
      <c r="FT256" s="214"/>
      <c r="FU256" s="214"/>
      <c r="FV256" s="214"/>
      <c r="FW256" s="214"/>
      <c r="FX256" s="214"/>
      <c r="FY256" s="214"/>
      <c r="FZ256" s="214"/>
      <c r="GA256" s="214"/>
      <c r="GB256" s="214"/>
      <c r="GC256" s="214"/>
      <c r="GD256" s="214"/>
      <c r="GE256" s="214"/>
      <c r="GF256" s="214"/>
      <c r="GG256" s="214"/>
      <c r="GH256" s="214"/>
      <c r="GI256" s="214"/>
      <c r="GJ256" s="214"/>
      <c r="GK256" s="214"/>
      <c r="GL256" s="214"/>
      <c r="GM256" s="214"/>
      <c r="GN256" s="214"/>
      <c r="GO256" s="214"/>
      <c r="GP256" s="214"/>
      <c r="GQ256" s="214"/>
      <c r="GR256" s="214"/>
      <c r="GS256" s="214"/>
      <c r="GT256" s="214"/>
      <c r="GU256" s="214"/>
      <c r="GV256" s="214"/>
      <c r="GW256" s="214"/>
      <c r="GX256" s="214"/>
      <c r="GY256" s="214"/>
      <c r="GZ256" s="214"/>
      <c r="HA256" s="214"/>
      <c r="HB256" s="214"/>
      <c r="HC256" s="214"/>
      <c r="HD256" s="214"/>
      <c r="HE256" s="214"/>
      <c r="HF256" s="214"/>
      <c r="HG256" s="214"/>
      <c r="HH256" s="214"/>
      <c r="HI256" s="214"/>
      <c r="HJ256" s="214"/>
      <c r="HK256" s="214"/>
      <c r="HL256" s="214"/>
      <c r="HM256" s="214"/>
      <c r="HN256" s="214"/>
      <c r="HO256" s="214"/>
      <c r="HP256" s="214"/>
      <c r="HQ256" s="214"/>
      <c r="HR256" s="214"/>
      <c r="HS256" s="214"/>
      <c r="HT256" s="214"/>
      <c r="HU256" s="214"/>
      <c r="HV256" s="214"/>
      <c r="HW256" s="214"/>
      <c r="HX256" s="214"/>
      <c r="HY256" s="214"/>
      <c r="HZ256" s="214"/>
      <c r="IA256" s="214"/>
      <c r="IB256" s="214"/>
      <c r="IC256" s="214"/>
      <c r="ID256" s="214"/>
      <c r="IE256" s="214"/>
      <c r="IF256" s="214"/>
      <c r="IG256" s="214"/>
      <c r="IH256" s="214"/>
      <c r="II256" s="214"/>
      <c r="IJ256" s="214"/>
      <c r="IK256" s="214"/>
      <c r="IL256" s="214"/>
      <c r="IM256" s="214"/>
      <c r="IN256" s="214"/>
      <c r="IO256" s="214"/>
      <c r="IP256" s="214"/>
      <c r="IQ256" s="214"/>
      <c r="IR256" s="214"/>
    </row>
    <row r="257" spans="13:252" ht="15" customHeight="1" thickTop="1" thickBot="1">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c r="BM257" s="214"/>
      <c r="BN257" s="214"/>
      <c r="BO257" s="214"/>
      <c r="BP257" s="214"/>
      <c r="BQ257" s="214"/>
      <c r="BR257" s="214"/>
      <c r="BS257" s="214"/>
      <c r="BT257" s="214"/>
      <c r="BU257" s="214"/>
      <c r="BV257" s="214"/>
      <c r="BW257" s="214"/>
      <c r="BX257" s="214"/>
      <c r="BY257" s="214"/>
      <c r="BZ257" s="214"/>
      <c r="CA257" s="214"/>
      <c r="CB257" s="214"/>
      <c r="CC257" s="214"/>
      <c r="CD257" s="214"/>
      <c r="CE257" s="214"/>
      <c r="CF257" s="214"/>
      <c r="CG257" s="214"/>
      <c r="CH257" s="214"/>
      <c r="CI257" s="214"/>
      <c r="CJ257" s="214"/>
      <c r="CK257" s="214"/>
      <c r="CL257" s="214"/>
      <c r="CM257" s="214"/>
      <c r="CN257" s="214"/>
      <c r="CO257" s="214"/>
      <c r="CP257" s="214"/>
      <c r="CQ257" s="214"/>
      <c r="CR257" s="214"/>
      <c r="CS257" s="214"/>
      <c r="CT257" s="214"/>
      <c r="CU257" s="214"/>
      <c r="CV257" s="214"/>
      <c r="CW257" s="214"/>
      <c r="CX257" s="214"/>
      <c r="CY257" s="214"/>
      <c r="CZ257" s="214"/>
      <c r="DA257" s="214"/>
      <c r="DB257" s="214"/>
      <c r="DC257" s="214"/>
      <c r="DD257" s="214"/>
      <c r="DE257" s="214"/>
      <c r="DF257" s="214"/>
      <c r="DG257" s="214"/>
      <c r="DH257" s="214"/>
      <c r="DI257" s="214"/>
      <c r="DJ257" s="214"/>
      <c r="DK257" s="214"/>
      <c r="DL257" s="214"/>
      <c r="DM257" s="214"/>
      <c r="DN257" s="214"/>
      <c r="DO257" s="214"/>
      <c r="DP257" s="214"/>
      <c r="DQ257" s="214"/>
      <c r="DR257" s="214"/>
      <c r="DS257" s="214"/>
      <c r="DT257" s="214"/>
      <c r="DU257" s="214"/>
      <c r="DV257" s="214"/>
      <c r="DW257" s="214"/>
      <c r="DX257" s="214"/>
      <c r="DY257" s="214"/>
      <c r="DZ257" s="214"/>
      <c r="EA257" s="214"/>
      <c r="EB257" s="214"/>
      <c r="EC257" s="214"/>
      <c r="ED257" s="214"/>
      <c r="EE257" s="214"/>
      <c r="EF257" s="214"/>
      <c r="EG257" s="214"/>
      <c r="EH257" s="214"/>
      <c r="EI257" s="214"/>
      <c r="EJ257" s="214"/>
      <c r="EK257" s="214"/>
      <c r="EL257" s="214"/>
      <c r="EM257" s="214"/>
      <c r="EN257" s="214"/>
      <c r="EO257" s="214"/>
      <c r="EP257" s="214"/>
      <c r="EQ257" s="214"/>
      <c r="ER257" s="214"/>
      <c r="ES257" s="214"/>
      <c r="ET257" s="214"/>
      <c r="EU257" s="214"/>
      <c r="EV257" s="214"/>
      <c r="EW257" s="214"/>
      <c r="EX257" s="214"/>
      <c r="EY257" s="214"/>
      <c r="EZ257" s="214"/>
      <c r="FA257" s="214"/>
      <c r="FB257" s="214"/>
      <c r="FC257" s="214"/>
      <c r="FD257" s="214"/>
      <c r="FE257" s="214"/>
      <c r="FF257" s="214"/>
      <c r="FG257" s="214"/>
      <c r="FH257" s="214"/>
      <c r="FI257" s="214"/>
      <c r="FJ257" s="214"/>
      <c r="FK257" s="214"/>
      <c r="FL257" s="214"/>
      <c r="FM257" s="214"/>
      <c r="FN257" s="214"/>
      <c r="FO257" s="214"/>
      <c r="FP257" s="214"/>
      <c r="FQ257" s="214"/>
      <c r="FR257" s="214"/>
      <c r="FS257" s="214"/>
      <c r="FT257" s="214"/>
      <c r="FU257" s="214"/>
      <c r="FV257" s="214"/>
      <c r="FW257" s="214"/>
      <c r="FX257" s="214"/>
      <c r="FY257" s="214"/>
      <c r="FZ257" s="214"/>
      <c r="GA257" s="214"/>
      <c r="GB257" s="214"/>
      <c r="GC257" s="214"/>
      <c r="GD257" s="214"/>
      <c r="GE257" s="214"/>
      <c r="GF257" s="214"/>
      <c r="GG257" s="214"/>
      <c r="GH257" s="214"/>
      <c r="GI257" s="214"/>
      <c r="GJ257" s="214"/>
      <c r="GK257" s="214"/>
      <c r="GL257" s="214"/>
      <c r="GM257" s="214"/>
      <c r="GN257" s="214"/>
      <c r="GO257" s="214"/>
      <c r="GP257" s="214"/>
      <c r="GQ257" s="214"/>
      <c r="GR257" s="214"/>
      <c r="GS257" s="214"/>
      <c r="GT257" s="214"/>
      <c r="GU257" s="214"/>
      <c r="GV257" s="214"/>
      <c r="GW257" s="214"/>
      <c r="GX257" s="214"/>
      <c r="GY257" s="214"/>
      <c r="GZ257" s="214"/>
      <c r="HA257" s="214"/>
      <c r="HB257" s="214"/>
      <c r="HC257" s="214"/>
      <c r="HD257" s="214"/>
      <c r="HE257" s="214"/>
      <c r="HF257" s="214"/>
      <c r="HG257" s="214"/>
      <c r="HH257" s="214"/>
      <c r="HI257" s="214"/>
      <c r="HJ257" s="214"/>
      <c r="HK257" s="214"/>
      <c r="HL257" s="214"/>
      <c r="HM257" s="214"/>
      <c r="HN257" s="214"/>
      <c r="HO257" s="214"/>
      <c r="HP257" s="214"/>
      <c r="HQ257" s="214"/>
      <c r="HR257" s="214"/>
      <c r="HS257" s="214"/>
      <c r="HT257" s="214"/>
      <c r="HU257" s="214"/>
      <c r="HV257" s="214"/>
      <c r="HW257" s="214"/>
      <c r="HX257" s="214"/>
      <c r="HY257" s="214"/>
      <c r="HZ257" s="214"/>
      <c r="IA257" s="214"/>
      <c r="IB257" s="214"/>
      <c r="IC257" s="214"/>
      <c r="ID257" s="214"/>
      <c r="IE257" s="214"/>
      <c r="IF257" s="214"/>
      <c r="IG257" s="214"/>
      <c r="IH257" s="214"/>
      <c r="II257" s="214"/>
      <c r="IJ257" s="214"/>
      <c r="IK257" s="214"/>
      <c r="IL257" s="214"/>
      <c r="IM257" s="214"/>
      <c r="IN257" s="214"/>
      <c r="IO257" s="214"/>
      <c r="IP257" s="214"/>
      <c r="IQ257" s="214"/>
      <c r="IR257" s="214"/>
    </row>
    <row r="258" spans="13:252" ht="18" customHeight="1" thickTop="1" thickBot="1">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c r="BM258" s="214"/>
      <c r="BN258" s="214"/>
      <c r="BO258" s="214"/>
      <c r="BP258" s="214"/>
      <c r="BQ258" s="214"/>
      <c r="BR258" s="214"/>
      <c r="BS258" s="214"/>
      <c r="BT258" s="214"/>
      <c r="BU258" s="214"/>
      <c r="BV258" s="214"/>
      <c r="BW258" s="214"/>
      <c r="BX258" s="214"/>
      <c r="BY258" s="214"/>
      <c r="BZ258" s="214"/>
      <c r="CA258" s="214"/>
      <c r="CB258" s="214"/>
      <c r="CC258" s="214"/>
      <c r="CD258" s="214"/>
      <c r="CE258" s="214"/>
      <c r="CF258" s="214"/>
      <c r="CG258" s="214"/>
      <c r="CH258" s="214"/>
      <c r="CI258" s="214"/>
      <c r="CJ258" s="214"/>
      <c r="CK258" s="214"/>
      <c r="CL258" s="214"/>
      <c r="CM258" s="214"/>
      <c r="CN258" s="214"/>
      <c r="CO258" s="214"/>
      <c r="CP258" s="214"/>
      <c r="CQ258" s="214"/>
      <c r="CR258" s="214"/>
      <c r="CS258" s="214"/>
      <c r="CT258" s="214"/>
      <c r="CU258" s="214"/>
      <c r="CV258" s="214"/>
      <c r="CW258" s="214"/>
      <c r="CX258" s="214"/>
      <c r="CY258" s="214"/>
      <c r="CZ258" s="214"/>
      <c r="DA258" s="214"/>
      <c r="DB258" s="214"/>
      <c r="DC258" s="214"/>
      <c r="DD258" s="214"/>
      <c r="DE258" s="214"/>
      <c r="DF258" s="214"/>
      <c r="DG258" s="214"/>
      <c r="DH258" s="214"/>
      <c r="DI258" s="214"/>
      <c r="DJ258" s="214"/>
      <c r="DK258" s="214"/>
      <c r="DL258" s="214"/>
      <c r="DM258" s="214"/>
      <c r="DN258" s="214"/>
      <c r="DO258" s="214"/>
      <c r="DP258" s="214"/>
      <c r="DQ258" s="214"/>
      <c r="DR258" s="214"/>
      <c r="DS258" s="214"/>
      <c r="DT258" s="214"/>
      <c r="DU258" s="214"/>
      <c r="DV258" s="214"/>
      <c r="DW258" s="214"/>
      <c r="DX258" s="214"/>
      <c r="DY258" s="214"/>
      <c r="DZ258" s="214"/>
      <c r="EA258" s="214"/>
      <c r="EB258" s="214"/>
      <c r="EC258" s="214"/>
      <c r="ED258" s="214"/>
      <c r="EE258" s="214"/>
      <c r="EF258" s="214"/>
      <c r="EG258" s="214"/>
      <c r="EH258" s="214"/>
      <c r="EI258" s="214"/>
      <c r="EJ258" s="214"/>
      <c r="EK258" s="214"/>
      <c r="EL258" s="214"/>
      <c r="EM258" s="214"/>
      <c r="EN258" s="214"/>
      <c r="EO258" s="214"/>
      <c r="EP258" s="214"/>
      <c r="EQ258" s="214"/>
      <c r="ER258" s="214"/>
      <c r="ES258" s="214"/>
      <c r="ET258" s="214"/>
      <c r="EU258" s="214"/>
      <c r="EV258" s="214"/>
      <c r="EW258" s="214"/>
      <c r="EX258" s="214"/>
      <c r="EY258" s="214"/>
      <c r="EZ258" s="214"/>
      <c r="FA258" s="214"/>
      <c r="FB258" s="214"/>
      <c r="FC258" s="214"/>
      <c r="FD258" s="214"/>
      <c r="FE258" s="214"/>
      <c r="FF258" s="214"/>
      <c r="FG258" s="214"/>
      <c r="FH258" s="214"/>
      <c r="FI258" s="214"/>
      <c r="FJ258" s="214"/>
      <c r="FK258" s="214"/>
      <c r="FL258" s="214"/>
      <c r="FM258" s="214"/>
      <c r="FN258" s="214"/>
      <c r="FO258" s="214"/>
      <c r="FP258" s="214"/>
      <c r="FQ258" s="214"/>
      <c r="FR258" s="214"/>
      <c r="FS258" s="214"/>
      <c r="FT258" s="214"/>
      <c r="FU258" s="214"/>
      <c r="FV258" s="214"/>
      <c r="FW258" s="214"/>
      <c r="FX258" s="214"/>
      <c r="FY258" s="214"/>
      <c r="FZ258" s="214"/>
      <c r="GA258" s="214"/>
      <c r="GB258" s="214"/>
      <c r="GC258" s="214"/>
      <c r="GD258" s="214"/>
      <c r="GE258" s="214"/>
      <c r="GF258" s="214"/>
      <c r="GG258" s="214"/>
      <c r="GH258" s="214"/>
      <c r="GI258" s="214"/>
      <c r="GJ258" s="214"/>
      <c r="GK258" s="214"/>
      <c r="GL258" s="214"/>
      <c r="GM258" s="214"/>
      <c r="GN258" s="214"/>
      <c r="GO258" s="214"/>
      <c r="GP258" s="214"/>
      <c r="GQ258" s="214"/>
      <c r="GR258" s="214"/>
      <c r="GS258" s="214"/>
      <c r="GT258" s="214"/>
      <c r="GU258" s="214"/>
      <c r="GV258" s="214"/>
      <c r="GW258" s="214"/>
      <c r="GX258" s="214"/>
      <c r="GY258" s="214"/>
      <c r="GZ258" s="214"/>
      <c r="HA258" s="214"/>
      <c r="HB258" s="214"/>
      <c r="HC258" s="214"/>
      <c r="HD258" s="214"/>
      <c r="HE258" s="214"/>
      <c r="HF258" s="214"/>
      <c r="HG258" s="214"/>
      <c r="HH258" s="214"/>
      <c r="HI258" s="214"/>
      <c r="HJ258" s="214"/>
      <c r="HK258" s="214"/>
      <c r="HL258" s="214"/>
      <c r="HM258" s="214"/>
      <c r="HN258" s="214"/>
      <c r="HO258" s="214"/>
      <c r="HP258" s="214"/>
      <c r="HQ258" s="214"/>
      <c r="HR258" s="214"/>
      <c r="HS258" s="214"/>
      <c r="HT258" s="214"/>
      <c r="HU258" s="214"/>
      <c r="HV258" s="214"/>
      <c r="HW258" s="214"/>
      <c r="HX258" s="214"/>
      <c r="HY258" s="214"/>
      <c r="HZ258" s="214"/>
      <c r="IA258" s="214"/>
      <c r="IB258" s="214"/>
      <c r="IC258" s="214"/>
      <c r="ID258" s="214"/>
      <c r="IE258" s="214"/>
      <c r="IF258" s="214"/>
      <c r="IG258" s="214"/>
      <c r="IH258" s="214"/>
      <c r="II258" s="214"/>
      <c r="IJ258" s="214"/>
      <c r="IK258" s="214"/>
      <c r="IL258" s="214"/>
      <c r="IM258" s="214"/>
      <c r="IN258" s="214"/>
      <c r="IO258" s="214"/>
      <c r="IP258" s="214"/>
      <c r="IQ258" s="214"/>
      <c r="IR258" s="214"/>
    </row>
    <row r="259" spans="13:252" ht="16.2" thickTop="1" thickBot="1">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c r="BM259" s="214"/>
      <c r="BN259" s="214"/>
      <c r="BO259" s="214"/>
      <c r="BP259" s="214"/>
      <c r="BQ259" s="214"/>
      <c r="BR259" s="214"/>
      <c r="BS259" s="214"/>
      <c r="BT259" s="214"/>
      <c r="BU259" s="214"/>
      <c r="BV259" s="214"/>
      <c r="BW259" s="214"/>
      <c r="BX259" s="214"/>
      <c r="BY259" s="214"/>
      <c r="BZ259" s="214"/>
      <c r="CA259" s="214"/>
      <c r="CB259" s="214"/>
      <c r="CC259" s="214"/>
      <c r="CD259" s="214"/>
      <c r="CE259" s="214"/>
      <c r="CF259" s="214"/>
      <c r="CG259" s="214"/>
      <c r="CH259" s="214"/>
      <c r="CI259" s="214"/>
      <c r="CJ259" s="214"/>
      <c r="CK259" s="214"/>
      <c r="CL259" s="214"/>
      <c r="CM259" s="214"/>
      <c r="CN259" s="214"/>
      <c r="CO259" s="214"/>
      <c r="CP259" s="214"/>
      <c r="CQ259" s="214"/>
      <c r="CR259" s="214"/>
      <c r="CS259" s="214"/>
      <c r="CT259" s="214"/>
      <c r="CU259" s="214"/>
      <c r="CV259" s="214"/>
      <c r="CW259" s="214"/>
      <c r="CX259" s="214"/>
      <c r="CY259" s="214"/>
      <c r="CZ259" s="214"/>
      <c r="DA259" s="214"/>
      <c r="DB259" s="214"/>
      <c r="DC259" s="214"/>
      <c r="DD259" s="214"/>
      <c r="DE259" s="214"/>
      <c r="DF259" s="214"/>
      <c r="DG259" s="214"/>
      <c r="DH259" s="214"/>
      <c r="DI259" s="214"/>
      <c r="DJ259" s="214"/>
      <c r="DK259" s="214"/>
      <c r="DL259" s="214"/>
      <c r="DM259" s="214"/>
      <c r="DN259" s="214"/>
      <c r="DO259" s="214"/>
      <c r="DP259" s="214"/>
      <c r="DQ259" s="214"/>
      <c r="DR259" s="214"/>
      <c r="DS259" s="214"/>
      <c r="DT259" s="214"/>
      <c r="DU259" s="214"/>
      <c r="DV259" s="214"/>
      <c r="DW259" s="214"/>
      <c r="DX259" s="214"/>
      <c r="DY259" s="214"/>
      <c r="DZ259" s="214"/>
      <c r="EA259" s="214"/>
      <c r="EB259" s="214"/>
      <c r="EC259" s="214"/>
      <c r="ED259" s="214"/>
      <c r="EE259" s="214"/>
      <c r="EF259" s="214"/>
      <c r="EG259" s="214"/>
      <c r="EH259" s="214"/>
      <c r="EI259" s="214"/>
      <c r="EJ259" s="214"/>
      <c r="EK259" s="214"/>
      <c r="EL259" s="214"/>
      <c r="EM259" s="214"/>
      <c r="EN259" s="214"/>
      <c r="EO259" s="214"/>
      <c r="EP259" s="214"/>
      <c r="EQ259" s="214"/>
      <c r="ER259" s="214"/>
      <c r="ES259" s="214"/>
      <c r="ET259" s="214"/>
      <c r="EU259" s="214"/>
      <c r="EV259" s="214"/>
      <c r="EW259" s="214"/>
      <c r="EX259" s="214"/>
      <c r="EY259" s="214"/>
      <c r="EZ259" s="214"/>
      <c r="FA259" s="214"/>
      <c r="FB259" s="214"/>
      <c r="FC259" s="214"/>
      <c r="FD259" s="214"/>
      <c r="FE259" s="214"/>
      <c r="FF259" s="214"/>
      <c r="FG259" s="214"/>
      <c r="FH259" s="214"/>
      <c r="FI259" s="214"/>
      <c r="FJ259" s="214"/>
      <c r="FK259" s="214"/>
      <c r="FL259" s="214"/>
      <c r="FM259" s="214"/>
      <c r="FN259" s="214"/>
      <c r="FO259" s="214"/>
      <c r="FP259" s="214"/>
      <c r="FQ259" s="214"/>
      <c r="FR259" s="214"/>
      <c r="FS259" s="214"/>
      <c r="FT259" s="214"/>
      <c r="FU259" s="214"/>
      <c r="FV259" s="214"/>
      <c r="FW259" s="214"/>
      <c r="FX259" s="214"/>
      <c r="FY259" s="214"/>
      <c r="FZ259" s="214"/>
      <c r="GA259" s="214"/>
      <c r="GB259" s="214"/>
      <c r="GC259" s="214"/>
      <c r="GD259" s="214"/>
      <c r="GE259" s="214"/>
      <c r="GF259" s="214"/>
      <c r="GG259" s="214"/>
      <c r="GH259" s="214"/>
      <c r="GI259" s="214"/>
      <c r="GJ259" s="214"/>
      <c r="GK259" s="214"/>
      <c r="GL259" s="214"/>
      <c r="GM259" s="214"/>
      <c r="GN259" s="214"/>
      <c r="GO259" s="214"/>
      <c r="GP259" s="214"/>
      <c r="GQ259" s="214"/>
      <c r="GR259" s="214"/>
      <c r="GS259" s="214"/>
      <c r="GT259" s="214"/>
      <c r="GU259" s="214"/>
      <c r="GV259" s="214"/>
      <c r="GW259" s="214"/>
      <c r="GX259" s="214"/>
      <c r="GY259" s="214"/>
      <c r="GZ259" s="214"/>
      <c r="HA259" s="214"/>
      <c r="HB259" s="214"/>
      <c r="HC259" s="214"/>
      <c r="HD259" s="214"/>
      <c r="HE259" s="214"/>
      <c r="HF259" s="214"/>
      <c r="HG259" s="214"/>
      <c r="HH259" s="214"/>
      <c r="HI259" s="214"/>
      <c r="HJ259" s="214"/>
      <c r="HK259" s="214"/>
      <c r="HL259" s="214"/>
      <c r="HM259" s="214"/>
      <c r="HN259" s="214"/>
      <c r="HO259" s="214"/>
      <c r="HP259" s="214"/>
      <c r="HQ259" s="214"/>
      <c r="HR259" s="214"/>
      <c r="HS259" s="214"/>
      <c r="HT259" s="214"/>
      <c r="HU259" s="214"/>
      <c r="HV259" s="214"/>
      <c r="HW259" s="214"/>
      <c r="HX259" s="214"/>
      <c r="HY259" s="214"/>
      <c r="HZ259" s="214"/>
      <c r="IA259" s="214"/>
      <c r="IB259" s="214"/>
      <c r="IC259" s="214"/>
      <c r="ID259" s="214"/>
      <c r="IE259" s="214"/>
      <c r="IF259" s="214"/>
      <c r="IG259" s="214"/>
      <c r="IH259" s="214"/>
      <c r="II259" s="214"/>
      <c r="IJ259" s="214"/>
      <c r="IK259" s="214"/>
      <c r="IL259" s="214"/>
      <c r="IM259" s="214"/>
      <c r="IN259" s="214"/>
      <c r="IO259" s="214"/>
      <c r="IP259" s="214"/>
      <c r="IQ259" s="214"/>
      <c r="IR259" s="214"/>
    </row>
    <row r="260" spans="13:252" ht="16.2" thickTop="1" thickBot="1">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c r="DT260" s="214"/>
      <c r="DU260" s="214"/>
      <c r="DV260" s="214"/>
      <c r="DW260" s="214"/>
      <c r="DX260" s="214"/>
      <c r="DY260" s="214"/>
      <c r="DZ260" s="214"/>
      <c r="EA260" s="214"/>
      <c r="EB260" s="214"/>
      <c r="EC260" s="214"/>
      <c r="ED260" s="214"/>
      <c r="EE260" s="214"/>
      <c r="EF260" s="214"/>
      <c r="EG260" s="214"/>
      <c r="EH260" s="214"/>
      <c r="EI260" s="214"/>
      <c r="EJ260" s="214"/>
      <c r="EK260" s="214"/>
      <c r="EL260" s="214"/>
      <c r="EM260" s="214"/>
      <c r="EN260" s="214"/>
      <c r="EO260" s="214"/>
      <c r="EP260" s="214"/>
      <c r="EQ260" s="214"/>
      <c r="ER260" s="214"/>
      <c r="ES260" s="214"/>
      <c r="ET260" s="214"/>
      <c r="EU260" s="214"/>
      <c r="EV260" s="214"/>
      <c r="EW260" s="214"/>
      <c r="EX260" s="214"/>
      <c r="EY260" s="214"/>
      <c r="EZ260" s="214"/>
      <c r="FA260" s="214"/>
      <c r="FB260" s="214"/>
      <c r="FC260" s="214"/>
      <c r="FD260" s="214"/>
      <c r="FE260" s="214"/>
      <c r="FF260" s="214"/>
      <c r="FG260" s="214"/>
      <c r="FH260" s="214"/>
      <c r="FI260" s="214"/>
      <c r="FJ260" s="214"/>
      <c r="FK260" s="214"/>
      <c r="FL260" s="214"/>
      <c r="FM260" s="214"/>
      <c r="FN260" s="214"/>
      <c r="FO260" s="214"/>
      <c r="FP260" s="214"/>
      <c r="FQ260" s="214"/>
      <c r="FR260" s="214"/>
      <c r="FS260" s="214"/>
      <c r="FT260" s="214"/>
      <c r="FU260" s="214"/>
      <c r="FV260" s="214"/>
      <c r="FW260" s="214"/>
      <c r="FX260" s="214"/>
      <c r="FY260" s="214"/>
      <c r="FZ260" s="214"/>
      <c r="GA260" s="214"/>
      <c r="GB260" s="214"/>
      <c r="GC260" s="214"/>
      <c r="GD260" s="214"/>
      <c r="GE260" s="214"/>
      <c r="GF260" s="214"/>
      <c r="GG260" s="214"/>
      <c r="GH260" s="214"/>
      <c r="GI260" s="214"/>
      <c r="GJ260" s="214"/>
      <c r="GK260" s="214"/>
      <c r="GL260" s="214"/>
      <c r="GM260" s="214"/>
      <c r="GN260" s="214"/>
      <c r="GO260" s="214"/>
      <c r="GP260" s="214"/>
      <c r="GQ260" s="214"/>
      <c r="GR260" s="214"/>
      <c r="GS260" s="214"/>
      <c r="GT260" s="214"/>
      <c r="GU260" s="214"/>
      <c r="GV260" s="214"/>
      <c r="GW260" s="214"/>
      <c r="GX260" s="214"/>
      <c r="GY260" s="214"/>
      <c r="GZ260" s="214"/>
      <c r="HA260" s="214"/>
      <c r="HB260" s="214"/>
      <c r="HC260" s="214"/>
      <c r="HD260" s="214"/>
      <c r="HE260" s="214"/>
      <c r="HF260" s="214"/>
      <c r="HG260" s="214"/>
      <c r="HH260" s="214"/>
      <c r="HI260" s="214"/>
      <c r="HJ260" s="214"/>
      <c r="HK260" s="214"/>
      <c r="HL260" s="214"/>
      <c r="HM260" s="214"/>
      <c r="HN260" s="214"/>
      <c r="HO260" s="214"/>
      <c r="HP260" s="214"/>
      <c r="HQ260" s="214"/>
      <c r="HR260" s="214"/>
      <c r="HS260" s="214"/>
      <c r="HT260" s="214"/>
      <c r="HU260" s="214"/>
      <c r="HV260" s="214"/>
      <c r="HW260" s="214"/>
      <c r="HX260" s="214"/>
      <c r="HY260" s="214"/>
      <c r="HZ260" s="214"/>
      <c r="IA260" s="214"/>
      <c r="IB260" s="214"/>
      <c r="IC260" s="214"/>
      <c r="ID260" s="214"/>
      <c r="IE260" s="214"/>
      <c r="IF260" s="214"/>
      <c r="IG260" s="214"/>
      <c r="IH260" s="214"/>
      <c r="II260" s="214"/>
      <c r="IJ260" s="214"/>
      <c r="IK260" s="214"/>
      <c r="IL260" s="214"/>
      <c r="IM260" s="214"/>
      <c r="IN260" s="214"/>
      <c r="IO260" s="214"/>
      <c r="IP260" s="214"/>
      <c r="IQ260" s="214"/>
      <c r="IR260" s="214"/>
    </row>
    <row r="261" spans="13:252" ht="16.2" thickTop="1" thickBot="1">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c r="BM261" s="214"/>
      <c r="BN261" s="214"/>
      <c r="BO261" s="214"/>
      <c r="BP261" s="214"/>
      <c r="BQ261" s="214"/>
      <c r="BR261" s="214"/>
      <c r="BS261" s="214"/>
      <c r="BT261" s="214"/>
      <c r="BU261" s="214"/>
      <c r="BV261" s="214"/>
      <c r="BW261" s="214"/>
      <c r="BX261" s="214"/>
      <c r="BY261" s="214"/>
      <c r="BZ261" s="214"/>
      <c r="CA261" s="214"/>
      <c r="CB261" s="214"/>
      <c r="CC261" s="214"/>
      <c r="CD261" s="214"/>
      <c r="CE261" s="214"/>
      <c r="CF261" s="214"/>
      <c r="CG261" s="214"/>
      <c r="CH261" s="214"/>
      <c r="CI261" s="214"/>
      <c r="CJ261" s="214"/>
      <c r="CK261" s="214"/>
      <c r="CL261" s="214"/>
      <c r="CM261" s="214"/>
      <c r="CN261" s="214"/>
      <c r="CO261" s="214"/>
      <c r="CP261" s="214"/>
      <c r="CQ261" s="214"/>
      <c r="CR261" s="214"/>
      <c r="CS261" s="214"/>
      <c r="CT261" s="214"/>
      <c r="CU261" s="214"/>
      <c r="CV261" s="214"/>
      <c r="CW261" s="214"/>
      <c r="CX261" s="214"/>
      <c r="CY261" s="214"/>
      <c r="CZ261" s="214"/>
      <c r="DA261" s="214"/>
      <c r="DB261" s="214"/>
      <c r="DC261" s="214"/>
      <c r="DD261" s="214"/>
      <c r="DE261" s="214"/>
      <c r="DF261" s="214"/>
      <c r="DG261" s="214"/>
      <c r="DH261" s="214"/>
      <c r="DI261" s="214"/>
      <c r="DJ261" s="214"/>
      <c r="DK261" s="214"/>
      <c r="DL261" s="214"/>
      <c r="DM261" s="214"/>
      <c r="DN261" s="214"/>
      <c r="DO261" s="214"/>
      <c r="DP261" s="214"/>
      <c r="DQ261" s="214"/>
      <c r="DR261" s="214"/>
      <c r="DS261" s="214"/>
      <c r="DT261" s="214"/>
      <c r="DU261" s="214"/>
      <c r="DV261" s="214"/>
      <c r="DW261" s="214"/>
      <c r="DX261" s="214"/>
      <c r="DY261" s="214"/>
      <c r="DZ261" s="214"/>
      <c r="EA261" s="214"/>
      <c r="EB261" s="214"/>
      <c r="EC261" s="214"/>
      <c r="ED261" s="214"/>
      <c r="EE261" s="214"/>
      <c r="EF261" s="214"/>
      <c r="EG261" s="214"/>
      <c r="EH261" s="214"/>
      <c r="EI261" s="214"/>
      <c r="EJ261" s="214"/>
      <c r="EK261" s="214"/>
      <c r="EL261" s="214"/>
      <c r="EM261" s="214"/>
      <c r="EN261" s="214"/>
      <c r="EO261" s="214"/>
      <c r="EP261" s="214"/>
      <c r="EQ261" s="214"/>
      <c r="ER261" s="214"/>
      <c r="ES261" s="214"/>
      <c r="ET261" s="214"/>
      <c r="EU261" s="214"/>
      <c r="EV261" s="214"/>
      <c r="EW261" s="214"/>
      <c r="EX261" s="214"/>
      <c r="EY261" s="214"/>
      <c r="EZ261" s="214"/>
      <c r="FA261" s="214"/>
      <c r="FB261" s="214"/>
      <c r="FC261" s="214"/>
      <c r="FD261" s="214"/>
      <c r="FE261" s="214"/>
      <c r="FF261" s="214"/>
      <c r="FG261" s="214"/>
      <c r="FH261" s="214"/>
      <c r="FI261" s="214"/>
      <c r="FJ261" s="214"/>
      <c r="FK261" s="214"/>
      <c r="FL261" s="214"/>
      <c r="FM261" s="214"/>
      <c r="FN261" s="214"/>
      <c r="FO261" s="214"/>
      <c r="FP261" s="214"/>
      <c r="FQ261" s="214"/>
      <c r="FR261" s="214"/>
      <c r="FS261" s="214"/>
      <c r="FT261" s="214"/>
      <c r="FU261" s="214"/>
      <c r="FV261" s="214"/>
      <c r="FW261" s="214"/>
      <c r="FX261" s="214"/>
      <c r="FY261" s="214"/>
      <c r="FZ261" s="214"/>
      <c r="GA261" s="214"/>
      <c r="GB261" s="214"/>
      <c r="GC261" s="214"/>
      <c r="GD261" s="214"/>
      <c r="GE261" s="214"/>
      <c r="GF261" s="214"/>
      <c r="GG261" s="214"/>
      <c r="GH261" s="214"/>
      <c r="GI261" s="214"/>
      <c r="GJ261" s="214"/>
      <c r="GK261" s="214"/>
      <c r="GL261" s="214"/>
      <c r="GM261" s="214"/>
      <c r="GN261" s="214"/>
      <c r="GO261" s="214"/>
      <c r="GP261" s="214"/>
      <c r="GQ261" s="214"/>
      <c r="GR261" s="214"/>
      <c r="GS261" s="214"/>
      <c r="GT261" s="214"/>
      <c r="GU261" s="214"/>
      <c r="GV261" s="214"/>
      <c r="GW261" s="214"/>
      <c r="GX261" s="214"/>
      <c r="GY261" s="214"/>
      <c r="GZ261" s="214"/>
      <c r="HA261" s="214"/>
      <c r="HB261" s="214"/>
      <c r="HC261" s="214"/>
      <c r="HD261" s="214"/>
      <c r="HE261" s="214"/>
      <c r="HF261" s="214"/>
      <c r="HG261" s="214"/>
      <c r="HH261" s="214"/>
      <c r="HI261" s="214"/>
      <c r="HJ261" s="214"/>
      <c r="HK261" s="214"/>
      <c r="HL261" s="214"/>
      <c r="HM261" s="214"/>
      <c r="HN261" s="214"/>
      <c r="HO261" s="214"/>
      <c r="HP261" s="214"/>
      <c r="HQ261" s="214"/>
      <c r="HR261" s="214"/>
      <c r="HS261" s="214"/>
      <c r="HT261" s="214"/>
      <c r="HU261" s="214"/>
      <c r="HV261" s="214"/>
      <c r="HW261" s="214"/>
      <c r="HX261" s="214"/>
      <c r="HY261" s="214"/>
      <c r="HZ261" s="214"/>
      <c r="IA261" s="214"/>
      <c r="IB261" s="214"/>
      <c r="IC261" s="214"/>
      <c r="ID261" s="214"/>
      <c r="IE261" s="214"/>
      <c r="IF261" s="214"/>
      <c r="IG261" s="214"/>
      <c r="IH261" s="214"/>
      <c r="II261" s="214"/>
      <c r="IJ261" s="214"/>
      <c r="IK261" s="214"/>
      <c r="IL261" s="214"/>
      <c r="IM261" s="214"/>
      <c r="IN261" s="214"/>
      <c r="IO261" s="214"/>
      <c r="IP261" s="214"/>
      <c r="IQ261" s="214"/>
      <c r="IR261" s="214"/>
    </row>
    <row r="262" spans="13:252" ht="16.2" thickTop="1" thickBot="1">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c r="BM262" s="214"/>
      <c r="BN262" s="214"/>
      <c r="BO262" s="214"/>
      <c r="BP262" s="214"/>
      <c r="BQ262" s="214"/>
      <c r="BR262" s="214"/>
      <c r="BS262" s="214"/>
      <c r="BT262" s="214"/>
      <c r="BU262" s="214"/>
      <c r="BV262" s="214"/>
      <c r="BW262" s="214"/>
      <c r="BX262" s="214"/>
      <c r="BY262" s="214"/>
      <c r="BZ262" s="214"/>
      <c r="CA262" s="214"/>
      <c r="CB262" s="214"/>
      <c r="CC262" s="214"/>
      <c r="CD262" s="214"/>
      <c r="CE262" s="214"/>
      <c r="CF262" s="214"/>
      <c r="CG262" s="214"/>
      <c r="CH262" s="214"/>
      <c r="CI262" s="214"/>
      <c r="CJ262" s="214"/>
      <c r="CK262" s="214"/>
      <c r="CL262" s="214"/>
      <c r="CM262" s="214"/>
      <c r="CN262" s="214"/>
      <c r="CO262" s="214"/>
      <c r="CP262" s="214"/>
      <c r="CQ262" s="214"/>
      <c r="CR262" s="214"/>
      <c r="CS262" s="214"/>
      <c r="CT262" s="214"/>
      <c r="CU262" s="214"/>
      <c r="CV262" s="214"/>
      <c r="CW262" s="214"/>
      <c r="CX262" s="214"/>
      <c r="CY262" s="214"/>
      <c r="CZ262" s="214"/>
      <c r="DA262" s="214"/>
      <c r="DB262" s="214"/>
      <c r="DC262" s="214"/>
      <c r="DD262" s="214"/>
      <c r="DE262" s="214"/>
      <c r="DF262" s="214"/>
      <c r="DG262" s="214"/>
      <c r="DH262" s="214"/>
      <c r="DI262" s="214"/>
      <c r="DJ262" s="214"/>
      <c r="DK262" s="214"/>
      <c r="DL262" s="214"/>
      <c r="DM262" s="214"/>
      <c r="DN262" s="214"/>
      <c r="DO262" s="214"/>
      <c r="DP262" s="214"/>
      <c r="DQ262" s="214"/>
      <c r="DR262" s="214"/>
      <c r="DS262" s="214"/>
      <c r="DT262" s="214"/>
      <c r="DU262" s="214"/>
      <c r="DV262" s="214"/>
      <c r="DW262" s="214"/>
      <c r="DX262" s="214"/>
      <c r="DY262" s="214"/>
      <c r="DZ262" s="214"/>
      <c r="EA262" s="214"/>
      <c r="EB262" s="214"/>
      <c r="EC262" s="214"/>
      <c r="ED262" s="214"/>
      <c r="EE262" s="214"/>
      <c r="EF262" s="214"/>
      <c r="EG262" s="214"/>
      <c r="EH262" s="214"/>
      <c r="EI262" s="214"/>
      <c r="EJ262" s="214"/>
      <c r="EK262" s="214"/>
      <c r="EL262" s="214"/>
      <c r="EM262" s="214"/>
      <c r="EN262" s="214"/>
      <c r="EO262" s="214"/>
      <c r="EP262" s="214"/>
      <c r="EQ262" s="214"/>
      <c r="ER262" s="214"/>
      <c r="ES262" s="214"/>
      <c r="ET262" s="214"/>
      <c r="EU262" s="214"/>
      <c r="EV262" s="214"/>
      <c r="EW262" s="214"/>
      <c r="EX262" s="214"/>
      <c r="EY262" s="214"/>
      <c r="EZ262" s="214"/>
      <c r="FA262" s="214"/>
      <c r="FB262" s="214"/>
      <c r="FC262" s="214"/>
      <c r="FD262" s="214"/>
      <c r="FE262" s="214"/>
      <c r="FF262" s="214"/>
      <c r="FG262" s="214"/>
      <c r="FH262" s="214"/>
      <c r="FI262" s="214"/>
      <c r="FJ262" s="214"/>
      <c r="FK262" s="214"/>
      <c r="FL262" s="214"/>
      <c r="FM262" s="214"/>
      <c r="FN262" s="214"/>
      <c r="FO262" s="214"/>
      <c r="FP262" s="214"/>
      <c r="FQ262" s="214"/>
      <c r="FR262" s="214"/>
      <c r="FS262" s="214"/>
      <c r="FT262" s="214"/>
      <c r="FU262" s="214"/>
      <c r="FV262" s="214"/>
      <c r="FW262" s="214"/>
      <c r="FX262" s="214"/>
      <c r="FY262" s="214"/>
      <c r="FZ262" s="214"/>
      <c r="GA262" s="214"/>
      <c r="GB262" s="214"/>
      <c r="GC262" s="214"/>
      <c r="GD262" s="214"/>
      <c r="GE262" s="214"/>
      <c r="GF262" s="214"/>
      <c r="GG262" s="214"/>
      <c r="GH262" s="214"/>
      <c r="GI262" s="214"/>
      <c r="GJ262" s="214"/>
      <c r="GK262" s="214"/>
      <c r="GL262" s="214"/>
      <c r="GM262" s="214"/>
      <c r="GN262" s="214"/>
      <c r="GO262" s="214"/>
      <c r="GP262" s="214"/>
      <c r="GQ262" s="214"/>
      <c r="GR262" s="214"/>
      <c r="GS262" s="214"/>
      <c r="GT262" s="214"/>
      <c r="GU262" s="214"/>
      <c r="GV262" s="214"/>
      <c r="GW262" s="214"/>
      <c r="GX262" s="214"/>
      <c r="GY262" s="214"/>
      <c r="GZ262" s="214"/>
      <c r="HA262" s="214"/>
      <c r="HB262" s="214"/>
      <c r="HC262" s="214"/>
      <c r="HD262" s="214"/>
      <c r="HE262" s="214"/>
      <c r="HF262" s="214"/>
      <c r="HG262" s="214"/>
      <c r="HH262" s="214"/>
      <c r="HI262" s="214"/>
      <c r="HJ262" s="214"/>
      <c r="HK262" s="214"/>
      <c r="HL262" s="214"/>
      <c r="HM262" s="214"/>
      <c r="HN262" s="214"/>
      <c r="HO262" s="214"/>
      <c r="HP262" s="214"/>
      <c r="HQ262" s="214"/>
      <c r="HR262" s="214"/>
      <c r="HS262" s="214"/>
      <c r="HT262" s="214"/>
      <c r="HU262" s="214"/>
      <c r="HV262" s="214"/>
      <c r="HW262" s="214"/>
      <c r="HX262" s="214"/>
      <c r="HY262" s="214"/>
      <c r="HZ262" s="214"/>
      <c r="IA262" s="214"/>
      <c r="IB262" s="214"/>
      <c r="IC262" s="214"/>
      <c r="ID262" s="214"/>
      <c r="IE262" s="214"/>
      <c r="IF262" s="214"/>
      <c r="IG262" s="214"/>
      <c r="IH262" s="214"/>
      <c r="II262" s="214"/>
      <c r="IJ262" s="214"/>
      <c r="IK262" s="214"/>
      <c r="IL262" s="214"/>
      <c r="IM262" s="214"/>
      <c r="IN262" s="214"/>
      <c r="IO262" s="214"/>
      <c r="IP262" s="214"/>
      <c r="IQ262" s="214"/>
      <c r="IR262" s="214"/>
    </row>
    <row r="263" spans="13:252" ht="16.2" hidden="1" thickTop="1" thickBot="1">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c r="BM263" s="214"/>
      <c r="BN263" s="214"/>
      <c r="BO263" s="214"/>
      <c r="BP263" s="214"/>
      <c r="BQ263" s="214"/>
      <c r="BR263" s="214"/>
      <c r="BS263" s="214"/>
      <c r="BT263" s="214"/>
      <c r="BU263" s="214"/>
      <c r="BV263" s="214"/>
      <c r="BW263" s="214"/>
      <c r="BX263" s="214"/>
      <c r="BY263" s="214"/>
      <c r="BZ263" s="214"/>
      <c r="CA263" s="214"/>
      <c r="CB263" s="214"/>
      <c r="CC263" s="214"/>
      <c r="CD263" s="214"/>
      <c r="CE263" s="214"/>
      <c r="CF263" s="214"/>
      <c r="CG263" s="214"/>
      <c r="CH263" s="214"/>
      <c r="CI263" s="214"/>
      <c r="CJ263" s="214"/>
      <c r="CK263" s="214"/>
      <c r="CL263" s="214"/>
      <c r="CM263" s="214"/>
      <c r="CN263" s="214"/>
      <c r="CO263" s="214"/>
      <c r="CP263" s="214"/>
      <c r="CQ263" s="214"/>
      <c r="CR263" s="214"/>
      <c r="CS263" s="214"/>
      <c r="CT263" s="214"/>
      <c r="CU263" s="214"/>
      <c r="CV263" s="214"/>
      <c r="CW263" s="214"/>
      <c r="CX263" s="214"/>
      <c r="CY263" s="214"/>
      <c r="CZ263" s="214"/>
      <c r="DA263" s="214"/>
      <c r="DB263" s="214"/>
      <c r="DC263" s="214"/>
      <c r="DD263" s="214"/>
      <c r="DE263" s="214"/>
      <c r="DF263" s="214"/>
      <c r="DG263" s="214"/>
      <c r="DH263" s="214"/>
      <c r="DI263" s="214"/>
      <c r="DJ263" s="214"/>
      <c r="DK263" s="214"/>
      <c r="DL263" s="214"/>
      <c r="DM263" s="214"/>
      <c r="DN263" s="214"/>
      <c r="DO263" s="214"/>
      <c r="DP263" s="214"/>
      <c r="DQ263" s="214"/>
      <c r="DR263" s="214"/>
      <c r="DS263" s="214"/>
      <c r="DT263" s="214"/>
      <c r="DU263" s="214"/>
      <c r="DV263" s="214"/>
      <c r="DW263" s="214"/>
      <c r="DX263" s="214"/>
      <c r="DY263" s="214"/>
      <c r="DZ263" s="214"/>
      <c r="EA263" s="214"/>
      <c r="EB263" s="214"/>
      <c r="EC263" s="214"/>
      <c r="ED263" s="214"/>
      <c r="EE263" s="214"/>
      <c r="EF263" s="214"/>
      <c r="EG263" s="214"/>
      <c r="EH263" s="214"/>
      <c r="EI263" s="214"/>
      <c r="EJ263" s="214"/>
      <c r="EK263" s="214"/>
      <c r="EL263" s="214"/>
      <c r="EM263" s="214"/>
      <c r="EN263" s="214"/>
      <c r="EO263" s="214"/>
      <c r="EP263" s="214"/>
      <c r="EQ263" s="214"/>
      <c r="ER263" s="214"/>
      <c r="ES263" s="214"/>
      <c r="ET263" s="214"/>
      <c r="EU263" s="214"/>
      <c r="EV263" s="214"/>
      <c r="EW263" s="214"/>
      <c r="EX263" s="214"/>
      <c r="EY263" s="214"/>
      <c r="EZ263" s="214"/>
      <c r="FA263" s="214"/>
      <c r="FB263" s="214"/>
      <c r="FC263" s="214"/>
      <c r="FD263" s="214"/>
      <c r="FE263" s="214"/>
      <c r="FF263" s="214"/>
      <c r="FG263" s="214"/>
      <c r="FH263" s="214"/>
      <c r="FI263" s="214"/>
      <c r="FJ263" s="214"/>
      <c r="FK263" s="214"/>
      <c r="FL263" s="214"/>
      <c r="FM263" s="214"/>
      <c r="FN263" s="214"/>
      <c r="FO263" s="214"/>
      <c r="FP263" s="214"/>
      <c r="FQ263" s="214"/>
      <c r="FR263" s="214"/>
      <c r="FS263" s="214"/>
      <c r="FT263" s="214"/>
      <c r="FU263" s="214"/>
      <c r="FV263" s="214"/>
      <c r="FW263" s="214"/>
      <c r="FX263" s="214"/>
      <c r="FY263" s="214"/>
      <c r="FZ263" s="214"/>
      <c r="GA263" s="214"/>
      <c r="GB263" s="214"/>
      <c r="GC263" s="214"/>
      <c r="GD263" s="214"/>
      <c r="GE263" s="214"/>
      <c r="GF263" s="214"/>
      <c r="GG263" s="214"/>
      <c r="GH263" s="214"/>
      <c r="GI263" s="214"/>
      <c r="GJ263" s="214"/>
      <c r="GK263" s="214"/>
      <c r="GL263" s="214"/>
      <c r="GM263" s="214"/>
      <c r="GN263" s="214"/>
      <c r="GO263" s="214"/>
      <c r="GP263" s="214"/>
      <c r="GQ263" s="214"/>
      <c r="GR263" s="214"/>
      <c r="GS263" s="214"/>
      <c r="GT263" s="214"/>
      <c r="GU263" s="214"/>
      <c r="GV263" s="214"/>
      <c r="GW263" s="214"/>
      <c r="GX263" s="214"/>
      <c r="GY263" s="214"/>
      <c r="GZ263" s="214"/>
      <c r="HA263" s="214"/>
      <c r="HB263" s="214"/>
      <c r="HC263" s="214"/>
      <c r="HD263" s="214"/>
      <c r="HE263" s="214"/>
      <c r="HF263" s="214"/>
      <c r="HG263" s="214"/>
      <c r="HH263" s="214"/>
      <c r="HI263" s="214"/>
      <c r="HJ263" s="214"/>
      <c r="HK263" s="214"/>
      <c r="HL263" s="214"/>
      <c r="HM263" s="214"/>
      <c r="HN263" s="214"/>
      <c r="HO263" s="214"/>
      <c r="HP263" s="214"/>
      <c r="HQ263" s="214"/>
      <c r="HR263" s="214"/>
      <c r="HS263" s="214"/>
      <c r="HT263" s="214"/>
      <c r="HU263" s="214"/>
      <c r="HV263" s="214"/>
      <c r="HW263" s="214"/>
      <c r="HX263" s="214"/>
      <c r="HY263" s="214"/>
      <c r="HZ263" s="214"/>
      <c r="IA263" s="214"/>
      <c r="IB263" s="214"/>
      <c r="IC263" s="214"/>
      <c r="ID263" s="214"/>
      <c r="IE263" s="214"/>
      <c r="IF263" s="214"/>
      <c r="IG263" s="214"/>
      <c r="IH263" s="214"/>
      <c r="II263" s="214"/>
      <c r="IJ263" s="214"/>
      <c r="IK263" s="214"/>
      <c r="IL263" s="214"/>
      <c r="IM263" s="214"/>
      <c r="IN263" s="214"/>
      <c r="IO263" s="214"/>
      <c r="IP263" s="214"/>
      <c r="IQ263" s="214"/>
      <c r="IR263" s="214"/>
    </row>
    <row r="264" spans="13:252" ht="16.2" hidden="1" thickTop="1" thickBot="1">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4"/>
      <c r="BL264" s="214"/>
      <c r="BM264" s="214"/>
      <c r="BN264" s="214"/>
      <c r="BO264" s="214"/>
      <c r="BP264" s="214"/>
      <c r="BQ264" s="214"/>
      <c r="BR264" s="214"/>
      <c r="BS264" s="214"/>
      <c r="BT264" s="214"/>
      <c r="BU264" s="214"/>
      <c r="BV264" s="214"/>
      <c r="BW264" s="214"/>
      <c r="BX264" s="214"/>
      <c r="BY264" s="214"/>
      <c r="BZ264" s="214"/>
      <c r="CA264" s="214"/>
      <c r="CB264" s="214"/>
      <c r="CC264" s="214"/>
      <c r="CD264" s="214"/>
      <c r="CE264" s="214"/>
      <c r="CF264" s="214"/>
      <c r="CG264" s="214"/>
      <c r="CH264" s="214"/>
      <c r="CI264" s="214"/>
      <c r="CJ264" s="214"/>
      <c r="CK264" s="214"/>
      <c r="CL264" s="214"/>
      <c r="CM264" s="214"/>
      <c r="CN264" s="214"/>
      <c r="CO264" s="214"/>
      <c r="CP264" s="214"/>
      <c r="CQ264" s="214"/>
      <c r="CR264" s="214"/>
      <c r="CS264" s="214"/>
      <c r="CT264" s="214"/>
      <c r="CU264" s="214"/>
      <c r="CV264" s="214"/>
      <c r="CW264" s="214"/>
      <c r="CX264" s="214"/>
      <c r="CY264" s="214"/>
      <c r="CZ264" s="214"/>
      <c r="DA264" s="214"/>
      <c r="DB264" s="214"/>
      <c r="DC264" s="214"/>
      <c r="DD264" s="214"/>
      <c r="DE264" s="214"/>
      <c r="DF264" s="214"/>
      <c r="DG264" s="214"/>
      <c r="DH264" s="214"/>
      <c r="DI264" s="214"/>
      <c r="DJ264" s="214"/>
      <c r="DK264" s="214"/>
      <c r="DL264" s="214"/>
      <c r="DM264" s="214"/>
      <c r="DN264" s="214"/>
      <c r="DO264" s="214"/>
      <c r="DP264" s="214"/>
      <c r="DQ264" s="214"/>
      <c r="DR264" s="214"/>
      <c r="DS264" s="214"/>
      <c r="DT264" s="214"/>
      <c r="DU264" s="214"/>
      <c r="DV264" s="214"/>
      <c r="DW264" s="214"/>
      <c r="DX264" s="214"/>
      <c r="DY264" s="214"/>
      <c r="DZ264" s="214"/>
      <c r="EA264" s="214"/>
      <c r="EB264" s="214"/>
      <c r="EC264" s="214"/>
      <c r="ED264" s="214"/>
      <c r="EE264" s="214"/>
      <c r="EF264" s="214"/>
      <c r="EG264" s="214"/>
      <c r="EH264" s="214"/>
      <c r="EI264" s="214"/>
      <c r="EJ264" s="214"/>
      <c r="EK264" s="214"/>
      <c r="EL264" s="214"/>
      <c r="EM264" s="214"/>
      <c r="EN264" s="214"/>
      <c r="EO264" s="214"/>
      <c r="EP264" s="214"/>
      <c r="EQ264" s="214"/>
      <c r="ER264" s="214"/>
      <c r="ES264" s="214"/>
      <c r="ET264" s="214"/>
      <c r="EU264" s="214"/>
      <c r="EV264" s="214"/>
      <c r="EW264" s="214"/>
      <c r="EX264" s="214"/>
      <c r="EY264" s="214"/>
      <c r="EZ264" s="214"/>
      <c r="FA264" s="214"/>
      <c r="FB264" s="214"/>
      <c r="FC264" s="214"/>
      <c r="FD264" s="214"/>
      <c r="FE264" s="214"/>
      <c r="FF264" s="214"/>
      <c r="FG264" s="214"/>
      <c r="FH264" s="214"/>
      <c r="FI264" s="214"/>
      <c r="FJ264" s="214"/>
      <c r="FK264" s="214"/>
      <c r="FL264" s="214"/>
      <c r="FM264" s="214"/>
      <c r="FN264" s="214"/>
      <c r="FO264" s="214"/>
      <c r="FP264" s="214"/>
      <c r="FQ264" s="214"/>
      <c r="FR264" s="214"/>
      <c r="FS264" s="214"/>
      <c r="FT264" s="214"/>
      <c r="FU264" s="214"/>
      <c r="FV264" s="214"/>
      <c r="FW264" s="214"/>
      <c r="FX264" s="214"/>
      <c r="FY264" s="214"/>
      <c r="FZ264" s="214"/>
      <c r="GA264" s="214"/>
      <c r="GB264" s="214"/>
      <c r="GC264" s="214"/>
      <c r="GD264" s="214"/>
      <c r="GE264" s="214"/>
      <c r="GF264" s="214"/>
      <c r="GG264" s="214"/>
      <c r="GH264" s="214"/>
      <c r="GI264" s="214"/>
      <c r="GJ264" s="214"/>
      <c r="GK264" s="214"/>
      <c r="GL264" s="214"/>
      <c r="GM264" s="214"/>
      <c r="GN264" s="214"/>
      <c r="GO264" s="214"/>
      <c r="GP264" s="214"/>
      <c r="GQ264" s="214"/>
      <c r="GR264" s="214"/>
      <c r="GS264" s="214"/>
      <c r="GT264" s="214"/>
      <c r="GU264" s="214"/>
      <c r="GV264" s="214"/>
      <c r="GW264" s="214"/>
      <c r="GX264" s="214"/>
      <c r="GY264" s="214"/>
      <c r="GZ264" s="214"/>
      <c r="HA264" s="214"/>
      <c r="HB264" s="214"/>
      <c r="HC264" s="214"/>
      <c r="HD264" s="214"/>
      <c r="HE264" s="214"/>
      <c r="HF264" s="214"/>
      <c r="HG264" s="214"/>
      <c r="HH264" s="214"/>
      <c r="HI264" s="214"/>
      <c r="HJ264" s="214"/>
      <c r="HK264" s="214"/>
      <c r="HL264" s="214"/>
      <c r="HM264" s="214"/>
      <c r="HN264" s="214"/>
      <c r="HO264" s="214"/>
      <c r="HP264" s="214"/>
      <c r="HQ264" s="214"/>
      <c r="HR264" s="214"/>
      <c r="HS264" s="214"/>
      <c r="HT264" s="214"/>
      <c r="HU264" s="214"/>
      <c r="HV264" s="214"/>
      <c r="HW264" s="214"/>
      <c r="HX264" s="214"/>
      <c r="HY264" s="214"/>
      <c r="HZ264" s="214"/>
      <c r="IA264" s="214"/>
      <c r="IB264" s="214"/>
      <c r="IC264" s="214"/>
      <c r="ID264" s="214"/>
      <c r="IE264" s="214"/>
      <c r="IF264" s="214"/>
      <c r="IG264" s="214"/>
      <c r="IH264" s="214"/>
      <c r="II264" s="214"/>
      <c r="IJ264" s="214"/>
      <c r="IK264" s="214"/>
      <c r="IL264" s="214"/>
      <c r="IM264" s="214"/>
      <c r="IN264" s="214"/>
      <c r="IO264" s="214"/>
      <c r="IP264" s="214"/>
      <c r="IQ264" s="214"/>
      <c r="IR264" s="214"/>
    </row>
    <row r="265" spans="13:252" ht="16.2" hidden="1" thickTop="1" thickBot="1">
      <c r="M265" s="214"/>
      <c r="N265" s="214"/>
      <c r="O265" s="214"/>
      <c r="P265" s="214"/>
      <c r="Q265" s="214"/>
      <c r="R265" s="214"/>
      <c r="S265" s="214"/>
      <c r="T265" s="214"/>
      <c r="U265" s="214"/>
      <c r="V265" s="214"/>
      <c r="W265" s="214"/>
      <c r="X265" s="214"/>
      <c r="Y265" s="214"/>
      <c r="Z265" s="214"/>
      <c r="AA265" s="214"/>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c r="BI265" s="214"/>
      <c r="BJ265" s="214"/>
      <c r="BK265" s="214"/>
      <c r="BL265" s="214"/>
      <c r="BM265" s="214"/>
      <c r="BN265" s="214"/>
      <c r="BO265" s="214"/>
      <c r="BP265" s="214"/>
      <c r="BQ265" s="214"/>
      <c r="BR265" s="214"/>
      <c r="BS265" s="214"/>
      <c r="BT265" s="214"/>
      <c r="BU265" s="214"/>
      <c r="BV265" s="214"/>
      <c r="BW265" s="214"/>
      <c r="BX265" s="214"/>
      <c r="BY265" s="214"/>
      <c r="BZ265" s="214"/>
      <c r="CA265" s="214"/>
      <c r="CB265" s="214"/>
      <c r="CC265" s="214"/>
      <c r="CD265" s="214"/>
      <c r="CE265" s="214"/>
      <c r="CF265" s="214"/>
      <c r="CG265" s="214"/>
      <c r="CH265" s="214"/>
      <c r="CI265" s="214"/>
      <c r="CJ265" s="214"/>
      <c r="CK265" s="214"/>
      <c r="CL265" s="214"/>
      <c r="CM265" s="214"/>
      <c r="CN265" s="214"/>
      <c r="CO265" s="214"/>
      <c r="CP265" s="214"/>
      <c r="CQ265" s="214"/>
      <c r="CR265" s="214"/>
      <c r="CS265" s="214"/>
      <c r="CT265" s="214"/>
      <c r="CU265" s="214"/>
      <c r="CV265" s="214"/>
      <c r="CW265" s="214"/>
      <c r="CX265" s="214"/>
      <c r="CY265" s="214"/>
      <c r="CZ265" s="214"/>
      <c r="DA265" s="214"/>
      <c r="DB265" s="214"/>
      <c r="DC265" s="214"/>
      <c r="DD265" s="214"/>
      <c r="DE265" s="214"/>
      <c r="DF265" s="214"/>
      <c r="DG265" s="214"/>
      <c r="DH265" s="214"/>
      <c r="DI265" s="214"/>
      <c r="DJ265" s="214"/>
      <c r="DK265" s="214"/>
      <c r="DL265" s="214"/>
      <c r="DM265" s="214"/>
      <c r="DN265" s="214"/>
      <c r="DO265" s="214"/>
      <c r="DP265" s="214"/>
      <c r="DQ265" s="214"/>
      <c r="DR265" s="214"/>
      <c r="DS265" s="214"/>
      <c r="DT265" s="214"/>
      <c r="DU265" s="214"/>
      <c r="DV265" s="214"/>
      <c r="DW265" s="214"/>
      <c r="DX265" s="214"/>
      <c r="DY265" s="214"/>
      <c r="DZ265" s="214"/>
      <c r="EA265" s="214"/>
      <c r="EB265" s="214"/>
      <c r="EC265" s="214"/>
      <c r="ED265" s="214"/>
      <c r="EE265" s="214"/>
      <c r="EF265" s="214"/>
      <c r="EG265" s="214"/>
      <c r="EH265" s="214"/>
      <c r="EI265" s="214"/>
      <c r="EJ265" s="214"/>
      <c r="EK265" s="214"/>
      <c r="EL265" s="214"/>
      <c r="EM265" s="214"/>
      <c r="EN265" s="214"/>
      <c r="EO265" s="214"/>
      <c r="EP265" s="214"/>
      <c r="EQ265" s="214"/>
      <c r="ER265" s="214"/>
      <c r="ES265" s="214"/>
      <c r="ET265" s="214"/>
      <c r="EU265" s="214"/>
      <c r="EV265" s="214"/>
      <c r="EW265" s="214"/>
      <c r="EX265" s="214"/>
      <c r="EY265" s="214"/>
      <c r="EZ265" s="214"/>
      <c r="FA265" s="214"/>
      <c r="FB265" s="214"/>
      <c r="FC265" s="214"/>
      <c r="FD265" s="214"/>
      <c r="FE265" s="214"/>
      <c r="FF265" s="214"/>
      <c r="FG265" s="214"/>
      <c r="FH265" s="214"/>
      <c r="FI265" s="214"/>
      <c r="FJ265" s="214"/>
      <c r="FK265" s="214"/>
      <c r="FL265" s="214"/>
      <c r="FM265" s="214"/>
      <c r="FN265" s="214"/>
      <c r="FO265" s="214"/>
      <c r="FP265" s="214"/>
      <c r="FQ265" s="214"/>
      <c r="FR265" s="214"/>
      <c r="FS265" s="214"/>
      <c r="FT265" s="214"/>
      <c r="FU265" s="214"/>
      <c r="FV265" s="214"/>
      <c r="FW265" s="214"/>
      <c r="FX265" s="214"/>
      <c r="FY265" s="214"/>
      <c r="FZ265" s="214"/>
      <c r="GA265" s="214"/>
      <c r="GB265" s="214"/>
      <c r="GC265" s="214"/>
      <c r="GD265" s="214"/>
      <c r="GE265" s="214"/>
      <c r="GF265" s="214"/>
      <c r="GG265" s="214"/>
      <c r="GH265" s="214"/>
      <c r="GI265" s="214"/>
      <c r="GJ265" s="214"/>
      <c r="GK265" s="214"/>
      <c r="GL265" s="214"/>
      <c r="GM265" s="214"/>
      <c r="GN265" s="214"/>
      <c r="GO265" s="214"/>
      <c r="GP265" s="214"/>
      <c r="GQ265" s="214"/>
      <c r="GR265" s="214"/>
      <c r="GS265" s="214"/>
      <c r="GT265" s="214"/>
      <c r="GU265" s="214"/>
      <c r="GV265" s="214"/>
      <c r="GW265" s="214"/>
      <c r="GX265" s="214"/>
      <c r="GY265" s="214"/>
      <c r="GZ265" s="214"/>
      <c r="HA265" s="214"/>
      <c r="HB265" s="214"/>
      <c r="HC265" s="214"/>
      <c r="HD265" s="214"/>
      <c r="HE265" s="214"/>
      <c r="HF265" s="214"/>
      <c r="HG265" s="214"/>
      <c r="HH265" s="214"/>
      <c r="HI265" s="214"/>
      <c r="HJ265" s="214"/>
      <c r="HK265" s="214"/>
      <c r="HL265" s="214"/>
      <c r="HM265" s="214"/>
      <c r="HN265" s="214"/>
      <c r="HO265" s="214"/>
      <c r="HP265" s="214"/>
      <c r="HQ265" s="214"/>
      <c r="HR265" s="214"/>
      <c r="HS265" s="214"/>
      <c r="HT265" s="214"/>
      <c r="HU265" s="214"/>
      <c r="HV265" s="214"/>
      <c r="HW265" s="214"/>
      <c r="HX265" s="214"/>
      <c r="HY265" s="214"/>
      <c r="HZ265" s="214"/>
      <c r="IA265" s="214"/>
      <c r="IB265" s="214"/>
      <c r="IC265" s="214"/>
      <c r="ID265" s="214"/>
      <c r="IE265" s="214"/>
      <c r="IF265" s="214"/>
      <c r="IG265" s="214"/>
      <c r="IH265" s="214"/>
      <c r="II265" s="214"/>
      <c r="IJ265" s="214"/>
      <c r="IK265" s="214"/>
      <c r="IL265" s="214"/>
      <c r="IM265" s="214"/>
      <c r="IN265" s="214"/>
      <c r="IO265" s="214"/>
      <c r="IP265" s="214"/>
      <c r="IQ265" s="214"/>
      <c r="IR265" s="214"/>
    </row>
    <row r="266" spans="13:252" ht="16.2" hidden="1" thickTop="1" thickBot="1">
      <c r="M266" s="214"/>
      <c r="N266" s="214"/>
      <c r="O266" s="214"/>
      <c r="P266" s="214"/>
      <c r="Q266" s="214"/>
      <c r="R266" s="214"/>
      <c r="S266" s="214"/>
      <c r="T266" s="214"/>
      <c r="U266" s="214"/>
      <c r="V266" s="214"/>
      <c r="W266" s="214"/>
      <c r="X266" s="214"/>
      <c r="Y266" s="214"/>
      <c r="Z266" s="214"/>
      <c r="AA266" s="214"/>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c r="BI266" s="214"/>
      <c r="BJ266" s="214"/>
      <c r="BK266" s="214"/>
      <c r="BL266" s="214"/>
      <c r="BM266" s="214"/>
      <c r="BN266" s="214"/>
      <c r="BO266" s="214"/>
      <c r="BP266" s="214"/>
      <c r="BQ266" s="214"/>
      <c r="BR266" s="214"/>
      <c r="BS266" s="214"/>
      <c r="BT266" s="214"/>
      <c r="BU266" s="214"/>
      <c r="BV266" s="214"/>
      <c r="BW266" s="214"/>
      <c r="BX266" s="214"/>
      <c r="BY266" s="214"/>
      <c r="BZ266" s="214"/>
      <c r="CA266" s="214"/>
      <c r="CB266" s="214"/>
      <c r="CC266" s="214"/>
      <c r="CD266" s="214"/>
      <c r="CE266" s="214"/>
      <c r="CF266" s="214"/>
      <c r="CG266" s="214"/>
      <c r="CH266" s="214"/>
      <c r="CI266" s="214"/>
      <c r="CJ266" s="214"/>
      <c r="CK266" s="214"/>
      <c r="CL266" s="214"/>
      <c r="CM266" s="214"/>
      <c r="CN266" s="214"/>
      <c r="CO266" s="214"/>
      <c r="CP266" s="214"/>
      <c r="CQ266" s="214"/>
      <c r="CR266" s="214"/>
      <c r="CS266" s="214"/>
      <c r="CT266" s="214"/>
      <c r="CU266" s="214"/>
      <c r="CV266" s="214"/>
      <c r="CW266" s="214"/>
      <c r="CX266" s="214"/>
      <c r="CY266" s="214"/>
      <c r="CZ266" s="214"/>
      <c r="DA266" s="214"/>
      <c r="DB266" s="214"/>
      <c r="DC266" s="214"/>
      <c r="DD266" s="214"/>
      <c r="DE266" s="214"/>
      <c r="DF266" s="214"/>
      <c r="DG266" s="214"/>
      <c r="DH266" s="214"/>
      <c r="DI266" s="214"/>
      <c r="DJ266" s="214"/>
      <c r="DK266" s="214"/>
      <c r="DL266" s="214"/>
      <c r="DM266" s="214"/>
      <c r="DN266" s="214"/>
      <c r="DO266" s="214"/>
      <c r="DP266" s="214"/>
      <c r="DQ266" s="214"/>
      <c r="DR266" s="214"/>
      <c r="DS266" s="214"/>
      <c r="DT266" s="214"/>
      <c r="DU266" s="214"/>
      <c r="DV266" s="214"/>
      <c r="DW266" s="214"/>
      <c r="DX266" s="214"/>
      <c r="DY266" s="214"/>
      <c r="DZ266" s="214"/>
      <c r="EA266" s="214"/>
      <c r="EB266" s="214"/>
      <c r="EC266" s="214"/>
      <c r="ED266" s="214"/>
      <c r="EE266" s="214"/>
      <c r="EF266" s="214"/>
      <c r="EG266" s="214"/>
      <c r="EH266" s="214"/>
      <c r="EI266" s="214"/>
      <c r="EJ266" s="214"/>
      <c r="EK266" s="214"/>
      <c r="EL266" s="214"/>
      <c r="EM266" s="214"/>
      <c r="EN266" s="214"/>
      <c r="EO266" s="214"/>
      <c r="EP266" s="214"/>
      <c r="EQ266" s="214"/>
      <c r="ER266" s="214"/>
      <c r="ES266" s="214"/>
      <c r="ET266" s="214"/>
      <c r="EU266" s="214"/>
      <c r="EV266" s="214"/>
      <c r="EW266" s="214"/>
      <c r="EX266" s="214"/>
      <c r="EY266" s="214"/>
      <c r="EZ266" s="214"/>
      <c r="FA266" s="214"/>
      <c r="FB266" s="214"/>
      <c r="FC266" s="214"/>
      <c r="FD266" s="214"/>
      <c r="FE266" s="214"/>
      <c r="FF266" s="214"/>
      <c r="FG266" s="214"/>
      <c r="FH266" s="214"/>
      <c r="FI266" s="214"/>
      <c r="FJ266" s="214"/>
      <c r="FK266" s="214"/>
      <c r="FL266" s="214"/>
      <c r="FM266" s="214"/>
      <c r="FN266" s="214"/>
      <c r="FO266" s="214"/>
      <c r="FP266" s="214"/>
      <c r="FQ266" s="214"/>
      <c r="FR266" s="214"/>
      <c r="FS266" s="214"/>
      <c r="FT266" s="214"/>
      <c r="FU266" s="214"/>
      <c r="FV266" s="214"/>
      <c r="FW266" s="214"/>
      <c r="FX266" s="214"/>
      <c r="FY266" s="214"/>
      <c r="FZ266" s="214"/>
      <c r="GA266" s="214"/>
      <c r="GB266" s="214"/>
      <c r="GC266" s="214"/>
      <c r="GD266" s="214"/>
      <c r="GE266" s="214"/>
      <c r="GF266" s="214"/>
      <c r="GG266" s="214"/>
      <c r="GH266" s="214"/>
      <c r="GI266" s="214"/>
      <c r="GJ266" s="214"/>
      <c r="GK266" s="214"/>
      <c r="GL266" s="214"/>
      <c r="GM266" s="214"/>
      <c r="GN266" s="214"/>
      <c r="GO266" s="214"/>
      <c r="GP266" s="214"/>
      <c r="GQ266" s="214"/>
      <c r="GR266" s="214"/>
      <c r="GS266" s="214"/>
      <c r="GT266" s="214"/>
      <c r="GU266" s="214"/>
      <c r="GV266" s="214"/>
      <c r="GW266" s="214"/>
      <c r="GX266" s="214"/>
      <c r="GY266" s="214"/>
      <c r="GZ266" s="214"/>
      <c r="HA266" s="214"/>
      <c r="HB266" s="214"/>
      <c r="HC266" s="214"/>
      <c r="HD266" s="214"/>
      <c r="HE266" s="214"/>
      <c r="HF266" s="214"/>
      <c r="HG266" s="214"/>
      <c r="HH266" s="214"/>
      <c r="HI266" s="214"/>
      <c r="HJ266" s="214"/>
      <c r="HK266" s="214"/>
      <c r="HL266" s="214"/>
      <c r="HM266" s="214"/>
      <c r="HN266" s="214"/>
      <c r="HO266" s="214"/>
      <c r="HP266" s="214"/>
      <c r="HQ266" s="214"/>
      <c r="HR266" s="214"/>
      <c r="HS266" s="214"/>
      <c r="HT266" s="214"/>
      <c r="HU266" s="214"/>
      <c r="HV266" s="214"/>
      <c r="HW266" s="214"/>
      <c r="HX266" s="214"/>
      <c r="HY266" s="214"/>
      <c r="HZ266" s="214"/>
      <c r="IA266" s="214"/>
      <c r="IB266" s="214"/>
      <c r="IC266" s="214"/>
      <c r="ID266" s="214"/>
      <c r="IE266" s="214"/>
      <c r="IF266" s="214"/>
      <c r="IG266" s="214"/>
      <c r="IH266" s="214"/>
      <c r="II266" s="214"/>
      <c r="IJ266" s="214"/>
      <c r="IK266" s="214"/>
      <c r="IL266" s="214"/>
      <c r="IM266" s="214"/>
      <c r="IN266" s="214"/>
      <c r="IO266" s="214"/>
      <c r="IP266" s="214"/>
      <c r="IQ266" s="214"/>
      <c r="IR266" s="214"/>
    </row>
    <row r="267" spans="13:252" ht="16.2" hidden="1" thickTop="1" thickBot="1">
      <c r="M267" s="214"/>
      <c r="N267" s="214"/>
      <c r="O267" s="214"/>
      <c r="P267" s="214"/>
      <c r="Q267" s="214"/>
      <c r="R267" s="214"/>
      <c r="S267" s="214"/>
      <c r="T267" s="214"/>
      <c r="U267" s="214"/>
      <c r="V267" s="214"/>
      <c r="W267" s="214"/>
      <c r="X267" s="214"/>
      <c r="Y267" s="214"/>
      <c r="Z267" s="214"/>
      <c r="AA267" s="214"/>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c r="BI267" s="214"/>
      <c r="BJ267" s="214"/>
      <c r="BK267" s="214"/>
      <c r="BL267" s="214"/>
      <c r="BM267" s="214"/>
      <c r="BN267" s="214"/>
      <c r="BO267" s="214"/>
      <c r="BP267" s="214"/>
      <c r="BQ267" s="214"/>
      <c r="BR267" s="214"/>
      <c r="BS267" s="214"/>
      <c r="BT267" s="214"/>
      <c r="BU267" s="214"/>
      <c r="BV267" s="214"/>
      <c r="BW267" s="214"/>
      <c r="BX267" s="214"/>
      <c r="BY267" s="214"/>
      <c r="BZ267" s="214"/>
      <c r="CA267" s="214"/>
      <c r="CB267" s="214"/>
      <c r="CC267" s="214"/>
      <c r="CD267" s="214"/>
      <c r="CE267" s="214"/>
      <c r="CF267" s="214"/>
      <c r="CG267" s="214"/>
      <c r="CH267" s="214"/>
      <c r="CI267" s="214"/>
      <c r="CJ267" s="214"/>
      <c r="CK267" s="214"/>
      <c r="CL267" s="214"/>
      <c r="CM267" s="214"/>
      <c r="CN267" s="214"/>
      <c r="CO267" s="214"/>
      <c r="CP267" s="214"/>
      <c r="CQ267" s="214"/>
      <c r="CR267" s="214"/>
      <c r="CS267" s="214"/>
      <c r="CT267" s="214"/>
      <c r="CU267" s="214"/>
      <c r="CV267" s="214"/>
      <c r="CW267" s="214"/>
      <c r="CX267" s="214"/>
      <c r="CY267" s="214"/>
      <c r="CZ267" s="214"/>
      <c r="DA267" s="214"/>
      <c r="DB267" s="214"/>
      <c r="DC267" s="214"/>
      <c r="DD267" s="214"/>
      <c r="DE267" s="214"/>
      <c r="DF267" s="214"/>
      <c r="DG267" s="214"/>
      <c r="DH267" s="214"/>
      <c r="DI267" s="214"/>
      <c r="DJ267" s="214"/>
      <c r="DK267" s="214"/>
      <c r="DL267" s="214"/>
      <c r="DM267" s="214"/>
      <c r="DN267" s="214"/>
      <c r="DO267" s="214"/>
      <c r="DP267" s="214"/>
      <c r="DQ267" s="214"/>
      <c r="DR267" s="214"/>
      <c r="DS267" s="214"/>
      <c r="DT267" s="214"/>
      <c r="DU267" s="214"/>
      <c r="DV267" s="214"/>
      <c r="DW267" s="214"/>
      <c r="DX267" s="214"/>
      <c r="DY267" s="214"/>
      <c r="DZ267" s="214"/>
      <c r="EA267" s="214"/>
      <c r="EB267" s="214"/>
      <c r="EC267" s="214"/>
      <c r="ED267" s="214"/>
      <c r="EE267" s="214"/>
      <c r="EF267" s="214"/>
      <c r="EG267" s="214"/>
      <c r="EH267" s="214"/>
      <c r="EI267" s="214"/>
      <c r="EJ267" s="214"/>
      <c r="EK267" s="214"/>
      <c r="EL267" s="214"/>
      <c r="EM267" s="214"/>
      <c r="EN267" s="214"/>
      <c r="EO267" s="214"/>
      <c r="EP267" s="214"/>
      <c r="EQ267" s="214"/>
      <c r="ER267" s="214"/>
      <c r="ES267" s="214"/>
      <c r="ET267" s="214"/>
      <c r="EU267" s="214"/>
      <c r="EV267" s="214"/>
      <c r="EW267" s="214"/>
      <c r="EX267" s="214"/>
      <c r="EY267" s="214"/>
      <c r="EZ267" s="214"/>
      <c r="FA267" s="214"/>
      <c r="FB267" s="214"/>
      <c r="FC267" s="214"/>
      <c r="FD267" s="214"/>
      <c r="FE267" s="214"/>
      <c r="FF267" s="214"/>
      <c r="FG267" s="214"/>
      <c r="FH267" s="214"/>
      <c r="FI267" s="214"/>
      <c r="FJ267" s="214"/>
      <c r="FK267" s="214"/>
      <c r="FL267" s="214"/>
      <c r="FM267" s="214"/>
      <c r="FN267" s="214"/>
      <c r="FO267" s="214"/>
      <c r="FP267" s="214"/>
      <c r="FQ267" s="214"/>
      <c r="FR267" s="214"/>
      <c r="FS267" s="214"/>
      <c r="FT267" s="214"/>
      <c r="FU267" s="214"/>
      <c r="FV267" s="214"/>
      <c r="FW267" s="214"/>
      <c r="FX267" s="214"/>
      <c r="FY267" s="214"/>
      <c r="FZ267" s="214"/>
      <c r="GA267" s="214"/>
      <c r="GB267" s="214"/>
      <c r="GC267" s="214"/>
      <c r="GD267" s="214"/>
      <c r="GE267" s="214"/>
      <c r="GF267" s="214"/>
      <c r="GG267" s="214"/>
      <c r="GH267" s="214"/>
      <c r="GI267" s="214"/>
      <c r="GJ267" s="214"/>
      <c r="GK267" s="214"/>
      <c r="GL267" s="214"/>
      <c r="GM267" s="214"/>
      <c r="GN267" s="214"/>
      <c r="GO267" s="214"/>
      <c r="GP267" s="214"/>
      <c r="GQ267" s="214"/>
      <c r="GR267" s="214"/>
      <c r="GS267" s="214"/>
      <c r="GT267" s="214"/>
      <c r="GU267" s="214"/>
      <c r="GV267" s="214"/>
      <c r="GW267" s="214"/>
      <c r="GX267" s="214"/>
      <c r="GY267" s="214"/>
      <c r="GZ267" s="214"/>
      <c r="HA267" s="214"/>
      <c r="HB267" s="214"/>
      <c r="HC267" s="214"/>
      <c r="HD267" s="214"/>
      <c r="HE267" s="214"/>
      <c r="HF267" s="214"/>
      <c r="HG267" s="214"/>
      <c r="HH267" s="214"/>
      <c r="HI267" s="214"/>
      <c r="HJ267" s="214"/>
      <c r="HK267" s="214"/>
      <c r="HL267" s="214"/>
      <c r="HM267" s="214"/>
      <c r="HN267" s="214"/>
      <c r="HO267" s="214"/>
      <c r="HP267" s="214"/>
      <c r="HQ267" s="214"/>
      <c r="HR267" s="214"/>
      <c r="HS267" s="214"/>
      <c r="HT267" s="214"/>
      <c r="HU267" s="214"/>
      <c r="HV267" s="214"/>
      <c r="HW267" s="214"/>
      <c r="HX267" s="214"/>
      <c r="HY267" s="214"/>
      <c r="HZ267" s="214"/>
      <c r="IA267" s="214"/>
      <c r="IB267" s="214"/>
      <c r="IC267" s="214"/>
      <c r="ID267" s="214"/>
      <c r="IE267" s="214"/>
      <c r="IF267" s="214"/>
      <c r="IG267" s="214"/>
      <c r="IH267" s="214"/>
      <c r="II267" s="214"/>
      <c r="IJ267" s="214"/>
      <c r="IK267" s="214"/>
      <c r="IL267" s="214"/>
      <c r="IM267" s="214"/>
      <c r="IN267" s="214"/>
      <c r="IO267" s="214"/>
      <c r="IP267" s="214"/>
      <c r="IQ267" s="214"/>
      <c r="IR267" s="214"/>
    </row>
    <row r="268" spans="13:252" ht="16.2" hidden="1" thickTop="1" thickBot="1">
      <c r="M268" s="214"/>
      <c r="N268" s="214"/>
      <c r="O268" s="214"/>
      <c r="P268" s="214"/>
      <c r="Q268" s="214"/>
      <c r="R268" s="214"/>
      <c r="S268" s="214"/>
      <c r="T268" s="214"/>
      <c r="U268" s="214"/>
      <c r="V268" s="214"/>
      <c r="W268" s="214"/>
      <c r="X268" s="214"/>
      <c r="Y268" s="214"/>
      <c r="Z268" s="214"/>
      <c r="AA268" s="214"/>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c r="BI268" s="214"/>
      <c r="BJ268" s="214"/>
      <c r="BK268" s="214"/>
      <c r="BL268" s="214"/>
      <c r="BM268" s="214"/>
      <c r="BN268" s="214"/>
      <c r="BO268" s="214"/>
      <c r="BP268" s="214"/>
      <c r="BQ268" s="214"/>
      <c r="BR268" s="214"/>
      <c r="BS268" s="214"/>
      <c r="BT268" s="214"/>
      <c r="BU268" s="214"/>
      <c r="BV268" s="214"/>
      <c r="BW268" s="214"/>
      <c r="BX268" s="214"/>
      <c r="BY268" s="214"/>
      <c r="BZ268" s="214"/>
      <c r="CA268" s="214"/>
      <c r="CB268" s="214"/>
      <c r="CC268" s="214"/>
      <c r="CD268" s="214"/>
      <c r="CE268" s="214"/>
      <c r="CF268" s="214"/>
      <c r="CG268" s="214"/>
      <c r="CH268" s="214"/>
      <c r="CI268" s="214"/>
      <c r="CJ268" s="214"/>
      <c r="CK268" s="214"/>
      <c r="CL268" s="214"/>
      <c r="CM268" s="214"/>
      <c r="CN268" s="214"/>
      <c r="CO268" s="214"/>
      <c r="CP268" s="214"/>
      <c r="CQ268" s="214"/>
      <c r="CR268" s="214"/>
      <c r="CS268" s="214"/>
      <c r="CT268" s="214"/>
      <c r="CU268" s="214"/>
      <c r="CV268" s="214"/>
      <c r="CW268" s="214"/>
      <c r="CX268" s="214"/>
      <c r="CY268" s="214"/>
      <c r="CZ268" s="214"/>
      <c r="DA268" s="214"/>
      <c r="DB268" s="214"/>
      <c r="DC268" s="214"/>
      <c r="DD268" s="214"/>
      <c r="DE268" s="214"/>
      <c r="DF268" s="214"/>
      <c r="DG268" s="214"/>
      <c r="DH268" s="214"/>
      <c r="DI268" s="214"/>
      <c r="DJ268" s="214"/>
      <c r="DK268" s="214"/>
      <c r="DL268" s="214"/>
      <c r="DM268" s="214"/>
      <c r="DN268" s="214"/>
      <c r="DO268" s="214"/>
      <c r="DP268" s="214"/>
      <c r="DQ268" s="214"/>
      <c r="DR268" s="214"/>
      <c r="DS268" s="214"/>
      <c r="DT268" s="214"/>
      <c r="DU268" s="214"/>
      <c r="DV268" s="214"/>
      <c r="DW268" s="214"/>
      <c r="DX268" s="214"/>
      <c r="DY268" s="214"/>
      <c r="DZ268" s="214"/>
      <c r="EA268" s="214"/>
      <c r="EB268" s="214"/>
      <c r="EC268" s="214"/>
      <c r="ED268" s="214"/>
      <c r="EE268" s="214"/>
      <c r="EF268" s="214"/>
      <c r="EG268" s="214"/>
      <c r="EH268" s="214"/>
      <c r="EI268" s="214"/>
      <c r="EJ268" s="214"/>
      <c r="EK268" s="214"/>
      <c r="EL268" s="214"/>
      <c r="EM268" s="214"/>
      <c r="EN268" s="214"/>
      <c r="EO268" s="214"/>
      <c r="EP268" s="214"/>
      <c r="EQ268" s="214"/>
      <c r="ER268" s="214"/>
      <c r="ES268" s="214"/>
      <c r="ET268" s="214"/>
      <c r="EU268" s="214"/>
      <c r="EV268" s="214"/>
      <c r="EW268" s="214"/>
      <c r="EX268" s="214"/>
      <c r="EY268" s="214"/>
      <c r="EZ268" s="214"/>
      <c r="FA268" s="214"/>
      <c r="FB268" s="214"/>
      <c r="FC268" s="214"/>
      <c r="FD268" s="214"/>
      <c r="FE268" s="214"/>
      <c r="FF268" s="214"/>
      <c r="FG268" s="214"/>
      <c r="FH268" s="214"/>
      <c r="FI268" s="214"/>
      <c r="FJ268" s="214"/>
      <c r="FK268" s="214"/>
      <c r="FL268" s="214"/>
      <c r="FM268" s="214"/>
      <c r="FN268" s="214"/>
      <c r="FO268" s="214"/>
      <c r="FP268" s="214"/>
      <c r="FQ268" s="214"/>
      <c r="FR268" s="214"/>
      <c r="FS268" s="214"/>
      <c r="FT268" s="214"/>
      <c r="FU268" s="214"/>
      <c r="FV268" s="214"/>
      <c r="FW268" s="214"/>
      <c r="FX268" s="214"/>
      <c r="FY268" s="214"/>
      <c r="FZ268" s="214"/>
      <c r="GA268" s="214"/>
      <c r="GB268" s="214"/>
      <c r="GC268" s="214"/>
      <c r="GD268" s="214"/>
      <c r="GE268" s="214"/>
      <c r="GF268" s="214"/>
      <c r="GG268" s="214"/>
      <c r="GH268" s="214"/>
      <c r="GI268" s="214"/>
      <c r="GJ268" s="214"/>
      <c r="GK268" s="214"/>
      <c r="GL268" s="214"/>
      <c r="GM268" s="214"/>
      <c r="GN268" s="214"/>
      <c r="GO268" s="214"/>
      <c r="GP268" s="214"/>
      <c r="GQ268" s="214"/>
      <c r="GR268" s="214"/>
      <c r="GS268" s="214"/>
      <c r="GT268" s="214"/>
      <c r="GU268" s="214"/>
      <c r="GV268" s="214"/>
      <c r="GW268" s="214"/>
      <c r="GX268" s="214"/>
      <c r="GY268" s="214"/>
      <c r="GZ268" s="214"/>
      <c r="HA268" s="214"/>
      <c r="HB268" s="214"/>
      <c r="HC268" s="214"/>
      <c r="HD268" s="214"/>
      <c r="HE268" s="214"/>
      <c r="HF268" s="214"/>
      <c r="HG268" s="214"/>
      <c r="HH268" s="214"/>
      <c r="HI268" s="214"/>
      <c r="HJ268" s="214"/>
      <c r="HK268" s="214"/>
      <c r="HL268" s="214"/>
      <c r="HM268" s="214"/>
      <c r="HN268" s="214"/>
      <c r="HO268" s="214"/>
      <c r="HP268" s="214"/>
      <c r="HQ268" s="214"/>
      <c r="HR268" s="214"/>
      <c r="HS268" s="214"/>
      <c r="HT268" s="214"/>
      <c r="HU268" s="214"/>
      <c r="HV268" s="214"/>
      <c r="HW268" s="214"/>
      <c r="HX268" s="214"/>
      <c r="HY268" s="214"/>
      <c r="HZ268" s="214"/>
      <c r="IA268" s="214"/>
      <c r="IB268" s="214"/>
      <c r="IC268" s="214"/>
      <c r="ID268" s="214"/>
      <c r="IE268" s="214"/>
      <c r="IF268" s="214"/>
      <c r="IG268" s="214"/>
      <c r="IH268" s="214"/>
      <c r="II268" s="214"/>
      <c r="IJ268" s="214"/>
      <c r="IK268" s="214"/>
      <c r="IL268" s="214"/>
      <c r="IM268" s="214"/>
      <c r="IN268" s="214"/>
      <c r="IO268" s="214"/>
      <c r="IP268" s="214"/>
      <c r="IQ268" s="214"/>
      <c r="IR268" s="214"/>
    </row>
    <row r="269" spans="13:252" ht="16.2" hidden="1" thickTop="1" thickBot="1">
      <c r="M269" s="214"/>
      <c r="N269" s="214"/>
      <c r="O269" s="214"/>
      <c r="P269" s="214"/>
      <c r="Q269" s="214"/>
      <c r="R269" s="214"/>
      <c r="S269" s="214"/>
      <c r="T269" s="214"/>
      <c r="U269" s="214"/>
      <c r="V269" s="214"/>
      <c r="W269" s="214"/>
      <c r="X269" s="214"/>
      <c r="Y269" s="214"/>
      <c r="Z269" s="214"/>
      <c r="AA269" s="214"/>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c r="BI269" s="214"/>
      <c r="BJ269" s="214"/>
      <c r="BK269" s="214"/>
      <c r="BL269" s="214"/>
      <c r="BM269" s="214"/>
      <c r="BN269" s="214"/>
      <c r="BO269" s="214"/>
      <c r="BP269" s="214"/>
      <c r="BQ269" s="214"/>
      <c r="BR269" s="214"/>
      <c r="BS269" s="214"/>
      <c r="BT269" s="214"/>
      <c r="BU269" s="214"/>
      <c r="BV269" s="214"/>
      <c r="BW269" s="214"/>
      <c r="BX269" s="214"/>
      <c r="BY269" s="214"/>
      <c r="BZ269" s="214"/>
      <c r="CA269" s="214"/>
      <c r="CB269" s="214"/>
      <c r="CC269" s="214"/>
      <c r="CD269" s="214"/>
      <c r="CE269" s="214"/>
      <c r="CF269" s="214"/>
      <c r="CG269" s="214"/>
      <c r="CH269" s="214"/>
      <c r="CI269" s="214"/>
      <c r="CJ269" s="214"/>
      <c r="CK269" s="214"/>
      <c r="CL269" s="214"/>
      <c r="CM269" s="214"/>
      <c r="CN269" s="214"/>
      <c r="CO269" s="214"/>
      <c r="CP269" s="214"/>
      <c r="CQ269" s="214"/>
      <c r="CR269" s="214"/>
      <c r="CS269" s="214"/>
      <c r="CT269" s="214"/>
      <c r="CU269" s="214"/>
      <c r="CV269" s="214"/>
      <c r="CW269" s="214"/>
      <c r="CX269" s="214"/>
      <c r="CY269" s="214"/>
      <c r="CZ269" s="214"/>
      <c r="DA269" s="214"/>
      <c r="DB269" s="214"/>
      <c r="DC269" s="214"/>
      <c r="DD269" s="214"/>
      <c r="DE269" s="214"/>
      <c r="DF269" s="214"/>
      <c r="DG269" s="214"/>
      <c r="DH269" s="214"/>
      <c r="DI269" s="214"/>
      <c r="DJ269" s="214"/>
      <c r="DK269" s="214"/>
      <c r="DL269" s="214"/>
      <c r="DM269" s="214"/>
      <c r="DN269" s="214"/>
      <c r="DO269" s="214"/>
      <c r="DP269" s="214"/>
      <c r="DQ269" s="214"/>
      <c r="DR269" s="214"/>
      <c r="DS269" s="214"/>
      <c r="DT269" s="214"/>
      <c r="DU269" s="214"/>
      <c r="DV269" s="214"/>
      <c r="DW269" s="214"/>
      <c r="DX269" s="214"/>
      <c r="DY269" s="214"/>
      <c r="DZ269" s="214"/>
      <c r="EA269" s="214"/>
      <c r="EB269" s="214"/>
      <c r="EC269" s="214"/>
      <c r="ED269" s="214"/>
      <c r="EE269" s="214"/>
      <c r="EF269" s="214"/>
      <c r="EG269" s="214"/>
      <c r="EH269" s="214"/>
      <c r="EI269" s="214"/>
      <c r="EJ269" s="214"/>
      <c r="EK269" s="214"/>
      <c r="EL269" s="214"/>
      <c r="EM269" s="214"/>
      <c r="EN269" s="214"/>
      <c r="EO269" s="214"/>
      <c r="EP269" s="214"/>
      <c r="EQ269" s="214"/>
      <c r="ER269" s="214"/>
      <c r="ES269" s="214"/>
      <c r="ET269" s="214"/>
      <c r="EU269" s="214"/>
      <c r="EV269" s="214"/>
      <c r="EW269" s="214"/>
      <c r="EX269" s="214"/>
      <c r="EY269" s="214"/>
      <c r="EZ269" s="214"/>
      <c r="FA269" s="214"/>
      <c r="FB269" s="214"/>
      <c r="FC269" s="214"/>
      <c r="FD269" s="214"/>
      <c r="FE269" s="214"/>
      <c r="FF269" s="214"/>
      <c r="FG269" s="214"/>
      <c r="FH269" s="214"/>
      <c r="FI269" s="214"/>
      <c r="FJ269" s="214"/>
      <c r="FK269" s="214"/>
      <c r="FL269" s="214"/>
      <c r="FM269" s="214"/>
      <c r="FN269" s="214"/>
      <c r="FO269" s="214"/>
      <c r="FP269" s="214"/>
      <c r="FQ269" s="214"/>
      <c r="FR269" s="214"/>
      <c r="FS269" s="214"/>
      <c r="FT269" s="214"/>
      <c r="FU269" s="214"/>
      <c r="FV269" s="214"/>
      <c r="FW269" s="214"/>
      <c r="FX269" s="214"/>
      <c r="FY269" s="214"/>
      <c r="FZ269" s="214"/>
      <c r="GA269" s="214"/>
      <c r="GB269" s="214"/>
      <c r="GC269" s="214"/>
      <c r="GD269" s="214"/>
      <c r="GE269" s="214"/>
      <c r="GF269" s="214"/>
      <c r="GG269" s="214"/>
      <c r="GH269" s="214"/>
      <c r="GI269" s="214"/>
      <c r="GJ269" s="214"/>
      <c r="GK269" s="214"/>
      <c r="GL269" s="214"/>
      <c r="GM269" s="214"/>
      <c r="GN269" s="214"/>
      <c r="GO269" s="214"/>
      <c r="GP269" s="214"/>
      <c r="GQ269" s="214"/>
      <c r="GR269" s="214"/>
      <c r="GS269" s="214"/>
      <c r="GT269" s="214"/>
      <c r="GU269" s="214"/>
      <c r="GV269" s="214"/>
      <c r="GW269" s="214"/>
      <c r="GX269" s="214"/>
      <c r="GY269" s="214"/>
      <c r="GZ269" s="214"/>
      <c r="HA269" s="214"/>
      <c r="HB269" s="214"/>
      <c r="HC269" s="214"/>
      <c r="HD269" s="214"/>
      <c r="HE269" s="214"/>
      <c r="HF269" s="214"/>
      <c r="HG269" s="214"/>
      <c r="HH269" s="214"/>
      <c r="HI269" s="214"/>
      <c r="HJ269" s="214"/>
      <c r="HK269" s="214"/>
      <c r="HL269" s="214"/>
      <c r="HM269" s="214"/>
      <c r="HN269" s="214"/>
      <c r="HO269" s="214"/>
      <c r="HP269" s="214"/>
      <c r="HQ269" s="214"/>
      <c r="HR269" s="214"/>
      <c r="HS269" s="214"/>
      <c r="HT269" s="214"/>
      <c r="HU269" s="214"/>
      <c r="HV269" s="214"/>
      <c r="HW269" s="214"/>
      <c r="HX269" s="214"/>
      <c r="HY269" s="214"/>
      <c r="HZ269" s="214"/>
      <c r="IA269" s="214"/>
      <c r="IB269" s="214"/>
      <c r="IC269" s="214"/>
      <c r="ID269" s="214"/>
      <c r="IE269" s="214"/>
      <c r="IF269" s="214"/>
      <c r="IG269" s="214"/>
      <c r="IH269" s="214"/>
      <c r="II269" s="214"/>
      <c r="IJ269" s="214"/>
      <c r="IK269" s="214"/>
      <c r="IL269" s="214"/>
      <c r="IM269" s="214"/>
      <c r="IN269" s="214"/>
      <c r="IO269" s="214"/>
      <c r="IP269" s="214"/>
      <c r="IQ269" s="214"/>
      <c r="IR269" s="214"/>
    </row>
    <row r="270" spans="13:252" ht="16.2" hidden="1" thickTop="1" thickBot="1">
      <c r="M270" s="214"/>
      <c r="N270" s="214"/>
      <c r="O270" s="214"/>
      <c r="P270" s="214"/>
      <c r="Q270" s="214"/>
      <c r="R270" s="214"/>
      <c r="S270" s="214"/>
      <c r="T270" s="214"/>
      <c r="U270" s="214"/>
      <c r="V270" s="214"/>
      <c r="W270" s="214"/>
      <c r="X270" s="214"/>
      <c r="Y270" s="214"/>
      <c r="Z270" s="214"/>
      <c r="AA270" s="214"/>
      <c r="AB270" s="214"/>
      <c r="AC270" s="214"/>
      <c r="AD270" s="214"/>
      <c r="AE270" s="214"/>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c r="BI270" s="214"/>
      <c r="BJ270" s="214"/>
      <c r="BK270" s="214"/>
      <c r="BL270" s="214"/>
      <c r="BM270" s="214"/>
      <c r="BN270" s="214"/>
      <c r="BO270" s="214"/>
      <c r="BP270" s="214"/>
      <c r="BQ270" s="214"/>
      <c r="BR270" s="214"/>
      <c r="BS270" s="214"/>
      <c r="BT270" s="214"/>
      <c r="BU270" s="214"/>
      <c r="BV270" s="214"/>
      <c r="BW270" s="214"/>
      <c r="BX270" s="214"/>
      <c r="BY270" s="214"/>
      <c r="BZ270" s="214"/>
      <c r="CA270" s="214"/>
      <c r="CB270" s="214"/>
      <c r="CC270" s="214"/>
      <c r="CD270" s="214"/>
      <c r="CE270" s="214"/>
      <c r="CF270" s="214"/>
      <c r="CG270" s="214"/>
      <c r="CH270" s="214"/>
      <c r="CI270" s="214"/>
      <c r="CJ270" s="214"/>
      <c r="CK270" s="214"/>
      <c r="CL270" s="214"/>
      <c r="CM270" s="214"/>
      <c r="CN270" s="214"/>
      <c r="CO270" s="214"/>
      <c r="CP270" s="214"/>
      <c r="CQ270" s="214"/>
      <c r="CR270" s="214"/>
      <c r="CS270" s="214"/>
      <c r="CT270" s="214"/>
      <c r="CU270" s="214"/>
      <c r="CV270" s="214"/>
      <c r="CW270" s="214"/>
      <c r="CX270" s="214"/>
      <c r="CY270" s="214"/>
      <c r="CZ270" s="214"/>
      <c r="DA270" s="214"/>
      <c r="DB270" s="214"/>
      <c r="DC270" s="214"/>
      <c r="DD270" s="214"/>
      <c r="DE270" s="214"/>
      <c r="DF270" s="214"/>
      <c r="DG270" s="214"/>
      <c r="DH270" s="214"/>
      <c r="DI270" s="214"/>
      <c r="DJ270" s="214"/>
      <c r="DK270" s="214"/>
      <c r="DL270" s="214"/>
      <c r="DM270" s="214"/>
      <c r="DN270" s="214"/>
      <c r="DO270" s="214"/>
      <c r="DP270" s="214"/>
      <c r="DQ270" s="214"/>
      <c r="DR270" s="214"/>
      <c r="DS270" s="214"/>
      <c r="DT270" s="214"/>
      <c r="DU270" s="214"/>
      <c r="DV270" s="214"/>
      <c r="DW270" s="214"/>
      <c r="DX270" s="214"/>
      <c r="DY270" s="214"/>
      <c r="DZ270" s="214"/>
      <c r="EA270" s="214"/>
      <c r="EB270" s="214"/>
      <c r="EC270" s="214"/>
      <c r="ED270" s="214"/>
      <c r="EE270" s="214"/>
      <c r="EF270" s="214"/>
      <c r="EG270" s="214"/>
      <c r="EH270" s="214"/>
      <c r="EI270" s="214"/>
      <c r="EJ270" s="214"/>
      <c r="EK270" s="214"/>
      <c r="EL270" s="214"/>
      <c r="EM270" s="214"/>
      <c r="EN270" s="214"/>
      <c r="EO270" s="214"/>
      <c r="EP270" s="214"/>
      <c r="EQ270" s="214"/>
      <c r="ER270" s="214"/>
      <c r="ES270" s="214"/>
      <c r="ET270" s="214"/>
      <c r="EU270" s="214"/>
      <c r="EV270" s="214"/>
      <c r="EW270" s="214"/>
      <c r="EX270" s="214"/>
      <c r="EY270" s="214"/>
      <c r="EZ270" s="214"/>
      <c r="FA270" s="214"/>
      <c r="FB270" s="214"/>
      <c r="FC270" s="214"/>
      <c r="FD270" s="214"/>
      <c r="FE270" s="214"/>
      <c r="FF270" s="214"/>
      <c r="FG270" s="214"/>
      <c r="FH270" s="214"/>
      <c r="FI270" s="214"/>
      <c r="FJ270" s="214"/>
      <c r="FK270" s="214"/>
      <c r="FL270" s="214"/>
      <c r="FM270" s="214"/>
      <c r="FN270" s="214"/>
      <c r="FO270" s="214"/>
      <c r="FP270" s="214"/>
      <c r="FQ270" s="214"/>
      <c r="FR270" s="214"/>
      <c r="FS270" s="214"/>
      <c r="FT270" s="214"/>
      <c r="FU270" s="214"/>
      <c r="FV270" s="214"/>
      <c r="FW270" s="214"/>
      <c r="FX270" s="214"/>
      <c r="FY270" s="214"/>
      <c r="FZ270" s="214"/>
      <c r="GA270" s="214"/>
      <c r="GB270" s="214"/>
      <c r="GC270" s="214"/>
      <c r="GD270" s="214"/>
      <c r="GE270" s="214"/>
      <c r="GF270" s="214"/>
      <c r="GG270" s="214"/>
      <c r="GH270" s="214"/>
      <c r="GI270" s="214"/>
      <c r="GJ270" s="214"/>
      <c r="GK270" s="214"/>
      <c r="GL270" s="214"/>
      <c r="GM270" s="214"/>
      <c r="GN270" s="214"/>
      <c r="GO270" s="214"/>
      <c r="GP270" s="214"/>
      <c r="GQ270" s="214"/>
      <c r="GR270" s="214"/>
      <c r="GS270" s="214"/>
      <c r="GT270" s="214"/>
      <c r="GU270" s="214"/>
      <c r="GV270" s="214"/>
      <c r="GW270" s="214"/>
      <c r="GX270" s="214"/>
      <c r="GY270" s="214"/>
      <c r="GZ270" s="214"/>
      <c r="HA270" s="214"/>
      <c r="HB270" s="214"/>
      <c r="HC270" s="214"/>
      <c r="HD270" s="214"/>
      <c r="HE270" s="214"/>
      <c r="HF270" s="214"/>
      <c r="HG270" s="214"/>
      <c r="HH270" s="214"/>
      <c r="HI270" s="214"/>
      <c r="HJ270" s="214"/>
      <c r="HK270" s="214"/>
      <c r="HL270" s="214"/>
      <c r="HM270" s="214"/>
      <c r="HN270" s="214"/>
      <c r="HO270" s="214"/>
      <c r="HP270" s="214"/>
      <c r="HQ270" s="214"/>
      <c r="HR270" s="214"/>
      <c r="HS270" s="214"/>
      <c r="HT270" s="214"/>
      <c r="HU270" s="214"/>
      <c r="HV270" s="214"/>
      <c r="HW270" s="214"/>
      <c r="HX270" s="214"/>
      <c r="HY270" s="214"/>
      <c r="HZ270" s="214"/>
      <c r="IA270" s="214"/>
      <c r="IB270" s="214"/>
      <c r="IC270" s="214"/>
      <c r="ID270" s="214"/>
      <c r="IE270" s="214"/>
      <c r="IF270" s="214"/>
      <c r="IG270" s="214"/>
      <c r="IH270" s="214"/>
      <c r="II270" s="214"/>
      <c r="IJ270" s="214"/>
      <c r="IK270" s="214"/>
      <c r="IL270" s="214"/>
      <c r="IM270" s="214"/>
      <c r="IN270" s="214"/>
      <c r="IO270" s="214"/>
      <c r="IP270" s="214"/>
      <c r="IQ270" s="214"/>
      <c r="IR270" s="214"/>
    </row>
    <row r="271" spans="13:252" ht="16.2" hidden="1" thickTop="1" thickBot="1">
      <c r="M271" s="214"/>
      <c r="N271" s="214"/>
      <c r="O271" s="214"/>
      <c r="P271" s="214"/>
      <c r="Q271" s="214"/>
      <c r="R271" s="214"/>
      <c r="S271" s="214"/>
      <c r="T271" s="214"/>
      <c r="U271" s="214"/>
      <c r="V271" s="214"/>
      <c r="W271" s="214"/>
      <c r="X271" s="214"/>
      <c r="Y271" s="214"/>
      <c r="Z271" s="214"/>
      <c r="AA271" s="214"/>
      <c r="AB271" s="214"/>
      <c r="AC271" s="214"/>
      <c r="AD271" s="214"/>
      <c r="AE271" s="214"/>
      <c r="AF271" s="214"/>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c r="BI271" s="214"/>
      <c r="BJ271" s="214"/>
      <c r="BK271" s="214"/>
      <c r="BL271" s="214"/>
      <c r="BM271" s="214"/>
      <c r="BN271" s="214"/>
      <c r="BO271" s="214"/>
      <c r="BP271" s="214"/>
      <c r="BQ271" s="214"/>
      <c r="BR271" s="214"/>
      <c r="BS271" s="214"/>
      <c r="BT271" s="214"/>
      <c r="BU271" s="214"/>
      <c r="BV271" s="214"/>
      <c r="BW271" s="214"/>
      <c r="BX271" s="214"/>
      <c r="BY271" s="214"/>
      <c r="BZ271" s="214"/>
      <c r="CA271" s="214"/>
      <c r="CB271" s="214"/>
      <c r="CC271" s="214"/>
      <c r="CD271" s="214"/>
      <c r="CE271" s="214"/>
      <c r="CF271" s="214"/>
      <c r="CG271" s="214"/>
      <c r="CH271" s="214"/>
      <c r="CI271" s="214"/>
      <c r="CJ271" s="214"/>
      <c r="CK271" s="214"/>
      <c r="CL271" s="214"/>
      <c r="CM271" s="214"/>
      <c r="CN271" s="214"/>
      <c r="CO271" s="214"/>
      <c r="CP271" s="214"/>
      <c r="CQ271" s="214"/>
      <c r="CR271" s="214"/>
      <c r="CS271" s="214"/>
      <c r="CT271" s="214"/>
      <c r="CU271" s="214"/>
      <c r="CV271" s="214"/>
      <c r="CW271" s="214"/>
      <c r="CX271" s="214"/>
      <c r="CY271" s="214"/>
      <c r="CZ271" s="214"/>
      <c r="DA271" s="214"/>
      <c r="DB271" s="214"/>
      <c r="DC271" s="214"/>
      <c r="DD271" s="214"/>
      <c r="DE271" s="214"/>
      <c r="DF271" s="214"/>
      <c r="DG271" s="214"/>
      <c r="DH271" s="214"/>
      <c r="DI271" s="214"/>
      <c r="DJ271" s="214"/>
      <c r="DK271" s="214"/>
      <c r="DL271" s="214"/>
      <c r="DM271" s="214"/>
      <c r="DN271" s="214"/>
      <c r="DO271" s="214"/>
      <c r="DP271" s="214"/>
      <c r="DQ271" s="214"/>
      <c r="DR271" s="214"/>
      <c r="DS271" s="214"/>
      <c r="DT271" s="214"/>
      <c r="DU271" s="214"/>
      <c r="DV271" s="214"/>
      <c r="DW271" s="214"/>
      <c r="DX271" s="214"/>
      <c r="DY271" s="214"/>
      <c r="DZ271" s="214"/>
      <c r="EA271" s="214"/>
      <c r="EB271" s="214"/>
      <c r="EC271" s="214"/>
      <c r="ED271" s="214"/>
      <c r="EE271" s="214"/>
      <c r="EF271" s="214"/>
      <c r="EG271" s="214"/>
      <c r="EH271" s="214"/>
      <c r="EI271" s="214"/>
      <c r="EJ271" s="214"/>
      <c r="EK271" s="214"/>
      <c r="EL271" s="214"/>
      <c r="EM271" s="214"/>
      <c r="EN271" s="214"/>
      <c r="EO271" s="214"/>
      <c r="EP271" s="214"/>
      <c r="EQ271" s="214"/>
      <c r="ER271" s="214"/>
      <c r="ES271" s="214"/>
      <c r="ET271" s="214"/>
      <c r="EU271" s="214"/>
      <c r="EV271" s="214"/>
      <c r="EW271" s="214"/>
      <c r="EX271" s="214"/>
      <c r="EY271" s="214"/>
      <c r="EZ271" s="214"/>
      <c r="FA271" s="214"/>
      <c r="FB271" s="214"/>
      <c r="FC271" s="214"/>
      <c r="FD271" s="214"/>
      <c r="FE271" s="214"/>
      <c r="FF271" s="214"/>
      <c r="FG271" s="214"/>
      <c r="FH271" s="214"/>
      <c r="FI271" s="214"/>
      <c r="FJ271" s="214"/>
      <c r="FK271" s="214"/>
      <c r="FL271" s="214"/>
      <c r="FM271" s="214"/>
      <c r="FN271" s="214"/>
      <c r="FO271" s="214"/>
      <c r="FP271" s="214"/>
      <c r="FQ271" s="214"/>
      <c r="FR271" s="214"/>
      <c r="FS271" s="214"/>
      <c r="FT271" s="214"/>
      <c r="FU271" s="214"/>
      <c r="FV271" s="214"/>
      <c r="FW271" s="214"/>
      <c r="FX271" s="214"/>
      <c r="FY271" s="214"/>
      <c r="FZ271" s="214"/>
      <c r="GA271" s="214"/>
      <c r="GB271" s="214"/>
      <c r="GC271" s="214"/>
      <c r="GD271" s="214"/>
      <c r="GE271" s="214"/>
      <c r="GF271" s="214"/>
      <c r="GG271" s="214"/>
      <c r="GH271" s="214"/>
      <c r="GI271" s="214"/>
      <c r="GJ271" s="214"/>
      <c r="GK271" s="214"/>
      <c r="GL271" s="214"/>
      <c r="GM271" s="214"/>
      <c r="GN271" s="214"/>
      <c r="GO271" s="214"/>
      <c r="GP271" s="214"/>
      <c r="GQ271" s="214"/>
      <c r="GR271" s="214"/>
      <c r="GS271" s="214"/>
      <c r="GT271" s="214"/>
      <c r="GU271" s="214"/>
      <c r="GV271" s="214"/>
      <c r="GW271" s="214"/>
      <c r="GX271" s="214"/>
      <c r="GY271" s="214"/>
      <c r="GZ271" s="214"/>
      <c r="HA271" s="214"/>
      <c r="HB271" s="214"/>
      <c r="HC271" s="214"/>
      <c r="HD271" s="214"/>
      <c r="HE271" s="214"/>
      <c r="HF271" s="214"/>
      <c r="HG271" s="214"/>
      <c r="HH271" s="214"/>
      <c r="HI271" s="214"/>
      <c r="HJ271" s="214"/>
      <c r="HK271" s="214"/>
      <c r="HL271" s="214"/>
      <c r="HM271" s="214"/>
      <c r="HN271" s="214"/>
      <c r="HO271" s="214"/>
      <c r="HP271" s="214"/>
      <c r="HQ271" s="214"/>
      <c r="HR271" s="214"/>
      <c r="HS271" s="214"/>
      <c r="HT271" s="214"/>
      <c r="HU271" s="214"/>
      <c r="HV271" s="214"/>
      <c r="HW271" s="214"/>
      <c r="HX271" s="214"/>
      <c r="HY271" s="214"/>
      <c r="HZ271" s="214"/>
      <c r="IA271" s="214"/>
      <c r="IB271" s="214"/>
      <c r="IC271" s="214"/>
      <c r="ID271" s="214"/>
      <c r="IE271" s="214"/>
      <c r="IF271" s="214"/>
      <c r="IG271" s="214"/>
      <c r="IH271" s="214"/>
      <c r="II271" s="214"/>
      <c r="IJ271" s="214"/>
      <c r="IK271" s="214"/>
      <c r="IL271" s="214"/>
      <c r="IM271" s="214"/>
      <c r="IN271" s="214"/>
      <c r="IO271" s="214"/>
      <c r="IP271" s="214"/>
      <c r="IQ271" s="214"/>
      <c r="IR271" s="214"/>
    </row>
    <row r="272" spans="13:252" ht="16.2" hidden="1" thickTop="1" thickBot="1">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c r="BT272" s="214"/>
      <c r="BU272" s="214"/>
      <c r="BV272" s="214"/>
      <c r="BW272" s="214"/>
      <c r="BX272" s="214"/>
      <c r="BY272" s="214"/>
      <c r="BZ272" s="214"/>
      <c r="CA272" s="214"/>
      <c r="CB272" s="214"/>
      <c r="CC272" s="214"/>
      <c r="CD272" s="214"/>
      <c r="CE272" s="214"/>
      <c r="CF272" s="214"/>
      <c r="CG272" s="214"/>
      <c r="CH272" s="214"/>
      <c r="CI272" s="214"/>
      <c r="CJ272" s="214"/>
      <c r="CK272" s="214"/>
      <c r="CL272" s="214"/>
      <c r="CM272" s="214"/>
      <c r="CN272" s="214"/>
      <c r="CO272" s="214"/>
      <c r="CP272" s="214"/>
      <c r="CQ272" s="214"/>
      <c r="CR272" s="214"/>
      <c r="CS272" s="214"/>
      <c r="CT272" s="214"/>
      <c r="CU272" s="214"/>
      <c r="CV272" s="214"/>
      <c r="CW272" s="214"/>
      <c r="CX272" s="214"/>
      <c r="CY272" s="214"/>
      <c r="CZ272" s="214"/>
      <c r="DA272" s="214"/>
      <c r="DB272" s="214"/>
      <c r="DC272" s="214"/>
      <c r="DD272" s="214"/>
      <c r="DE272" s="214"/>
      <c r="DF272" s="214"/>
      <c r="DG272" s="214"/>
      <c r="DH272" s="214"/>
      <c r="DI272" s="214"/>
      <c r="DJ272" s="214"/>
      <c r="DK272" s="214"/>
      <c r="DL272" s="214"/>
      <c r="DM272" s="214"/>
      <c r="DN272" s="214"/>
      <c r="DO272" s="214"/>
      <c r="DP272" s="214"/>
      <c r="DQ272" s="214"/>
      <c r="DR272" s="214"/>
      <c r="DS272" s="214"/>
      <c r="DT272" s="214"/>
      <c r="DU272" s="214"/>
      <c r="DV272" s="214"/>
      <c r="DW272" s="214"/>
      <c r="DX272" s="214"/>
      <c r="DY272" s="214"/>
      <c r="DZ272" s="214"/>
      <c r="EA272" s="214"/>
      <c r="EB272" s="214"/>
      <c r="EC272" s="214"/>
      <c r="ED272" s="214"/>
      <c r="EE272" s="214"/>
      <c r="EF272" s="214"/>
      <c r="EG272" s="214"/>
      <c r="EH272" s="214"/>
      <c r="EI272" s="214"/>
      <c r="EJ272" s="214"/>
      <c r="EK272" s="214"/>
      <c r="EL272" s="214"/>
      <c r="EM272" s="214"/>
      <c r="EN272" s="214"/>
      <c r="EO272" s="214"/>
      <c r="EP272" s="214"/>
      <c r="EQ272" s="214"/>
      <c r="ER272" s="214"/>
      <c r="ES272" s="214"/>
      <c r="ET272" s="214"/>
      <c r="EU272" s="214"/>
      <c r="EV272" s="214"/>
      <c r="EW272" s="214"/>
      <c r="EX272" s="214"/>
      <c r="EY272" s="214"/>
      <c r="EZ272" s="214"/>
      <c r="FA272" s="214"/>
      <c r="FB272" s="214"/>
      <c r="FC272" s="214"/>
      <c r="FD272" s="214"/>
      <c r="FE272" s="214"/>
      <c r="FF272" s="214"/>
      <c r="FG272" s="214"/>
      <c r="FH272" s="214"/>
      <c r="FI272" s="214"/>
      <c r="FJ272" s="214"/>
      <c r="FK272" s="214"/>
      <c r="FL272" s="214"/>
      <c r="FM272" s="214"/>
      <c r="FN272" s="214"/>
      <c r="FO272" s="214"/>
      <c r="FP272" s="214"/>
      <c r="FQ272" s="214"/>
      <c r="FR272" s="214"/>
      <c r="FS272" s="214"/>
      <c r="FT272" s="214"/>
      <c r="FU272" s="214"/>
      <c r="FV272" s="214"/>
      <c r="FW272" s="214"/>
      <c r="FX272" s="214"/>
      <c r="FY272" s="214"/>
      <c r="FZ272" s="214"/>
      <c r="GA272" s="214"/>
      <c r="GB272" s="214"/>
      <c r="GC272" s="214"/>
      <c r="GD272" s="214"/>
      <c r="GE272" s="214"/>
      <c r="GF272" s="214"/>
      <c r="GG272" s="214"/>
      <c r="GH272" s="214"/>
      <c r="GI272" s="214"/>
      <c r="GJ272" s="214"/>
      <c r="GK272" s="214"/>
      <c r="GL272" s="214"/>
      <c r="GM272" s="214"/>
      <c r="GN272" s="214"/>
      <c r="GO272" s="214"/>
      <c r="GP272" s="214"/>
      <c r="GQ272" s="214"/>
      <c r="GR272" s="214"/>
      <c r="GS272" s="214"/>
      <c r="GT272" s="214"/>
      <c r="GU272" s="214"/>
      <c r="GV272" s="214"/>
      <c r="GW272" s="214"/>
      <c r="GX272" s="214"/>
      <c r="GY272" s="214"/>
      <c r="GZ272" s="214"/>
      <c r="HA272" s="214"/>
      <c r="HB272" s="214"/>
      <c r="HC272" s="214"/>
      <c r="HD272" s="214"/>
      <c r="HE272" s="214"/>
      <c r="HF272" s="214"/>
      <c r="HG272" s="214"/>
      <c r="HH272" s="214"/>
      <c r="HI272" s="214"/>
      <c r="HJ272" s="214"/>
      <c r="HK272" s="214"/>
      <c r="HL272" s="214"/>
      <c r="HM272" s="214"/>
      <c r="HN272" s="214"/>
      <c r="HO272" s="214"/>
      <c r="HP272" s="214"/>
      <c r="HQ272" s="214"/>
      <c r="HR272" s="214"/>
      <c r="HS272" s="214"/>
      <c r="HT272" s="214"/>
      <c r="HU272" s="214"/>
      <c r="HV272" s="214"/>
      <c r="HW272" s="214"/>
      <c r="HX272" s="214"/>
      <c r="HY272" s="214"/>
      <c r="HZ272" s="214"/>
      <c r="IA272" s="214"/>
      <c r="IB272" s="214"/>
      <c r="IC272" s="214"/>
      <c r="ID272" s="214"/>
      <c r="IE272" s="214"/>
      <c r="IF272" s="214"/>
      <c r="IG272" s="214"/>
      <c r="IH272" s="214"/>
      <c r="II272" s="214"/>
      <c r="IJ272" s="214"/>
      <c r="IK272" s="214"/>
      <c r="IL272" s="214"/>
      <c r="IM272" s="214"/>
      <c r="IN272" s="214"/>
      <c r="IO272" s="214"/>
      <c r="IP272" s="214"/>
      <c r="IQ272" s="214"/>
      <c r="IR272" s="214"/>
    </row>
    <row r="273" spans="13:252" ht="16.2" hidden="1" thickTop="1" thickBot="1">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4"/>
      <c r="BL273" s="214"/>
      <c r="BM273" s="214"/>
      <c r="BN273" s="214"/>
      <c r="BO273" s="214"/>
      <c r="BP273" s="214"/>
      <c r="BQ273" s="214"/>
      <c r="BR273" s="214"/>
      <c r="BS273" s="214"/>
      <c r="BT273" s="214"/>
      <c r="BU273" s="214"/>
      <c r="BV273" s="214"/>
      <c r="BW273" s="214"/>
      <c r="BX273" s="214"/>
      <c r="BY273" s="214"/>
      <c r="BZ273" s="214"/>
      <c r="CA273" s="214"/>
      <c r="CB273" s="214"/>
      <c r="CC273" s="214"/>
      <c r="CD273" s="214"/>
      <c r="CE273" s="214"/>
      <c r="CF273" s="214"/>
      <c r="CG273" s="214"/>
      <c r="CH273" s="214"/>
      <c r="CI273" s="214"/>
      <c r="CJ273" s="214"/>
      <c r="CK273" s="214"/>
      <c r="CL273" s="214"/>
      <c r="CM273" s="214"/>
      <c r="CN273" s="214"/>
      <c r="CO273" s="214"/>
      <c r="CP273" s="214"/>
      <c r="CQ273" s="214"/>
      <c r="CR273" s="214"/>
      <c r="CS273" s="214"/>
      <c r="CT273" s="214"/>
      <c r="CU273" s="214"/>
      <c r="CV273" s="214"/>
      <c r="CW273" s="214"/>
      <c r="CX273" s="214"/>
      <c r="CY273" s="214"/>
      <c r="CZ273" s="214"/>
      <c r="DA273" s="214"/>
      <c r="DB273" s="214"/>
      <c r="DC273" s="214"/>
      <c r="DD273" s="214"/>
      <c r="DE273" s="214"/>
      <c r="DF273" s="214"/>
      <c r="DG273" s="214"/>
      <c r="DH273" s="214"/>
      <c r="DI273" s="214"/>
      <c r="DJ273" s="214"/>
      <c r="DK273" s="214"/>
      <c r="DL273" s="214"/>
      <c r="DM273" s="214"/>
      <c r="DN273" s="214"/>
      <c r="DO273" s="214"/>
      <c r="DP273" s="214"/>
      <c r="DQ273" s="214"/>
      <c r="DR273" s="214"/>
      <c r="DS273" s="214"/>
      <c r="DT273" s="214"/>
      <c r="DU273" s="214"/>
      <c r="DV273" s="214"/>
      <c r="DW273" s="214"/>
      <c r="DX273" s="214"/>
      <c r="DY273" s="214"/>
      <c r="DZ273" s="214"/>
      <c r="EA273" s="214"/>
      <c r="EB273" s="214"/>
      <c r="EC273" s="214"/>
      <c r="ED273" s="214"/>
      <c r="EE273" s="214"/>
      <c r="EF273" s="214"/>
      <c r="EG273" s="214"/>
      <c r="EH273" s="214"/>
      <c r="EI273" s="214"/>
      <c r="EJ273" s="214"/>
      <c r="EK273" s="214"/>
      <c r="EL273" s="214"/>
      <c r="EM273" s="214"/>
      <c r="EN273" s="214"/>
      <c r="EO273" s="214"/>
      <c r="EP273" s="214"/>
      <c r="EQ273" s="214"/>
      <c r="ER273" s="214"/>
      <c r="ES273" s="214"/>
      <c r="ET273" s="214"/>
      <c r="EU273" s="214"/>
      <c r="EV273" s="214"/>
      <c r="EW273" s="214"/>
      <c r="EX273" s="214"/>
      <c r="EY273" s="214"/>
      <c r="EZ273" s="214"/>
      <c r="FA273" s="214"/>
      <c r="FB273" s="214"/>
      <c r="FC273" s="214"/>
      <c r="FD273" s="214"/>
      <c r="FE273" s="214"/>
      <c r="FF273" s="214"/>
      <c r="FG273" s="214"/>
      <c r="FH273" s="214"/>
      <c r="FI273" s="214"/>
      <c r="FJ273" s="214"/>
      <c r="FK273" s="214"/>
      <c r="FL273" s="214"/>
      <c r="FM273" s="214"/>
      <c r="FN273" s="214"/>
      <c r="FO273" s="214"/>
      <c r="FP273" s="214"/>
      <c r="FQ273" s="214"/>
      <c r="FR273" s="214"/>
      <c r="FS273" s="214"/>
      <c r="FT273" s="214"/>
      <c r="FU273" s="214"/>
      <c r="FV273" s="214"/>
      <c r="FW273" s="214"/>
      <c r="FX273" s="214"/>
      <c r="FY273" s="214"/>
      <c r="FZ273" s="214"/>
      <c r="GA273" s="214"/>
      <c r="GB273" s="214"/>
      <c r="GC273" s="214"/>
      <c r="GD273" s="214"/>
      <c r="GE273" s="214"/>
      <c r="GF273" s="214"/>
      <c r="GG273" s="214"/>
      <c r="GH273" s="214"/>
      <c r="GI273" s="214"/>
      <c r="GJ273" s="214"/>
      <c r="GK273" s="214"/>
      <c r="GL273" s="214"/>
      <c r="GM273" s="214"/>
      <c r="GN273" s="214"/>
      <c r="GO273" s="214"/>
      <c r="GP273" s="214"/>
      <c r="GQ273" s="214"/>
      <c r="GR273" s="214"/>
      <c r="GS273" s="214"/>
      <c r="GT273" s="214"/>
      <c r="GU273" s="214"/>
      <c r="GV273" s="214"/>
      <c r="GW273" s="214"/>
      <c r="GX273" s="214"/>
      <c r="GY273" s="214"/>
      <c r="GZ273" s="214"/>
      <c r="HA273" s="214"/>
      <c r="HB273" s="214"/>
      <c r="HC273" s="214"/>
      <c r="HD273" s="214"/>
      <c r="HE273" s="214"/>
      <c r="HF273" s="214"/>
      <c r="HG273" s="214"/>
      <c r="HH273" s="214"/>
      <c r="HI273" s="214"/>
      <c r="HJ273" s="214"/>
      <c r="HK273" s="214"/>
      <c r="HL273" s="214"/>
      <c r="HM273" s="214"/>
      <c r="HN273" s="214"/>
      <c r="HO273" s="214"/>
      <c r="HP273" s="214"/>
      <c r="HQ273" s="214"/>
      <c r="HR273" s="214"/>
      <c r="HS273" s="214"/>
      <c r="HT273" s="214"/>
      <c r="HU273" s="214"/>
      <c r="HV273" s="214"/>
      <c r="HW273" s="214"/>
      <c r="HX273" s="214"/>
      <c r="HY273" s="214"/>
      <c r="HZ273" s="214"/>
      <c r="IA273" s="214"/>
      <c r="IB273" s="214"/>
      <c r="IC273" s="214"/>
      <c r="ID273" s="214"/>
      <c r="IE273" s="214"/>
      <c r="IF273" s="214"/>
      <c r="IG273" s="214"/>
      <c r="IH273" s="214"/>
      <c r="II273" s="214"/>
      <c r="IJ273" s="214"/>
      <c r="IK273" s="214"/>
      <c r="IL273" s="214"/>
      <c r="IM273" s="214"/>
      <c r="IN273" s="214"/>
      <c r="IO273" s="214"/>
      <c r="IP273" s="214"/>
      <c r="IQ273" s="214"/>
      <c r="IR273" s="214"/>
    </row>
    <row r="274" spans="13:252" ht="16.2" hidden="1" thickTop="1" thickBot="1">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214"/>
      <c r="BK274" s="214"/>
      <c r="BL274" s="214"/>
      <c r="BM274" s="214"/>
      <c r="BN274" s="214"/>
      <c r="BO274" s="214"/>
      <c r="BP274" s="214"/>
      <c r="BQ274" s="214"/>
      <c r="BR274" s="214"/>
      <c r="BS274" s="214"/>
      <c r="BT274" s="214"/>
      <c r="BU274" s="214"/>
      <c r="BV274" s="214"/>
      <c r="BW274" s="214"/>
      <c r="BX274" s="214"/>
      <c r="BY274" s="214"/>
      <c r="BZ274" s="214"/>
      <c r="CA274" s="214"/>
      <c r="CB274" s="214"/>
      <c r="CC274" s="214"/>
      <c r="CD274" s="214"/>
      <c r="CE274" s="214"/>
      <c r="CF274" s="214"/>
      <c r="CG274" s="214"/>
      <c r="CH274" s="214"/>
      <c r="CI274" s="214"/>
      <c r="CJ274" s="214"/>
      <c r="CK274" s="214"/>
      <c r="CL274" s="214"/>
      <c r="CM274" s="214"/>
      <c r="CN274" s="214"/>
      <c r="CO274" s="214"/>
      <c r="CP274" s="214"/>
      <c r="CQ274" s="214"/>
      <c r="CR274" s="214"/>
      <c r="CS274" s="214"/>
      <c r="CT274" s="214"/>
      <c r="CU274" s="214"/>
      <c r="CV274" s="214"/>
      <c r="CW274" s="214"/>
      <c r="CX274" s="214"/>
      <c r="CY274" s="214"/>
      <c r="CZ274" s="214"/>
      <c r="DA274" s="214"/>
      <c r="DB274" s="214"/>
      <c r="DC274" s="214"/>
      <c r="DD274" s="214"/>
      <c r="DE274" s="214"/>
      <c r="DF274" s="214"/>
      <c r="DG274" s="214"/>
      <c r="DH274" s="214"/>
      <c r="DI274" s="214"/>
      <c r="DJ274" s="214"/>
      <c r="DK274" s="214"/>
      <c r="DL274" s="214"/>
      <c r="DM274" s="214"/>
      <c r="DN274" s="214"/>
      <c r="DO274" s="214"/>
      <c r="DP274" s="214"/>
      <c r="DQ274" s="214"/>
      <c r="DR274" s="214"/>
      <c r="DS274" s="214"/>
      <c r="DT274" s="214"/>
      <c r="DU274" s="214"/>
      <c r="DV274" s="214"/>
      <c r="DW274" s="214"/>
      <c r="DX274" s="214"/>
      <c r="DY274" s="214"/>
      <c r="DZ274" s="214"/>
      <c r="EA274" s="214"/>
      <c r="EB274" s="214"/>
      <c r="EC274" s="214"/>
      <c r="ED274" s="214"/>
      <c r="EE274" s="214"/>
      <c r="EF274" s="214"/>
      <c r="EG274" s="214"/>
      <c r="EH274" s="214"/>
      <c r="EI274" s="214"/>
      <c r="EJ274" s="214"/>
      <c r="EK274" s="214"/>
      <c r="EL274" s="214"/>
      <c r="EM274" s="214"/>
      <c r="EN274" s="214"/>
      <c r="EO274" s="214"/>
      <c r="EP274" s="214"/>
      <c r="EQ274" s="214"/>
      <c r="ER274" s="214"/>
      <c r="ES274" s="214"/>
      <c r="ET274" s="214"/>
      <c r="EU274" s="214"/>
      <c r="EV274" s="214"/>
      <c r="EW274" s="214"/>
      <c r="EX274" s="214"/>
      <c r="EY274" s="214"/>
      <c r="EZ274" s="214"/>
      <c r="FA274" s="214"/>
      <c r="FB274" s="214"/>
      <c r="FC274" s="214"/>
      <c r="FD274" s="214"/>
      <c r="FE274" s="214"/>
      <c r="FF274" s="214"/>
      <c r="FG274" s="214"/>
      <c r="FH274" s="214"/>
      <c r="FI274" s="214"/>
      <c r="FJ274" s="214"/>
      <c r="FK274" s="214"/>
      <c r="FL274" s="214"/>
      <c r="FM274" s="214"/>
      <c r="FN274" s="214"/>
      <c r="FO274" s="214"/>
      <c r="FP274" s="214"/>
      <c r="FQ274" s="214"/>
      <c r="FR274" s="214"/>
      <c r="FS274" s="214"/>
      <c r="FT274" s="214"/>
      <c r="FU274" s="214"/>
      <c r="FV274" s="214"/>
      <c r="FW274" s="214"/>
      <c r="FX274" s="214"/>
      <c r="FY274" s="214"/>
      <c r="FZ274" s="214"/>
      <c r="GA274" s="214"/>
      <c r="GB274" s="214"/>
      <c r="GC274" s="214"/>
      <c r="GD274" s="214"/>
      <c r="GE274" s="214"/>
      <c r="GF274" s="214"/>
      <c r="GG274" s="214"/>
      <c r="GH274" s="214"/>
      <c r="GI274" s="214"/>
      <c r="GJ274" s="214"/>
      <c r="GK274" s="214"/>
      <c r="GL274" s="214"/>
      <c r="GM274" s="214"/>
      <c r="GN274" s="214"/>
      <c r="GO274" s="214"/>
      <c r="GP274" s="214"/>
      <c r="GQ274" s="214"/>
      <c r="GR274" s="214"/>
      <c r="GS274" s="214"/>
      <c r="GT274" s="214"/>
      <c r="GU274" s="214"/>
      <c r="GV274" s="214"/>
      <c r="GW274" s="214"/>
      <c r="GX274" s="214"/>
      <c r="GY274" s="214"/>
      <c r="GZ274" s="214"/>
      <c r="HA274" s="214"/>
      <c r="HB274" s="214"/>
      <c r="HC274" s="214"/>
      <c r="HD274" s="214"/>
      <c r="HE274" s="214"/>
      <c r="HF274" s="214"/>
      <c r="HG274" s="214"/>
      <c r="HH274" s="214"/>
      <c r="HI274" s="214"/>
      <c r="HJ274" s="214"/>
      <c r="HK274" s="214"/>
      <c r="HL274" s="214"/>
      <c r="HM274" s="214"/>
      <c r="HN274" s="214"/>
      <c r="HO274" s="214"/>
      <c r="HP274" s="214"/>
      <c r="HQ274" s="214"/>
      <c r="HR274" s="214"/>
      <c r="HS274" s="214"/>
      <c r="HT274" s="214"/>
      <c r="HU274" s="214"/>
      <c r="HV274" s="214"/>
      <c r="HW274" s="214"/>
      <c r="HX274" s="214"/>
      <c r="HY274" s="214"/>
      <c r="HZ274" s="214"/>
      <c r="IA274" s="214"/>
      <c r="IB274" s="214"/>
      <c r="IC274" s="214"/>
      <c r="ID274" s="214"/>
      <c r="IE274" s="214"/>
      <c r="IF274" s="214"/>
      <c r="IG274" s="214"/>
      <c r="IH274" s="214"/>
      <c r="II274" s="214"/>
      <c r="IJ274" s="214"/>
      <c r="IK274" s="214"/>
      <c r="IL274" s="214"/>
      <c r="IM274" s="214"/>
      <c r="IN274" s="214"/>
      <c r="IO274" s="214"/>
      <c r="IP274" s="214"/>
      <c r="IQ274" s="214"/>
      <c r="IR274" s="214"/>
    </row>
    <row r="275" spans="13:252" ht="16.2" hidden="1" thickTop="1" thickBot="1">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14"/>
      <c r="BK275" s="214"/>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214"/>
      <c r="CM275" s="214"/>
      <c r="CN275" s="214"/>
      <c r="CO275" s="214"/>
      <c r="CP275" s="214"/>
      <c r="CQ275" s="214"/>
      <c r="CR275" s="214"/>
      <c r="CS275" s="214"/>
      <c r="CT275" s="214"/>
      <c r="CU275" s="214"/>
      <c r="CV275" s="214"/>
      <c r="CW275" s="214"/>
      <c r="CX275" s="214"/>
      <c r="CY275" s="214"/>
      <c r="CZ275" s="214"/>
      <c r="DA275" s="214"/>
      <c r="DB275" s="214"/>
      <c r="DC275" s="214"/>
      <c r="DD275" s="214"/>
      <c r="DE275" s="214"/>
      <c r="DF275" s="214"/>
      <c r="DG275" s="214"/>
      <c r="DH275" s="214"/>
      <c r="DI275" s="214"/>
      <c r="DJ275" s="214"/>
      <c r="DK275" s="214"/>
      <c r="DL275" s="214"/>
      <c r="DM275" s="214"/>
      <c r="DN275" s="214"/>
      <c r="DO275" s="214"/>
      <c r="DP275" s="214"/>
      <c r="DQ275" s="214"/>
      <c r="DR275" s="214"/>
      <c r="DS275" s="214"/>
      <c r="DT275" s="214"/>
      <c r="DU275" s="214"/>
      <c r="DV275" s="214"/>
      <c r="DW275" s="214"/>
      <c r="DX275" s="214"/>
      <c r="DY275" s="214"/>
      <c r="DZ275" s="214"/>
      <c r="EA275" s="214"/>
      <c r="EB275" s="214"/>
      <c r="EC275" s="214"/>
      <c r="ED275" s="214"/>
      <c r="EE275" s="214"/>
      <c r="EF275" s="214"/>
      <c r="EG275" s="214"/>
      <c r="EH275" s="214"/>
      <c r="EI275" s="214"/>
      <c r="EJ275" s="214"/>
      <c r="EK275" s="214"/>
      <c r="EL275" s="214"/>
      <c r="EM275" s="214"/>
      <c r="EN275" s="214"/>
      <c r="EO275" s="214"/>
      <c r="EP275" s="214"/>
      <c r="EQ275" s="214"/>
      <c r="ER275" s="214"/>
      <c r="ES275" s="214"/>
      <c r="ET275" s="214"/>
      <c r="EU275" s="214"/>
      <c r="EV275" s="214"/>
      <c r="EW275" s="214"/>
      <c r="EX275" s="214"/>
      <c r="EY275" s="214"/>
      <c r="EZ275" s="214"/>
      <c r="FA275" s="214"/>
      <c r="FB275" s="214"/>
      <c r="FC275" s="214"/>
      <c r="FD275" s="214"/>
      <c r="FE275" s="214"/>
      <c r="FF275" s="214"/>
      <c r="FG275" s="214"/>
      <c r="FH275" s="214"/>
      <c r="FI275" s="214"/>
      <c r="FJ275" s="214"/>
      <c r="FK275" s="214"/>
      <c r="FL275" s="214"/>
      <c r="FM275" s="214"/>
      <c r="FN275" s="214"/>
      <c r="FO275" s="214"/>
      <c r="FP275" s="214"/>
      <c r="FQ275" s="214"/>
      <c r="FR275" s="214"/>
      <c r="FS275" s="214"/>
      <c r="FT275" s="214"/>
      <c r="FU275" s="214"/>
      <c r="FV275" s="214"/>
      <c r="FW275" s="214"/>
      <c r="FX275" s="214"/>
      <c r="FY275" s="214"/>
      <c r="FZ275" s="214"/>
      <c r="GA275" s="214"/>
      <c r="GB275" s="214"/>
      <c r="GC275" s="214"/>
      <c r="GD275" s="214"/>
      <c r="GE275" s="214"/>
      <c r="GF275" s="214"/>
      <c r="GG275" s="214"/>
      <c r="GH275" s="214"/>
      <c r="GI275" s="214"/>
      <c r="GJ275" s="214"/>
      <c r="GK275" s="214"/>
      <c r="GL275" s="214"/>
      <c r="GM275" s="214"/>
      <c r="GN275" s="214"/>
      <c r="GO275" s="214"/>
      <c r="GP275" s="214"/>
      <c r="GQ275" s="214"/>
      <c r="GR275" s="214"/>
      <c r="GS275" s="214"/>
      <c r="GT275" s="214"/>
      <c r="GU275" s="214"/>
      <c r="GV275" s="214"/>
      <c r="GW275" s="214"/>
      <c r="GX275" s="214"/>
      <c r="GY275" s="214"/>
      <c r="GZ275" s="214"/>
      <c r="HA275" s="214"/>
      <c r="HB275" s="214"/>
      <c r="HC275" s="214"/>
      <c r="HD275" s="214"/>
      <c r="HE275" s="214"/>
      <c r="HF275" s="214"/>
      <c r="HG275" s="214"/>
      <c r="HH275" s="214"/>
      <c r="HI275" s="214"/>
      <c r="HJ275" s="214"/>
      <c r="HK275" s="214"/>
      <c r="HL275" s="214"/>
      <c r="HM275" s="214"/>
      <c r="HN275" s="214"/>
      <c r="HO275" s="214"/>
      <c r="HP275" s="214"/>
      <c r="HQ275" s="214"/>
      <c r="HR275" s="214"/>
      <c r="HS275" s="214"/>
      <c r="HT275" s="214"/>
      <c r="HU275" s="214"/>
      <c r="HV275" s="214"/>
      <c r="HW275" s="214"/>
      <c r="HX275" s="214"/>
      <c r="HY275" s="214"/>
      <c r="HZ275" s="214"/>
      <c r="IA275" s="214"/>
      <c r="IB275" s="214"/>
      <c r="IC275" s="214"/>
      <c r="ID275" s="214"/>
      <c r="IE275" s="214"/>
      <c r="IF275" s="214"/>
      <c r="IG275" s="214"/>
      <c r="IH275" s="214"/>
      <c r="II275" s="214"/>
      <c r="IJ275" s="214"/>
      <c r="IK275" s="214"/>
      <c r="IL275" s="214"/>
      <c r="IM275" s="214"/>
      <c r="IN275" s="214"/>
      <c r="IO275" s="214"/>
      <c r="IP275" s="214"/>
      <c r="IQ275" s="214"/>
      <c r="IR275" s="214"/>
    </row>
    <row r="276" spans="13:252" ht="16.2" hidden="1" thickTop="1" thickBot="1">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4"/>
      <c r="BL276" s="214"/>
      <c r="BM276" s="214"/>
      <c r="BN276" s="214"/>
      <c r="BO276" s="214"/>
      <c r="BP276" s="214"/>
      <c r="BQ276" s="214"/>
      <c r="BR276" s="214"/>
      <c r="BS276" s="214"/>
      <c r="BT276" s="214"/>
      <c r="BU276" s="214"/>
      <c r="BV276" s="214"/>
      <c r="BW276" s="214"/>
      <c r="BX276" s="214"/>
      <c r="BY276" s="214"/>
      <c r="BZ276" s="214"/>
      <c r="CA276" s="214"/>
      <c r="CB276" s="214"/>
      <c r="CC276" s="214"/>
      <c r="CD276" s="214"/>
      <c r="CE276" s="214"/>
      <c r="CF276" s="214"/>
      <c r="CG276" s="214"/>
      <c r="CH276" s="214"/>
      <c r="CI276" s="214"/>
      <c r="CJ276" s="214"/>
      <c r="CK276" s="214"/>
      <c r="CL276" s="214"/>
      <c r="CM276" s="214"/>
      <c r="CN276" s="214"/>
      <c r="CO276" s="214"/>
      <c r="CP276" s="214"/>
      <c r="CQ276" s="214"/>
      <c r="CR276" s="214"/>
      <c r="CS276" s="214"/>
      <c r="CT276" s="214"/>
      <c r="CU276" s="214"/>
      <c r="CV276" s="214"/>
      <c r="CW276" s="214"/>
      <c r="CX276" s="214"/>
      <c r="CY276" s="214"/>
      <c r="CZ276" s="214"/>
      <c r="DA276" s="214"/>
      <c r="DB276" s="214"/>
      <c r="DC276" s="214"/>
      <c r="DD276" s="214"/>
      <c r="DE276" s="214"/>
      <c r="DF276" s="214"/>
      <c r="DG276" s="214"/>
      <c r="DH276" s="214"/>
      <c r="DI276" s="214"/>
      <c r="DJ276" s="214"/>
      <c r="DK276" s="214"/>
      <c r="DL276" s="214"/>
      <c r="DM276" s="214"/>
      <c r="DN276" s="214"/>
      <c r="DO276" s="214"/>
      <c r="DP276" s="214"/>
      <c r="DQ276" s="214"/>
      <c r="DR276" s="214"/>
      <c r="DS276" s="214"/>
      <c r="DT276" s="214"/>
      <c r="DU276" s="214"/>
      <c r="DV276" s="214"/>
      <c r="DW276" s="214"/>
      <c r="DX276" s="214"/>
      <c r="DY276" s="214"/>
      <c r="DZ276" s="214"/>
      <c r="EA276" s="214"/>
      <c r="EB276" s="214"/>
      <c r="EC276" s="214"/>
      <c r="ED276" s="214"/>
      <c r="EE276" s="214"/>
      <c r="EF276" s="214"/>
      <c r="EG276" s="214"/>
      <c r="EH276" s="214"/>
      <c r="EI276" s="214"/>
      <c r="EJ276" s="214"/>
      <c r="EK276" s="214"/>
      <c r="EL276" s="214"/>
      <c r="EM276" s="214"/>
      <c r="EN276" s="214"/>
      <c r="EO276" s="214"/>
      <c r="EP276" s="214"/>
      <c r="EQ276" s="214"/>
      <c r="ER276" s="214"/>
      <c r="ES276" s="214"/>
      <c r="ET276" s="214"/>
      <c r="EU276" s="214"/>
      <c r="EV276" s="214"/>
      <c r="EW276" s="214"/>
      <c r="EX276" s="214"/>
      <c r="EY276" s="214"/>
      <c r="EZ276" s="214"/>
      <c r="FA276" s="214"/>
      <c r="FB276" s="214"/>
      <c r="FC276" s="214"/>
      <c r="FD276" s="214"/>
      <c r="FE276" s="214"/>
      <c r="FF276" s="214"/>
      <c r="FG276" s="214"/>
      <c r="FH276" s="214"/>
      <c r="FI276" s="214"/>
      <c r="FJ276" s="214"/>
      <c r="FK276" s="214"/>
      <c r="FL276" s="214"/>
      <c r="FM276" s="214"/>
      <c r="FN276" s="214"/>
      <c r="FO276" s="214"/>
      <c r="FP276" s="214"/>
      <c r="FQ276" s="214"/>
      <c r="FR276" s="214"/>
      <c r="FS276" s="214"/>
      <c r="FT276" s="214"/>
      <c r="FU276" s="214"/>
      <c r="FV276" s="214"/>
      <c r="FW276" s="214"/>
      <c r="FX276" s="214"/>
      <c r="FY276" s="214"/>
      <c r="FZ276" s="214"/>
      <c r="GA276" s="214"/>
      <c r="GB276" s="214"/>
      <c r="GC276" s="214"/>
      <c r="GD276" s="214"/>
      <c r="GE276" s="214"/>
      <c r="GF276" s="214"/>
      <c r="GG276" s="214"/>
      <c r="GH276" s="214"/>
      <c r="GI276" s="214"/>
      <c r="GJ276" s="214"/>
      <c r="GK276" s="214"/>
      <c r="GL276" s="214"/>
      <c r="GM276" s="214"/>
      <c r="GN276" s="214"/>
      <c r="GO276" s="214"/>
      <c r="GP276" s="214"/>
      <c r="GQ276" s="214"/>
      <c r="GR276" s="214"/>
      <c r="GS276" s="214"/>
      <c r="GT276" s="214"/>
      <c r="GU276" s="214"/>
      <c r="GV276" s="214"/>
      <c r="GW276" s="214"/>
      <c r="GX276" s="214"/>
      <c r="GY276" s="214"/>
      <c r="GZ276" s="214"/>
      <c r="HA276" s="214"/>
      <c r="HB276" s="214"/>
      <c r="HC276" s="214"/>
      <c r="HD276" s="214"/>
      <c r="HE276" s="214"/>
      <c r="HF276" s="214"/>
      <c r="HG276" s="214"/>
      <c r="HH276" s="214"/>
      <c r="HI276" s="214"/>
      <c r="HJ276" s="214"/>
      <c r="HK276" s="214"/>
      <c r="HL276" s="214"/>
      <c r="HM276" s="214"/>
      <c r="HN276" s="214"/>
      <c r="HO276" s="214"/>
      <c r="HP276" s="214"/>
      <c r="HQ276" s="214"/>
      <c r="HR276" s="214"/>
      <c r="HS276" s="214"/>
      <c r="HT276" s="214"/>
      <c r="HU276" s="214"/>
      <c r="HV276" s="214"/>
      <c r="HW276" s="214"/>
      <c r="HX276" s="214"/>
      <c r="HY276" s="214"/>
      <c r="HZ276" s="214"/>
      <c r="IA276" s="214"/>
      <c r="IB276" s="214"/>
      <c r="IC276" s="214"/>
      <c r="ID276" s="214"/>
      <c r="IE276" s="214"/>
      <c r="IF276" s="214"/>
      <c r="IG276" s="214"/>
      <c r="IH276" s="214"/>
      <c r="II276" s="214"/>
      <c r="IJ276" s="214"/>
      <c r="IK276" s="214"/>
      <c r="IL276" s="214"/>
      <c r="IM276" s="214"/>
      <c r="IN276" s="214"/>
      <c r="IO276" s="214"/>
      <c r="IP276" s="214"/>
      <c r="IQ276" s="214"/>
      <c r="IR276" s="214"/>
    </row>
    <row r="277" spans="13:252" ht="16.2" hidden="1" thickTop="1" thickBot="1">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214"/>
      <c r="BK277" s="214"/>
      <c r="BL277" s="214"/>
      <c r="BM277" s="214"/>
      <c r="BN277" s="214"/>
      <c r="BO277" s="214"/>
      <c r="BP277" s="214"/>
      <c r="BQ277" s="214"/>
      <c r="BR277" s="214"/>
      <c r="BS277" s="214"/>
      <c r="BT277" s="214"/>
      <c r="BU277" s="214"/>
      <c r="BV277" s="214"/>
      <c r="BW277" s="214"/>
      <c r="BX277" s="214"/>
      <c r="BY277" s="214"/>
      <c r="BZ277" s="214"/>
      <c r="CA277" s="214"/>
      <c r="CB277" s="214"/>
      <c r="CC277" s="214"/>
      <c r="CD277" s="214"/>
      <c r="CE277" s="214"/>
      <c r="CF277" s="214"/>
      <c r="CG277" s="214"/>
      <c r="CH277" s="214"/>
      <c r="CI277" s="214"/>
      <c r="CJ277" s="214"/>
      <c r="CK277" s="214"/>
      <c r="CL277" s="214"/>
      <c r="CM277" s="214"/>
      <c r="CN277" s="214"/>
      <c r="CO277" s="214"/>
      <c r="CP277" s="214"/>
      <c r="CQ277" s="214"/>
      <c r="CR277" s="214"/>
      <c r="CS277" s="214"/>
      <c r="CT277" s="214"/>
      <c r="CU277" s="214"/>
      <c r="CV277" s="214"/>
      <c r="CW277" s="214"/>
      <c r="CX277" s="214"/>
      <c r="CY277" s="214"/>
      <c r="CZ277" s="214"/>
      <c r="DA277" s="214"/>
      <c r="DB277" s="214"/>
      <c r="DC277" s="214"/>
      <c r="DD277" s="214"/>
      <c r="DE277" s="214"/>
      <c r="DF277" s="214"/>
      <c r="DG277" s="214"/>
      <c r="DH277" s="214"/>
      <c r="DI277" s="214"/>
      <c r="DJ277" s="214"/>
      <c r="DK277" s="214"/>
      <c r="DL277" s="214"/>
      <c r="DM277" s="214"/>
      <c r="DN277" s="214"/>
      <c r="DO277" s="214"/>
      <c r="DP277" s="214"/>
      <c r="DQ277" s="214"/>
      <c r="DR277" s="214"/>
      <c r="DS277" s="214"/>
      <c r="DT277" s="214"/>
      <c r="DU277" s="214"/>
      <c r="DV277" s="214"/>
      <c r="DW277" s="214"/>
      <c r="DX277" s="214"/>
      <c r="DY277" s="214"/>
      <c r="DZ277" s="214"/>
      <c r="EA277" s="214"/>
      <c r="EB277" s="214"/>
      <c r="EC277" s="214"/>
      <c r="ED277" s="214"/>
      <c r="EE277" s="214"/>
      <c r="EF277" s="214"/>
      <c r="EG277" s="214"/>
      <c r="EH277" s="214"/>
      <c r="EI277" s="214"/>
      <c r="EJ277" s="214"/>
      <c r="EK277" s="214"/>
      <c r="EL277" s="214"/>
      <c r="EM277" s="214"/>
      <c r="EN277" s="214"/>
      <c r="EO277" s="214"/>
      <c r="EP277" s="214"/>
      <c r="EQ277" s="214"/>
      <c r="ER277" s="214"/>
      <c r="ES277" s="214"/>
      <c r="ET277" s="214"/>
      <c r="EU277" s="214"/>
      <c r="EV277" s="214"/>
      <c r="EW277" s="214"/>
      <c r="EX277" s="214"/>
      <c r="EY277" s="214"/>
      <c r="EZ277" s="214"/>
      <c r="FA277" s="214"/>
      <c r="FB277" s="214"/>
      <c r="FC277" s="214"/>
      <c r="FD277" s="214"/>
      <c r="FE277" s="214"/>
      <c r="FF277" s="214"/>
      <c r="FG277" s="214"/>
      <c r="FH277" s="214"/>
      <c r="FI277" s="214"/>
      <c r="FJ277" s="214"/>
      <c r="FK277" s="214"/>
      <c r="FL277" s="214"/>
      <c r="FM277" s="214"/>
      <c r="FN277" s="214"/>
      <c r="FO277" s="214"/>
      <c r="FP277" s="214"/>
      <c r="FQ277" s="214"/>
      <c r="FR277" s="214"/>
      <c r="FS277" s="214"/>
      <c r="FT277" s="214"/>
      <c r="FU277" s="214"/>
      <c r="FV277" s="214"/>
      <c r="FW277" s="214"/>
      <c r="FX277" s="214"/>
      <c r="FY277" s="214"/>
      <c r="FZ277" s="214"/>
      <c r="GA277" s="214"/>
      <c r="GB277" s="214"/>
      <c r="GC277" s="214"/>
      <c r="GD277" s="214"/>
      <c r="GE277" s="214"/>
      <c r="GF277" s="214"/>
      <c r="GG277" s="214"/>
      <c r="GH277" s="214"/>
      <c r="GI277" s="214"/>
      <c r="GJ277" s="214"/>
      <c r="GK277" s="214"/>
      <c r="GL277" s="214"/>
      <c r="GM277" s="214"/>
      <c r="GN277" s="214"/>
      <c r="GO277" s="214"/>
      <c r="GP277" s="214"/>
      <c r="GQ277" s="214"/>
      <c r="GR277" s="214"/>
      <c r="GS277" s="214"/>
      <c r="GT277" s="214"/>
      <c r="GU277" s="214"/>
      <c r="GV277" s="214"/>
      <c r="GW277" s="214"/>
      <c r="GX277" s="214"/>
      <c r="GY277" s="214"/>
      <c r="GZ277" s="214"/>
      <c r="HA277" s="214"/>
      <c r="HB277" s="214"/>
      <c r="HC277" s="214"/>
      <c r="HD277" s="214"/>
      <c r="HE277" s="214"/>
      <c r="HF277" s="214"/>
      <c r="HG277" s="214"/>
      <c r="HH277" s="214"/>
      <c r="HI277" s="214"/>
      <c r="HJ277" s="214"/>
      <c r="HK277" s="214"/>
      <c r="HL277" s="214"/>
      <c r="HM277" s="214"/>
      <c r="HN277" s="214"/>
      <c r="HO277" s="214"/>
      <c r="HP277" s="214"/>
      <c r="HQ277" s="214"/>
      <c r="HR277" s="214"/>
      <c r="HS277" s="214"/>
      <c r="HT277" s="214"/>
      <c r="HU277" s="214"/>
      <c r="HV277" s="214"/>
      <c r="HW277" s="214"/>
      <c r="HX277" s="214"/>
      <c r="HY277" s="214"/>
      <c r="HZ277" s="214"/>
      <c r="IA277" s="214"/>
      <c r="IB277" s="214"/>
      <c r="IC277" s="214"/>
      <c r="ID277" s="214"/>
      <c r="IE277" s="214"/>
      <c r="IF277" s="214"/>
      <c r="IG277" s="214"/>
      <c r="IH277" s="214"/>
      <c r="II277" s="214"/>
      <c r="IJ277" s="214"/>
      <c r="IK277" s="214"/>
      <c r="IL277" s="214"/>
      <c r="IM277" s="214"/>
      <c r="IN277" s="214"/>
      <c r="IO277" s="214"/>
      <c r="IP277" s="214"/>
      <c r="IQ277" s="214"/>
      <c r="IR277" s="214"/>
    </row>
    <row r="278" spans="13:252" ht="16.2" hidden="1" thickTop="1" thickBot="1">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214"/>
      <c r="BK278" s="214"/>
      <c r="BL278" s="214"/>
      <c r="BM278" s="214"/>
      <c r="BN278" s="214"/>
      <c r="BO278" s="214"/>
      <c r="BP278" s="214"/>
      <c r="BQ278" s="214"/>
      <c r="BR278" s="214"/>
      <c r="BS278" s="214"/>
      <c r="BT278" s="214"/>
      <c r="BU278" s="214"/>
      <c r="BV278" s="214"/>
      <c r="BW278" s="214"/>
      <c r="BX278" s="214"/>
      <c r="BY278" s="214"/>
      <c r="BZ278" s="214"/>
      <c r="CA278" s="214"/>
      <c r="CB278" s="214"/>
      <c r="CC278" s="214"/>
      <c r="CD278" s="214"/>
      <c r="CE278" s="214"/>
      <c r="CF278" s="214"/>
      <c r="CG278" s="214"/>
      <c r="CH278" s="214"/>
      <c r="CI278" s="214"/>
      <c r="CJ278" s="214"/>
      <c r="CK278" s="214"/>
      <c r="CL278" s="214"/>
      <c r="CM278" s="214"/>
      <c r="CN278" s="214"/>
      <c r="CO278" s="214"/>
      <c r="CP278" s="214"/>
      <c r="CQ278" s="214"/>
      <c r="CR278" s="214"/>
      <c r="CS278" s="214"/>
      <c r="CT278" s="214"/>
      <c r="CU278" s="214"/>
      <c r="CV278" s="214"/>
      <c r="CW278" s="214"/>
      <c r="CX278" s="214"/>
      <c r="CY278" s="214"/>
      <c r="CZ278" s="214"/>
      <c r="DA278" s="214"/>
      <c r="DB278" s="214"/>
      <c r="DC278" s="214"/>
      <c r="DD278" s="214"/>
      <c r="DE278" s="214"/>
      <c r="DF278" s="214"/>
      <c r="DG278" s="214"/>
      <c r="DH278" s="214"/>
      <c r="DI278" s="214"/>
      <c r="DJ278" s="214"/>
      <c r="DK278" s="214"/>
      <c r="DL278" s="214"/>
      <c r="DM278" s="214"/>
      <c r="DN278" s="214"/>
      <c r="DO278" s="214"/>
      <c r="DP278" s="214"/>
      <c r="DQ278" s="214"/>
      <c r="DR278" s="214"/>
      <c r="DS278" s="214"/>
      <c r="DT278" s="214"/>
      <c r="DU278" s="214"/>
      <c r="DV278" s="214"/>
      <c r="DW278" s="214"/>
      <c r="DX278" s="214"/>
      <c r="DY278" s="214"/>
      <c r="DZ278" s="214"/>
      <c r="EA278" s="214"/>
      <c r="EB278" s="214"/>
      <c r="EC278" s="214"/>
      <c r="ED278" s="214"/>
      <c r="EE278" s="214"/>
      <c r="EF278" s="214"/>
      <c r="EG278" s="214"/>
      <c r="EH278" s="214"/>
      <c r="EI278" s="214"/>
      <c r="EJ278" s="214"/>
      <c r="EK278" s="214"/>
      <c r="EL278" s="214"/>
      <c r="EM278" s="214"/>
      <c r="EN278" s="214"/>
      <c r="EO278" s="214"/>
      <c r="EP278" s="214"/>
      <c r="EQ278" s="214"/>
      <c r="ER278" s="214"/>
      <c r="ES278" s="214"/>
      <c r="ET278" s="214"/>
      <c r="EU278" s="214"/>
      <c r="EV278" s="214"/>
      <c r="EW278" s="214"/>
      <c r="EX278" s="214"/>
      <c r="EY278" s="214"/>
      <c r="EZ278" s="214"/>
      <c r="FA278" s="214"/>
      <c r="FB278" s="214"/>
      <c r="FC278" s="214"/>
      <c r="FD278" s="214"/>
      <c r="FE278" s="214"/>
      <c r="FF278" s="214"/>
      <c r="FG278" s="214"/>
      <c r="FH278" s="214"/>
      <c r="FI278" s="214"/>
      <c r="FJ278" s="214"/>
      <c r="FK278" s="214"/>
      <c r="FL278" s="214"/>
      <c r="FM278" s="214"/>
      <c r="FN278" s="214"/>
      <c r="FO278" s="214"/>
      <c r="FP278" s="214"/>
      <c r="FQ278" s="214"/>
      <c r="FR278" s="214"/>
      <c r="FS278" s="214"/>
      <c r="FT278" s="214"/>
      <c r="FU278" s="214"/>
      <c r="FV278" s="214"/>
      <c r="FW278" s="214"/>
      <c r="FX278" s="214"/>
      <c r="FY278" s="214"/>
      <c r="FZ278" s="214"/>
      <c r="GA278" s="214"/>
      <c r="GB278" s="214"/>
      <c r="GC278" s="214"/>
      <c r="GD278" s="214"/>
      <c r="GE278" s="214"/>
      <c r="GF278" s="214"/>
      <c r="GG278" s="214"/>
      <c r="GH278" s="214"/>
      <c r="GI278" s="214"/>
      <c r="GJ278" s="214"/>
      <c r="GK278" s="214"/>
      <c r="GL278" s="214"/>
      <c r="GM278" s="214"/>
      <c r="GN278" s="214"/>
      <c r="GO278" s="214"/>
      <c r="GP278" s="214"/>
      <c r="GQ278" s="214"/>
      <c r="GR278" s="214"/>
      <c r="GS278" s="214"/>
      <c r="GT278" s="214"/>
      <c r="GU278" s="214"/>
      <c r="GV278" s="214"/>
      <c r="GW278" s="214"/>
      <c r="GX278" s="214"/>
      <c r="GY278" s="214"/>
      <c r="GZ278" s="214"/>
      <c r="HA278" s="214"/>
      <c r="HB278" s="214"/>
      <c r="HC278" s="214"/>
      <c r="HD278" s="214"/>
      <c r="HE278" s="214"/>
      <c r="HF278" s="214"/>
      <c r="HG278" s="214"/>
      <c r="HH278" s="214"/>
      <c r="HI278" s="214"/>
      <c r="HJ278" s="214"/>
      <c r="HK278" s="214"/>
      <c r="HL278" s="214"/>
      <c r="HM278" s="214"/>
      <c r="HN278" s="214"/>
      <c r="HO278" s="214"/>
      <c r="HP278" s="214"/>
      <c r="HQ278" s="214"/>
      <c r="HR278" s="214"/>
      <c r="HS278" s="214"/>
      <c r="HT278" s="214"/>
      <c r="HU278" s="214"/>
      <c r="HV278" s="214"/>
      <c r="HW278" s="214"/>
      <c r="HX278" s="214"/>
      <c r="HY278" s="214"/>
      <c r="HZ278" s="214"/>
      <c r="IA278" s="214"/>
      <c r="IB278" s="214"/>
      <c r="IC278" s="214"/>
      <c r="ID278" s="214"/>
      <c r="IE278" s="214"/>
      <c r="IF278" s="214"/>
      <c r="IG278" s="214"/>
      <c r="IH278" s="214"/>
      <c r="II278" s="214"/>
      <c r="IJ278" s="214"/>
      <c r="IK278" s="214"/>
      <c r="IL278" s="214"/>
      <c r="IM278" s="214"/>
      <c r="IN278" s="214"/>
      <c r="IO278" s="214"/>
      <c r="IP278" s="214"/>
      <c r="IQ278" s="214"/>
      <c r="IR278" s="214"/>
    </row>
    <row r="279" spans="13:252" ht="16.2" hidden="1" thickTop="1" thickBot="1">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214"/>
      <c r="BP279" s="214"/>
      <c r="BQ279" s="214"/>
      <c r="BR279" s="214"/>
      <c r="BS279" s="214"/>
      <c r="BT279" s="214"/>
      <c r="BU279" s="214"/>
      <c r="BV279" s="214"/>
      <c r="BW279" s="214"/>
      <c r="BX279" s="214"/>
      <c r="BY279" s="214"/>
      <c r="BZ279" s="214"/>
      <c r="CA279" s="214"/>
      <c r="CB279" s="214"/>
      <c r="CC279" s="214"/>
      <c r="CD279" s="214"/>
      <c r="CE279" s="214"/>
      <c r="CF279" s="214"/>
      <c r="CG279" s="214"/>
      <c r="CH279" s="214"/>
      <c r="CI279" s="214"/>
      <c r="CJ279" s="214"/>
      <c r="CK279" s="214"/>
      <c r="CL279" s="214"/>
      <c r="CM279" s="214"/>
      <c r="CN279" s="214"/>
      <c r="CO279" s="214"/>
      <c r="CP279" s="214"/>
      <c r="CQ279" s="214"/>
      <c r="CR279" s="214"/>
      <c r="CS279" s="214"/>
      <c r="CT279" s="214"/>
      <c r="CU279" s="214"/>
      <c r="CV279" s="214"/>
      <c r="CW279" s="214"/>
      <c r="CX279" s="214"/>
      <c r="CY279" s="214"/>
      <c r="CZ279" s="214"/>
      <c r="DA279" s="214"/>
      <c r="DB279" s="214"/>
      <c r="DC279" s="214"/>
      <c r="DD279" s="214"/>
      <c r="DE279" s="214"/>
      <c r="DF279" s="214"/>
      <c r="DG279" s="214"/>
      <c r="DH279" s="214"/>
      <c r="DI279" s="214"/>
      <c r="DJ279" s="214"/>
      <c r="DK279" s="214"/>
      <c r="DL279" s="214"/>
      <c r="DM279" s="214"/>
      <c r="DN279" s="214"/>
      <c r="DO279" s="214"/>
      <c r="DP279" s="214"/>
      <c r="DQ279" s="214"/>
      <c r="DR279" s="214"/>
      <c r="DS279" s="214"/>
      <c r="DT279" s="214"/>
      <c r="DU279" s="214"/>
      <c r="DV279" s="214"/>
      <c r="DW279" s="214"/>
      <c r="DX279" s="214"/>
      <c r="DY279" s="214"/>
      <c r="DZ279" s="214"/>
      <c r="EA279" s="214"/>
      <c r="EB279" s="214"/>
      <c r="EC279" s="214"/>
      <c r="ED279" s="214"/>
      <c r="EE279" s="214"/>
      <c r="EF279" s="214"/>
      <c r="EG279" s="214"/>
      <c r="EH279" s="214"/>
      <c r="EI279" s="214"/>
      <c r="EJ279" s="214"/>
      <c r="EK279" s="214"/>
      <c r="EL279" s="214"/>
      <c r="EM279" s="214"/>
      <c r="EN279" s="214"/>
      <c r="EO279" s="214"/>
      <c r="EP279" s="214"/>
      <c r="EQ279" s="214"/>
      <c r="ER279" s="214"/>
      <c r="ES279" s="214"/>
      <c r="ET279" s="214"/>
      <c r="EU279" s="214"/>
      <c r="EV279" s="214"/>
      <c r="EW279" s="214"/>
      <c r="EX279" s="214"/>
      <c r="EY279" s="214"/>
      <c r="EZ279" s="214"/>
      <c r="FA279" s="214"/>
      <c r="FB279" s="214"/>
      <c r="FC279" s="214"/>
      <c r="FD279" s="214"/>
      <c r="FE279" s="214"/>
      <c r="FF279" s="214"/>
      <c r="FG279" s="214"/>
      <c r="FH279" s="214"/>
      <c r="FI279" s="214"/>
      <c r="FJ279" s="214"/>
      <c r="FK279" s="214"/>
      <c r="FL279" s="214"/>
      <c r="FM279" s="214"/>
      <c r="FN279" s="214"/>
      <c r="FO279" s="214"/>
      <c r="FP279" s="214"/>
      <c r="FQ279" s="214"/>
      <c r="FR279" s="214"/>
      <c r="FS279" s="214"/>
      <c r="FT279" s="214"/>
      <c r="FU279" s="214"/>
      <c r="FV279" s="214"/>
      <c r="FW279" s="214"/>
      <c r="FX279" s="214"/>
      <c r="FY279" s="214"/>
      <c r="FZ279" s="214"/>
      <c r="GA279" s="214"/>
      <c r="GB279" s="214"/>
      <c r="GC279" s="214"/>
      <c r="GD279" s="214"/>
      <c r="GE279" s="214"/>
      <c r="GF279" s="214"/>
      <c r="GG279" s="214"/>
      <c r="GH279" s="214"/>
      <c r="GI279" s="214"/>
      <c r="GJ279" s="214"/>
      <c r="GK279" s="214"/>
      <c r="GL279" s="214"/>
      <c r="GM279" s="214"/>
      <c r="GN279" s="214"/>
      <c r="GO279" s="214"/>
      <c r="GP279" s="214"/>
      <c r="GQ279" s="214"/>
      <c r="GR279" s="214"/>
      <c r="GS279" s="214"/>
      <c r="GT279" s="214"/>
      <c r="GU279" s="214"/>
      <c r="GV279" s="214"/>
      <c r="GW279" s="214"/>
      <c r="GX279" s="214"/>
      <c r="GY279" s="214"/>
      <c r="GZ279" s="214"/>
      <c r="HA279" s="214"/>
      <c r="HB279" s="214"/>
      <c r="HC279" s="214"/>
      <c r="HD279" s="214"/>
      <c r="HE279" s="214"/>
      <c r="HF279" s="214"/>
      <c r="HG279" s="214"/>
      <c r="HH279" s="214"/>
      <c r="HI279" s="214"/>
      <c r="HJ279" s="214"/>
      <c r="HK279" s="214"/>
      <c r="HL279" s="214"/>
      <c r="HM279" s="214"/>
      <c r="HN279" s="214"/>
      <c r="HO279" s="214"/>
      <c r="HP279" s="214"/>
      <c r="HQ279" s="214"/>
      <c r="HR279" s="214"/>
      <c r="HS279" s="214"/>
      <c r="HT279" s="214"/>
      <c r="HU279" s="214"/>
      <c r="HV279" s="214"/>
      <c r="HW279" s="214"/>
      <c r="HX279" s="214"/>
      <c r="HY279" s="214"/>
      <c r="HZ279" s="214"/>
      <c r="IA279" s="214"/>
      <c r="IB279" s="214"/>
      <c r="IC279" s="214"/>
      <c r="ID279" s="214"/>
      <c r="IE279" s="214"/>
      <c r="IF279" s="214"/>
      <c r="IG279" s="214"/>
      <c r="IH279" s="214"/>
      <c r="II279" s="214"/>
      <c r="IJ279" s="214"/>
      <c r="IK279" s="214"/>
      <c r="IL279" s="214"/>
      <c r="IM279" s="214"/>
      <c r="IN279" s="214"/>
      <c r="IO279" s="214"/>
      <c r="IP279" s="214"/>
      <c r="IQ279" s="214"/>
      <c r="IR279" s="214"/>
    </row>
    <row r="280" spans="13:252" ht="16.2" hidden="1" thickTop="1" thickBot="1">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214"/>
      <c r="BK280" s="214"/>
      <c r="BL280" s="214"/>
      <c r="BM280" s="214"/>
      <c r="BN280" s="214"/>
      <c r="BO280" s="214"/>
      <c r="BP280" s="214"/>
      <c r="BQ280" s="214"/>
      <c r="BR280" s="214"/>
      <c r="BS280" s="214"/>
      <c r="BT280" s="214"/>
      <c r="BU280" s="214"/>
      <c r="BV280" s="214"/>
      <c r="BW280" s="214"/>
      <c r="BX280" s="214"/>
      <c r="BY280" s="214"/>
      <c r="BZ280" s="214"/>
      <c r="CA280" s="214"/>
      <c r="CB280" s="214"/>
      <c r="CC280" s="214"/>
      <c r="CD280" s="214"/>
      <c r="CE280" s="214"/>
      <c r="CF280" s="214"/>
      <c r="CG280" s="214"/>
      <c r="CH280" s="214"/>
      <c r="CI280" s="214"/>
      <c r="CJ280" s="214"/>
      <c r="CK280" s="214"/>
      <c r="CL280" s="214"/>
      <c r="CM280" s="214"/>
      <c r="CN280" s="214"/>
      <c r="CO280" s="214"/>
      <c r="CP280" s="214"/>
      <c r="CQ280" s="214"/>
      <c r="CR280" s="214"/>
      <c r="CS280" s="214"/>
      <c r="CT280" s="214"/>
      <c r="CU280" s="214"/>
      <c r="CV280" s="214"/>
      <c r="CW280" s="214"/>
      <c r="CX280" s="214"/>
      <c r="CY280" s="214"/>
      <c r="CZ280" s="214"/>
      <c r="DA280" s="214"/>
      <c r="DB280" s="214"/>
      <c r="DC280" s="214"/>
      <c r="DD280" s="214"/>
      <c r="DE280" s="214"/>
      <c r="DF280" s="214"/>
      <c r="DG280" s="214"/>
      <c r="DH280" s="214"/>
      <c r="DI280" s="214"/>
      <c r="DJ280" s="214"/>
      <c r="DK280" s="214"/>
      <c r="DL280" s="214"/>
      <c r="DM280" s="214"/>
      <c r="DN280" s="214"/>
      <c r="DO280" s="214"/>
      <c r="DP280" s="214"/>
      <c r="DQ280" s="214"/>
      <c r="DR280" s="214"/>
      <c r="DS280" s="214"/>
      <c r="DT280" s="214"/>
      <c r="DU280" s="214"/>
      <c r="DV280" s="214"/>
      <c r="DW280" s="214"/>
      <c r="DX280" s="214"/>
      <c r="DY280" s="214"/>
      <c r="DZ280" s="214"/>
      <c r="EA280" s="214"/>
      <c r="EB280" s="214"/>
      <c r="EC280" s="214"/>
      <c r="ED280" s="214"/>
      <c r="EE280" s="214"/>
      <c r="EF280" s="214"/>
      <c r="EG280" s="214"/>
      <c r="EH280" s="214"/>
      <c r="EI280" s="214"/>
      <c r="EJ280" s="214"/>
      <c r="EK280" s="214"/>
      <c r="EL280" s="214"/>
      <c r="EM280" s="214"/>
      <c r="EN280" s="214"/>
      <c r="EO280" s="214"/>
      <c r="EP280" s="214"/>
      <c r="EQ280" s="214"/>
      <c r="ER280" s="214"/>
      <c r="ES280" s="214"/>
      <c r="ET280" s="214"/>
      <c r="EU280" s="214"/>
      <c r="EV280" s="214"/>
      <c r="EW280" s="214"/>
      <c r="EX280" s="214"/>
      <c r="EY280" s="214"/>
      <c r="EZ280" s="214"/>
      <c r="FA280" s="214"/>
      <c r="FB280" s="214"/>
      <c r="FC280" s="214"/>
      <c r="FD280" s="214"/>
      <c r="FE280" s="214"/>
      <c r="FF280" s="214"/>
      <c r="FG280" s="214"/>
      <c r="FH280" s="214"/>
      <c r="FI280" s="214"/>
      <c r="FJ280" s="214"/>
      <c r="FK280" s="214"/>
      <c r="FL280" s="214"/>
      <c r="FM280" s="214"/>
      <c r="FN280" s="214"/>
      <c r="FO280" s="214"/>
      <c r="FP280" s="214"/>
      <c r="FQ280" s="214"/>
      <c r="FR280" s="214"/>
      <c r="FS280" s="214"/>
      <c r="FT280" s="214"/>
      <c r="FU280" s="214"/>
      <c r="FV280" s="214"/>
      <c r="FW280" s="214"/>
      <c r="FX280" s="214"/>
      <c r="FY280" s="214"/>
      <c r="FZ280" s="214"/>
      <c r="GA280" s="214"/>
      <c r="GB280" s="214"/>
      <c r="GC280" s="214"/>
      <c r="GD280" s="214"/>
      <c r="GE280" s="214"/>
      <c r="GF280" s="214"/>
      <c r="GG280" s="214"/>
      <c r="GH280" s="214"/>
      <c r="GI280" s="214"/>
      <c r="GJ280" s="214"/>
      <c r="GK280" s="214"/>
      <c r="GL280" s="214"/>
      <c r="GM280" s="214"/>
      <c r="GN280" s="214"/>
      <c r="GO280" s="214"/>
      <c r="GP280" s="214"/>
      <c r="GQ280" s="214"/>
      <c r="GR280" s="214"/>
      <c r="GS280" s="214"/>
      <c r="GT280" s="214"/>
      <c r="GU280" s="214"/>
      <c r="GV280" s="214"/>
      <c r="GW280" s="214"/>
      <c r="GX280" s="214"/>
      <c r="GY280" s="214"/>
      <c r="GZ280" s="214"/>
      <c r="HA280" s="214"/>
      <c r="HB280" s="214"/>
      <c r="HC280" s="214"/>
      <c r="HD280" s="214"/>
      <c r="HE280" s="214"/>
      <c r="HF280" s="214"/>
      <c r="HG280" s="214"/>
      <c r="HH280" s="214"/>
      <c r="HI280" s="214"/>
      <c r="HJ280" s="214"/>
      <c r="HK280" s="214"/>
      <c r="HL280" s="214"/>
      <c r="HM280" s="214"/>
      <c r="HN280" s="214"/>
      <c r="HO280" s="214"/>
      <c r="HP280" s="214"/>
      <c r="HQ280" s="214"/>
      <c r="HR280" s="214"/>
      <c r="HS280" s="214"/>
      <c r="HT280" s="214"/>
      <c r="HU280" s="214"/>
      <c r="HV280" s="214"/>
      <c r="HW280" s="214"/>
      <c r="HX280" s="214"/>
      <c r="HY280" s="214"/>
      <c r="HZ280" s="214"/>
      <c r="IA280" s="214"/>
      <c r="IB280" s="214"/>
      <c r="IC280" s="214"/>
      <c r="ID280" s="214"/>
      <c r="IE280" s="214"/>
      <c r="IF280" s="214"/>
      <c r="IG280" s="214"/>
      <c r="IH280" s="214"/>
      <c r="II280" s="214"/>
      <c r="IJ280" s="214"/>
      <c r="IK280" s="214"/>
      <c r="IL280" s="214"/>
      <c r="IM280" s="214"/>
      <c r="IN280" s="214"/>
      <c r="IO280" s="214"/>
      <c r="IP280" s="214"/>
      <c r="IQ280" s="214"/>
      <c r="IR280" s="214"/>
    </row>
    <row r="281" spans="13:252" ht="16.2" hidden="1" thickTop="1" thickBot="1">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214"/>
      <c r="BJ281" s="214"/>
      <c r="BK281" s="214"/>
      <c r="BL281" s="214"/>
      <c r="BM281" s="214"/>
      <c r="BN281" s="214"/>
      <c r="BO281" s="214"/>
      <c r="BP281" s="214"/>
      <c r="BQ281" s="214"/>
      <c r="BR281" s="214"/>
      <c r="BS281" s="214"/>
      <c r="BT281" s="214"/>
      <c r="BU281" s="214"/>
      <c r="BV281" s="214"/>
      <c r="BW281" s="214"/>
      <c r="BX281" s="214"/>
      <c r="BY281" s="214"/>
      <c r="BZ281" s="214"/>
      <c r="CA281" s="214"/>
      <c r="CB281" s="214"/>
      <c r="CC281" s="214"/>
      <c r="CD281" s="214"/>
      <c r="CE281" s="214"/>
      <c r="CF281" s="214"/>
      <c r="CG281" s="214"/>
      <c r="CH281" s="214"/>
      <c r="CI281" s="214"/>
      <c r="CJ281" s="214"/>
      <c r="CK281" s="214"/>
      <c r="CL281" s="214"/>
      <c r="CM281" s="214"/>
      <c r="CN281" s="214"/>
      <c r="CO281" s="214"/>
      <c r="CP281" s="214"/>
      <c r="CQ281" s="214"/>
      <c r="CR281" s="214"/>
      <c r="CS281" s="214"/>
      <c r="CT281" s="214"/>
      <c r="CU281" s="214"/>
      <c r="CV281" s="214"/>
      <c r="CW281" s="214"/>
      <c r="CX281" s="214"/>
      <c r="CY281" s="214"/>
      <c r="CZ281" s="214"/>
      <c r="DA281" s="214"/>
      <c r="DB281" s="214"/>
      <c r="DC281" s="214"/>
      <c r="DD281" s="214"/>
      <c r="DE281" s="214"/>
      <c r="DF281" s="214"/>
      <c r="DG281" s="214"/>
      <c r="DH281" s="214"/>
      <c r="DI281" s="214"/>
      <c r="DJ281" s="214"/>
      <c r="DK281" s="214"/>
      <c r="DL281" s="214"/>
      <c r="DM281" s="214"/>
      <c r="DN281" s="214"/>
      <c r="DO281" s="214"/>
      <c r="DP281" s="214"/>
      <c r="DQ281" s="214"/>
      <c r="DR281" s="214"/>
      <c r="DS281" s="214"/>
      <c r="DT281" s="214"/>
      <c r="DU281" s="214"/>
      <c r="DV281" s="214"/>
      <c r="DW281" s="214"/>
      <c r="DX281" s="214"/>
      <c r="DY281" s="214"/>
      <c r="DZ281" s="214"/>
      <c r="EA281" s="214"/>
      <c r="EB281" s="214"/>
      <c r="EC281" s="214"/>
      <c r="ED281" s="214"/>
      <c r="EE281" s="214"/>
      <c r="EF281" s="214"/>
      <c r="EG281" s="214"/>
      <c r="EH281" s="214"/>
      <c r="EI281" s="214"/>
      <c r="EJ281" s="214"/>
      <c r="EK281" s="214"/>
      <c r="EL281" s="214"/>
      <c r="EM281" s="214"/>
      <c r="EN281" s="214"/>
      <c r="EO281" s="214"/>
      <c r="EP281" s="214"/>
      <c r="EQ281" s="214"/>
      <c r="ER281" s="214"/>
      <c r="ES281" s="214"/>
      <c r="ET281" s="214"/>
      <c r="EU281" s="214"/>
      <c r="EV281" s="214"/>
      <c r="EW281" s="214"/>
      <c r="EX281" s="214"/>
      <c r="EY281" s="214"/>
      <c r="EZ281" s="214"/>
      <c r="FA281" s="214"/>
      <c r="FB281" s="214"/>
      <c r="FC281" s="214"/>
      <c r="FD281" s="214"/>
      <c r="FE281" s="214"/>
      <c r="FF281" s="214"/>
      <c r="FG281" s="214"/>
      <c r="FH281" s="214"/>
      <c r="FI281" s="214"/>
      <c r="FJ281" s="214"/>
      <c r="FK281" s="214"/>
      <c r="FL281" s="214"/>
      <c r="FM281" s="214"/>
      <c r="FN281" s="214"/>
      <c r="FO281" s="214"/>
      <c r="FP281" s="214"/>
      <c r="FQ281" s="214"/>
      <c r="FR281" s="214"/>
      <c r="FS281" s="214"/>
      <c r="FT281" s="214"/>
      <c r="FU281" s="214"/>
      <c r="FV281" s="214"/>
      <c r="FW281" s="214"/>
      <c r="FX281" s="214"/>
      <c r="FY281" s="214"/>
      <c r="FZ281" s="214"/>
      <c r="GA281" s="214"/>
      <c r="GB281" s="214"/>
      <c r="GC281" s="214"/>
      <c r="GD281" s="214"/>
      <c r="GE281" s="214"/>
      <c r="GF281" s="214"/>
      <c r="GG281" s="214"/>
      <c r="GH281" s="214"/>
      <c r="GI281" s="214"/>
      <c r="GJ281" s="214"/>
      <c r="GK281" s="214"/>
      <c r="GL281" s="214"/>
      <c r="GM281" s="214"/>
      <c r="GN281" s="214"/>
      <c r="GO281" s="214"/>
      <c r="GP281" s="214"/>
      <c r="GQ281" s="214"/>
      <c r="GR281" s="214"/>
      <c r="GS281" s="214"/>
      <c r="GT281" s="214"/>
      <c r="GU281" s="214"/>
      <c r="GV281" s="214"/>
      <c r="GW281" s="214"/>
      <c r="GX281" s="214"/>
      <c r="GY281" s="214"/>
      <c r="GZ281" s="214"/>
      <c r="HA281" s="214"/>
      <c r="HB281" s="214"/>
      <c r="HC281" s="214"/>
      <c r="HD281" s="214"/>
      <c r="HE281" s="214"/>
      <c r="HF281" s="214"/>
      <c r="HG281" s="214"/>
      <c r="HH281" s="214"/>
      <c r="HI281" s="214"/>
      <c r="HJ281" s="214"/>
      <c r="HK281" s="214"/>
      <c r="HL281" s="214"/>
      <c r="HM281" s="214"/>
      <c r="HN281" s="214"/>
      <c r="HO281" s="214"/>
      <c r="HP281" s="214"/>
      <c r="HQ281" s="214"/>
      <c r="HR281" s="214"/>
      <c r="HS281" s="214"/>
      <c r="HT281" s="214"/>
      <c r="HU281" s="214"/>
      <c r="HV281" s="214"/>
      <c r="HW281" s="214"/>
      <c r="HX281" s="214"/>
      <c r="HY281" s="214"/>
      <c r="HZ281" s="214"/>
      <c r="IA281" s="214"/>
      <c r="IB281" s="214"/>
      <c r="IC281" s="214"/>
      <c r="ID281" s="214"/>
      <c r="IE281" s="214"/>
      <c r="IF281" s="214"/>
      <c r="IG281" s="214"/>
      <c r="IH281" s="214"/>
      <c r="II281" s="214"/>
      <c r="IJ281" s="214"/>
      <c r="IK281" s="214"/>
      <c r="IL281" s="214"/>
      <c r="IM281" s="214"/>
      <c r="IN281" s="214"/>
      <c r="IO281" s="214"/>
      <c r="IP281" s="214"/>
      <c r="IQ281" s="214"/>
      <c r="IR281" s="214"/>
    </row>
    <row r="282" spans="13:252" ht="16.2" hidden="1" thickTop="1" thickBot="1">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c r="BT282" s="214"/>
      <c r="BU282" s="214"/>
      <c r="BV282" s="214"/>
      <c r="BW282" s="214"/>
      <c r="BX282" s="214"/>
      <c r="BY282" s="214"/>
      <c r="BZ282" s="214"/>
      <c r="CA282" s="214"/>
      <c r="CB282" s="214"/>
      <c r="CC282" s="214"/>
      <c r="CD282" s="214"/>
      <c r="CE282" s="214"/>
      <c r="CF282" s="214"/>
      <c r="CG282" s="214"/>
      <c r="CH282" s="214"/>
      <c r="CI282" s="214"/>
      <c r="CJ282" s="214"/>
      <c r="CK282" s="214"/>
      <c r="CL282" s="214"/>
      <c r="CM282" s="214"/>
      <c r="CN282" s="214"/>
      <c r="CO282" s="214"/>
      <c r="CP282" s="214"/>
      <c r="CQ282" s="214"/>
      <c r="CR282" s="214"/>
      <c r="CS282" s="214"/>
      <c r="CT282" s="214"/>
      <c r="CU282" s="214"/>
      <c r="CV282" s="214"/>
      <c r="CW282" s="214"/>
      <c r="CX282" s="214"/>
      <c r="CY282" s="214"/>
      <c r="CZ282" s="214"/>
      <c r="DA282" s="214"/>
      <c r="DB282" s="214"/>
      <c r="DC282" s="214"/>
      <c r="DD282" s="214"/>
      <c r="DE282" s="214"/>
      <c r="DF282" s="214"/>
      <c r="DG282" s="214"/>
      <c r="DH282" s="214"/>
      <c r="DI282" s="214"/>
      <c r="DJ282" s="214"/>
      <c r="DK282" s="214"/>
      <c r="DL282" s="214"/>
      <c r="DM282" s="214"/>
      <c r="DN282" s="214"/>
      <c r="DO282" s="214"/>
      <c r="DP282" s="214"/>
      <c r="DQ282" s="214"/>
      <c r="DR282" s="214"/>
      <c r="DS282" s="214"/>
      <c r="DT282" s="214"/>
      <c r="DU282" s="214"/>
      <c r="DV282" s="214"/>
      <c r="DW282" s="214"/>
      <c r="DX282" s="214"/>
      <c r="DY282" s="214"/>
      <c r="DZ282" s="214"/>
      <c r="EA282" s="214"/>
      <c r="EB282" s="214"/>
      <c r="EC282" s="214"/>
      <c r="ED282" s="214"/>
      <c r="EE282" s="214"/>
      <c r="EF282" s="214"/>
      <c r="EG282" s="214"/>
      <c r="EH282" s="214"/>
      <c r="EI282" s="214"/>
      <c r="EJ282" s="214"/>
      <c r="EK282" s="214"/>
      <c r="EL282" s="214"/>
      <c r="EM282" s="214"/>
      <c r="EN282" s="214"/>
      <c r="EO282" s="214"/>
      <c r="EP282" s="214"/>
      <c r="EQ282" s="214"/>
      <c r="ER282" s="214"/>
      <c r="ES282" s="214"/>
      <c r="ET282" s="214"/>
      <c r="EU282" s="214"/>
      <c r="EV282" s="214"/>
      <c r="EW282" s="214"/>
      <c r="EX282" s="214"/>
      <c r="EY282" s="214"/>
      <c r="EZ282" s="214"/>
      <c r="FA282" s="214"/>
      <c r="FB282" s="214"/>
      <c r="FC282" s="214"/>
      <c r="FD282" s="214"/>
      <c r="FE282" s="214"/>
      <c r="FF282" s="214"/>
      <c r="FG282" s="214"/>
      <c r="FH282" s="214"/>
      <c r="FI282" s="214"/>
      <c r="FJ282" s="214"/>
      <c r="FK282" s="214"/>
      <c r="FL282" s="214"/>
      <c r="FM282" s="214"/>
      <c r="FN282" s="214"/>
      <c r="FO282" s="214"/>
      <c r="FP282" s="214"/>
      <c r="FQ282" s="214"/>
      <c r="FR282" s="214"/>
      <c r="FS282" s="214"/>
      <c r="FT282" s="214"/>
      <c r="FU282" s="214"/>
      <c r="FV282" s="214"/>
      <c r="FW282" s="214"/>
      <c r="FX282" s="214"/>
      <c r="FY282" s="214"/>
      <c r="FZ282" s="214"/>
      <c r="GA282" s="214"/>
      <c r="GB282" s="214"/>
      <c r="GC282" s="214"/>
      <c r="GD282" s="214"/>
      <c r="GE282" s="214"/>
      <c r="GF282" s="214"/>
      <c r="GG282" s="214"/>
      <c r="GH282" s="214"/>
      <c r="GI282" s="214"/>
      <c r="GJ282" s="214"/>
      <c r="GK282" s="214"/>
      <c r="GL282" s="214"/>
      <c r="GM282" s="214"/>
      <c r="GN282" s="214"/>
      <c r="GO282" s="214"/>
      <c r="GP282" s="214"/>
      <c r="GQ282" s="214"/>
      <c r="GR282" s="214"/>
      <c r="GS282" s="214"/>
      <c r="GT282" s="214"/>
      <c r="GU282" s="214"/>
      <c r="GV282" s="214"/>
      <c r="GW282" s="214"/>
      <c r="GX282" s="214"/>
      <c r="GY282" s="214"/>
      <c r="GZ282" s="214"/>
      <c r="HA282" s="214"/>
      <c r="HB282" s="214"/>
      <c r="HC282" s="214"/>
      <c r="HD282" s="214"/>
      <c r="HE282" s="214"/>
      <c r="HF282" s="214"/>
      <c r="HG282" s="214"/>
      <c r="HH282" s="214"/>
      <c r="HI282" s="214"/>
      <c r="HJ282" s="214"/>
      <c r="HK282" s="214"/>
      <c r="HL282" s="214"/>
      <c r="HM282" s="214"/>
      <c r="HN282" s="214"/>
      <c r="HO282" s="214"/>
      <c r="HP282" s="214"/>
      <c r="HQ282" s="214"/>
      <c r="HR282" s="214"/>
      <c r="HS282" s="214"/>
      <c r="HT282" s="214"/>
      <c r="HU282" s="214"/>
      <c r="HV282" s="214"/>
      <c r="HW282" s="214"/>
      <c r="HX282" s="214"/>
      <c r="HY282" s="214"/>
      <c r="HZ282" s="214"/>
      <c r="IA282" s="214"/>
      <c r="IB282" s="214"/>
      <c r="IC282" s="214"/>
      <c r="ID282" s="214"/>
      <c r="IE282" s="214"/>
      <c r="IF282" s="214"/>
      <c r="IG282" s="214"/>
      <c r="IH282" s="214"/>
      <c r="II282" s="214"/>
      <c r="IJ282" s="214"/>
      <c r="IK282" s="214"/>
      <c r="IL282" s="214"/>
      <c r="IM282" s="214"/>
      <c r="IN282" s="214"/>
      <c r="IO282" s="214"/>
      <c r="IP282" s="214"/>
      <c r="IQ282" s="214"/>
      <c r="IR282" s="214"/>
    </row>
    <row r="283" spans="13:252" ht="16.2" thickTop="1" thickBot="1">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214"/>
      <c r="BK283" s="214"/>
      <c r="BL283" s="214"/>
      <c r="BM283" s="214"/>
      <c r="BN283" s="214"/>
      <c r="BO283" s="214"/>
      <c r="BP283" s="214"/>
      <c r="BQ283" s="214"/>
      <c r="BR283" s="214"/>
      <c r="BS283" s="214"/>
      <c r="BT283" s="214"/>
      <c r="BU283" s="214"/>
      <c r="BV283" s="214"/>
      <c r="BW283" s="214"/>
      <c r="BX283" s="214"/>
      <c r="BY283" s="214"/>
      <c r="BZ283" s="214"/>
      <c r="CA283" s="214"/>
      <c r="CB283" s="214"/>
      <c r="CC283" s="214"/>
      <c r="CD283" s="214"/>
      <c r="CE283" s="214"/>
      <c r="CF283" s="214"/>
      <c r="CG283" s="214"/>
      <c r="CH283" s="214"/>
      <c r="CI283" s="214"/>
      <c r="CJ283" s="214"/>
      <c r="CK283" s="214"/>
      <c r="CL283" s="214"/>
      <c r="CM283" s="214"/>
      <c r="CN283" s="214"/>
      <c r="CO283" s="214"/>
      <c r="CP283" s="214"/>
      <c r="CQ283" s="214"/>
      <c r="CR283" s="214"/>
      <c r="CS283" s="214"/>
      <c r="CT283" s="214"/>
      <c r="CU283" s="214"/>
      <c r="CV283" s="214"/>
      <c r="CW283" s="214"/>
      <c r="CX283" s="214"/>
      <c r="CY283" s="214"/>
      <c r="CZ283" s="214"/>
      <c r="DA283" s="214"/>
      <c r="DB283" s="214"/>
      <c r="DC283" s="214"/>
      <c r="DD283" s="214"/>
      <c r="DE283" s="214"/>
      <c r="DF283" s="214"/>
      <c r="DG283" s="214"/>
      <c r="DH283" s="214"/>
      <c r="DI283" s="214"/>
      <c r="DJ283" s="214"/>
      <c r="DK283" s="214"/>
      <c r="DL283" s="214"/>
      <c r="DM283" s="214"/>
      <c r="DN283" s="214"/>
      <c r="DO283" s="214"/>
      <c r="DP283" s="214"/>
      <c r="DQ283" s="214"/>
      <c r="DR283" s="214"/>
      <c r="DS283" s="214"/>
      <c r="DT283" s="214"/>
      <c r="DU283" s="214"/>
      <c r="DV283" s="214"/>
      <c r="DW283" s="214"/>
      <c r="DX283" s="214"/>
      <c r="DY283" s="214"/>
      <c r="DZ283" s="214"/>
      <c r="EA283" s="214"/>
      <c r="EB283" s="214"/>
      <c r="EC283" s="214"/>
      <c r="ED283" s="214"/>
      <c r="EE283" s="214"/>
      <c r="EF283" s="214"/>
      <c r="EG283" s="214"/>
      <c r="EH283" s="214"/>
      <c r="EI283" s="214"/>
      <c r="EJ283" s="214"/>
      <c r="EK283" s="214"/>
      <c r="EL283" s="214"/>
      <c r="EM283" s="214"/>
      <c r="EN283" s="214"/>
      <c r="EO283" s="214"/>
      <c r="EP283" s="214"/>
      <c r="EQ283" s="214"/>
      <c r="ER283" s="214"/>
      <c r="ES283" s="214"/>
      <c r="ET283" s="214"/>
      <c r="EU283" s="214"/>
      <c r="EV283" s="214"/>
      <c r="EW283" s="214"/>
      <c r="EX283" s="214"/>
      <c r="EY283" s="214"/>
      <c r="EZ283" s="214"/>
      <c r="FA283" s="214"/>
      <c r="FB283" s="214"/>
      <c r="FC283" s="214"/>
      <c r="FD283" s="214"/>
      <c r="FE283" s="214"/>
      <c r="FF283" s="214"/>
      <c r="FG283" s="214"/>
      <c r="FH283" s="214"/>
      <c r="FI283" s="214"/>
      <c r="FJ283" s="214"/>
      <c r="FK283" s="214"/>
      <c r="FL283" s="214"/>
      <c r="FM283" s="214"/>
      <c r="FN283" s="214"/>
      <c r="FO283" s="214"/>
      <c r="FP283" s="214"/>
      <c r="FQ283" s="214"/>
      <c r="FR283" s="214"/>
      <c r="FS283" s="214"/>
      <c r="FT283" s="214"/>
      <c r="FU283" s="214"/>
      <c r="FV283" s="214"/>
      <c r="FW283" s="214"/>
      <c r="FX283" s="214"/>
      <c r="FY283" s="214"/>
      <c r="FZ283" s="214"/>
      <c r="GA283" s="214"/>
      <c r="GB283" s="214"/>
      <c r="GC283" s="214"/>
      <c r="GD283" s="214"/>
      <c r="GE283" s="214"/>
      <c r="GF283" s="214"/>
      <c r="GG283" s="214"/>
      <c r="GH283" s="214"/>
      <c r="GI283" s="214"/>
      <c r="GJ283" s="214"/>
      <c r="GK283" s="214"/>
      <c r="GL283" s="214"/>
      <c r="GM283" s="214"/>
      <c r="GN283" s="214"/>
      <c r="GO283" s="214"/>
      <c r="GP283" s="214"/>
      <c r="GQ283" s="214"/>
      <c r="GR283" s="214"/>
      <c r="GS283" s="214"/>
      <c r="GT283" s="214"/>
      <c r="GU283" s="214"/>
      <c r="GV283" s="214"/>
      <c r="GW283" s="214"/>
      <c r="GX283" s="214"/>
      <c r="GY283" s="214"/>
      <c r="GZ283" s="214"/>
      <c r="HA283" s="214"/>
      <c r="HB283" s="214"/>
      <c r="HC283" s="214"/>
      <c r="HD283" s="214"/>
      <c r="HE283" s="214"/>
      <c r="HF283" s="214"/>
      <c r="HG283" s="214"/>
      <c r="HH283" s="214"/>
      <c r="HI283" s="214"/>
      <c r="HJ283" s="214"/>
      <c r="HK283" s="214"/>
      <c r="HL283" s="214"/>
      <c r="HM283" s="214"/>
      <c r="HN283" s="214"/>
      <c r="HO283" s="214"/>
      <c r="HP283" s="214"/>
      <c r="HQ283" s="214"/>
      <c r="HR283" s="214"/>
      <c r="HS283" s="214"/>
      <c r="HT283" s="214"/>
      <c r="HU283" s="214"/>
      <c r="HV283" s="214"/>
      <c r="HW283" s="214"/>
      <c r="HX283" s="214"/>
      <c r="HY283" s="214"/>
      <c r="HZ283" s="214"/>
      <c r="IA283" s="214"/>
      <c r="IB283" s="214"/>
      <c r="IC283" s="214"/>
      <c r="ID283" s="214"/>
      <c r="IE283" s="214"/>
      <c r="IF283" s="214"/>
      <c r="IG283" s="214"/>
      <c r="IH283" s="214"/>
      <c r="II283" s="214"/>
      <c r="IJ283" s="214"/>
      <c r="IK283" s="214"/>
      <c r="IL283" s="214"/>
      <c r="IM283" s="214"/>
      <c r="IN283" s="214"/>
      <c r="IO283" s="214"/>
      <c r="IP283" s="214"/>
      <c r="IQ283" s="214"/>
      <c r="IR283" s="214"/>
    </row>
    <row r="284" spans="13:252" ht="16.2" thickTop="1" thickBot="1">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4"/>
      <c r="BL284" s="214"/>
      <c r="BM284" s="214"/>
      <c r="BN284" s="214"/>
      <c r="BO284" s="214"/>
      <c r="BP284" s="214"/>
      <c r="BQ284" s="214"/>
      <c r="BR284" s="214"/>
      <c r="BS284" s="214"/>
      <c r="BT284" s="214"/>
      <c r="BU284" s="214"/>
      <c r="BV284" s="214"/>
      <c r="BW284" s="214"/>
      <c r="BX284" s="214"/>
      <c r="BY284" s="214"/>
      <c r="BZ284" s="214"/>
      <c r="CA284" s="214"/>
      <c r="CB284" s="214"/>
      <c r="CC284" s="214"/>
      <c r="CD284" s="214"/>
      <c r="CE284" s="214"/>
      <c r="CF284" s="214"/>
      <c r="CG284" s="214"/>
      <c r="CH284" s="214"/>
      <c r="CI284" s="214"/>
      <c r="CJ284" s="214"/>
      <c r="CK284" s="214"/>
      <c r="CL284" s="214"/>
      <c r="CM284" s="214"/>
      <c r="CN284" s="214"/>
      <c r="CO284" s="214"/>
      <c r="CP284" s="214"/>
      <c r="CQ284" s="214"/>
      <c r="CR284" s="214"/>
      <c r="CS284" s="214"/>
      <c r="CT284" s="214"/>
      <c r="CU284" s="214"/>
      <c r="CV284" s="214"/>
      <c r="CW284" s="214"/>
      <c r="CX284" s="214"/>
      <c r="CY284" s="214"/>
      <c r="CZ284" s="214"/>
      <c r="DA284" s="214"/>
      <c r="DB284" s="214"/>
      <c r="DC284" s="214"/>
      <c r="DD284" s="214"/>
      <c r="DE284" s="214"/>
      <c r="DF284" s="214"/>
      <c r="DG284" s="214"/>
      <c r="DH284" s="214"/>
      <c r="DI284" s="214"/>
      <c r="DJ284" s="214"/>
      <c r="DK284" s="214"/>
      <c r="DL284" s="214"/>
      <c r="DM284" s="214"/>
      <c r="DN284" s="214"/>
      <c r="DO284" s="214"/>
      <c r="DP284" s="214"/>
      <c r="DQ284" s="214"/>
      <c r="DR284" s="214"/>
      <c r="DS284" s="214"/>
      <c r="DT284" s="214"/>
      <c r="DU284" s="214"/>
      <c r="DV284" s="214"/>
      <c r="DW284" s="214"/>
      <c r="DX284" s="214"/>
      <c r="DY284" s="214"/>
      <c r="DZ284" s="214"/>
      <c r="EA284" s="214"/>
      <c r="EB284" s="214"/>
      <c r="EC284" s="214"/>
      <c r="ED284" s="214"/>
      <c r="EE284" s="214"/>
      <c r="EF284" s="214"/>
      <c r="EG284" s="214"/>
      <c r="EH284" s="214"/>
      <c r="EI284" s="214"/>
      <c r="EJ284" s="214"/>
      <c r="EK284" s="214"/>
      <c r="EL284" s="214"/>
      <c r="EM284" s="214"/>
      <c r="EN284" s="214"/>
      <c r="EO284" s="214"/>
      <c r="EP284" s="214"/>
      <c r="EQ284" s="214"/>
      <c r="ER284" s="214"/>
      <c r="ES284" s="214"/>
      <c r="ET284" s="214"/>
      <c r="EU284" s="214"/>
      <c r="EV284" s="214"/>
      <c r="EW284" s="214"/>
      <c r="EX284" s="214"/>
      <c r="EY284" s="214"/>
      <c r="EZ284" s="214"/>
      <c r="FA284" s="214"/>
      <c r="FB284" s="214"/>
      <c r="FC284" s="214"/>
      <c r="FD284" s="214"/>
      <c r="FE284" s="214"/>
      <c r="FF284" s="214"/>
      <c r="FG284" s="214"/>
      <c r="FH284" s="214"/>
      <c r="FI284" s="214"/>
      <c r="FJ284" s="214"/>
      <c r="FK284" s="214"/>
      <c r="FL284" s="214"/>
      <c r="FM284" s="214"/>
      <c r="FN284" s="214"/>
      <c r="FO284" s="214"/>
      <c r="FP284" s="214"/>
      <c r="FQ284" s="214"/>
      <c r="FR284" s="214"/>
      <c r="FS284" s="214"/>
      <c r="FT284" s="214"/>
      <c r="FU284" s="214"/>
      <c r="FV284" s="214"/>
      <c r="FW284" s="214"/>
      <c r="FX284" s="214"/>
      <c r="FY284" s="214"/>
      <c r="FZ284" s="214"/>
      <c r="GA284" s="214"/>
      <c r="GB284" s="214"/>
      <c r="GC284" s="214"/>
      <c r="GD284" s="214"/>
      <c r="GE284" s="214"/>
      <c r="GF284" s="214"/>
      <c r="GG284" s="214"/>
      <c r="GH284" s="214"/>
      <c r="GI284" s="214"/>
      <c r="GJ284" s="214"/>
      <c r="GK284" s="214"/>
      <c r="GL284" s="214"/>
      <c r="GM284" s="214"/>
      <c r="GN284" s="214"/>
      <c r="GO284" s="214"/>
      <c r="GP284" s="214"/>
      <c r="GQ284" s="214"/>
      <c r="GR284" s="214"/>
      <c r="GS284" s="214"/>
      <c r="GT284" s="214"/>
      <c r="GU284" s="214"/>
      <c r="GV284" s="214"/>
      <c r="GW284" s="214"/>
      <c r="GX284" s="214"/>
      <c r="GY284" s="214"/>
      <c r="GZ284" s="214"/>
      <c r="HA284" s="214"/>
      <c r="HB284" s="214"/>
      <c r="HC284" s="214"/>
      <c r="HD284" s="214"/>
      <c r="HE284" s="214"/>
      <c r="HF284" s="214"/>
      <c r="HG284" s="214"/>
      <c r="HH284" s="214"/>
      <c r="HI284" s="214"/>
      <c r="HJ284" s="214"/>
      <c r="HK284" s="214"/>
      <c r="HL284" s="214"/>
      <c r="HM284" s="214"/>
      <c r="HN284" s="214"/>
      <c r="HO284" s="214"/>
      <c r="HP284" s="214"/>
      <c r="HQ284" s="214"/>
      <c r="HR284" s="214"/>
      <c r="HS284" s="214"/>
      <c r="HT284" s="214"/>
      <c r="HU284" s="214"/>
      <c r="HV284" s="214"/>
      <c r="HW284" s="214"/>
      <c r="HX284" s="214"/>
      <c r="HY284" s="214"/>
      <c r="HZ284" s="214"/>
      <c r="IA284" s="214"/>
      <c r="IB284" s="214"/>
      <c r="IC284" s="214"/>
      <c r="ID284" s="214"/>
      <c r="IE284" s="214"/>
      <c r="IF284" s="214"/>
      <c r="IG284" s="214"/>
      <c r="IH284" s="214"/>
      <c r="II284" s="214"/>
      <c r="IJ284" s="214"/>
      <c r="IK284" s="214"/>
      <c r="IL284" s="214"/>
      <c r="IM284" s="214"/>
      <c r="IN284" s="214"/>
      <c r="IO284" s="214"/>
      <c r="IP284" s="214"/>
      <c r="IQ284" s="214"/>
      <c r="IR284" s="214"/>
    </row>
    <row r="285" spans="13:252" ht="16.2" thickTop="1" thickBot="1">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214"/>
      <c r="BK285" s="214"/>
      <c r="BL285" s="214"/>
      <c r="BM285" s="214"/>
      <c r="BN285" s="214"/>
      <c r="BO285" s="214"/>
      <c r="BP285" s="214"/>
      <c r="BQ285" s="214"/>
      <c r="BR285" s="214"/>
      <c r="BS285" s="214"/>
      <c r="BT285" s="214"/>
      <c r="BU285" s="214"/>
      <c r="BV285" s="214"/>
      <c r="BW285" s="214"/>
      <c r="BX285" s="214"/>
      <c r="BY285" s="214"/>
      <c r="BZ285" s="214"/>
      <c r="CA285" s="214"/>
      <c r="CB285" s="214"/>
      <c r="CC285" s="214"/>
      <c r="CD285" s="214"/>
      <c r="CE285" s="214"/>
      <c r="CF285" s="214"/>
      <c r="CG285" s="214"/>
      <c r="CH285" s="214"/>
      <c r="CI285" s="214"/>
      <c r="CJ285" s="214"/>
      <c r="CK285" s="214"/>
      <c r="CL285" s="214"/>
      <c r="CM285" s="214"/>
      <c r="CN285" s="214"/>
      <c r="CO285" s="214"/>
      <c r="CP285" s="214"/>
      <c r="CQ285" s="214"/>
      <c r="CR285" s="214"/>
      <c r="CS285" s="214"/>
      <c r="CT285" s="214"/>
      <c r="CU285" s="214"/>
      <c r="CV285" s="214"/>
      <c r="CW285" s="214"/>
      <c r="CX285" s="214"/>
      <c r="CY285" s="214"/>
      <c r="CZ285" s="214"/>
      <c r="DA285" s="214"/>
      <c r="DB285" s="214"/>
      <c r="DC285" s="214"/>
      <c r="DD285" s="214"/>
      <c r="DE285" s="214"/>
      <c r="DF285" s="214"/>
      <c r="DG285" s="214"/>
      <c r="DH285" s="214"/>
      <c r="DI285" s="214"/>
      <c r="DJ285" s="214"/>
      <c r="DK285" s="214"/>
      <c r="DL285" s="214"/>
      <c r="DM285" s="214"/>
      <c r="DN285" s="214"/>
      <c r="DO285" s="214"/>
      <c r="DP285" s="214"/>
      <c r="DQ285" s="214"/>
      <c r="DR285" s="214"/>
      <c r="DS285" s="214"/>
      <c r="DT285" s="214"/>
      <c r="DU285" s="214"/>
      <c r="DV285" s="214"/>
      <c r="DW285" s="214"/>
      <c r="DX285" s="214"/>
      <c r="DY285" s="214"/>
      <c r="DZ285" s="214"/>
      <c r="EA285" s="214"/>
      <c r="EB285" s="214"/>
      <c r="EC285" s="214"/>
      <c r="ED285" s="214"/>
      <c r="EE285" s="214"/>
      <c r="EF285" s="214"/>
      <c r="EG285" s="214"/>
      <c r="EH285" s="214"/>
      <c r="EI285" s="214"/>
      <c r="EJ285" s="214"/>
      <c r="EK285" s="214"/>
      <c r="EL285" s="214"/>
      <c r="EM285" s="214"/>
      <c r="EN285" s="214"/>
      <c r="EO285" s="214"/>
      <c r="EP285" s="214"/>
      <c r="EQ285" s="214"/>
      <c r="ER285" s="214"/>
      <c r="ES285" s="214"/>
      <c r="ET285" s="214"/>
      <c r="EU285" s="214"/>
      <c r="EV285" s="214"/>
      <c r="EW285" s="214"/>
      <c r="EX285" s="214"/>
      <c r="EY285" s="214"/>
      <c r="EZ285" s="214"/>
      <c r="FA285" s="214"/>
      <c r="FB285" s="214"/>
      <c r="FC285" s="214"/>
      <c r="FD285" s="214"/>
      <c r="FE285" s="214"/>
      <c r="FF285" s="214"/>
      <c r="FG285" s="214"/>
      <c r="FH285" s="214"/>
      <c r="FI285" s="214"/>
      <c r="FJ285" s="214"/>
      <c r="FK285" s="214"/>
      <c r="FL285" s="214"/>
      <c r="FM285" s="214"/>
      <c r="FN285" s="214"/>
      <c r="FO285" s="214"/>
      <c r="FP285" s="214"/>
      <c r="FQ285" s="214"/>
      <c r="FR285" s="214"/>
      <c r="FS285" s="214"/>
      <c r="FT285" s="214"/>
      <c r="FU285" s="214"/>
      <c r="FV285" s="214"/>
      <c r="FW285" s="214"/>
      <c r="FX285" s="214"/>
      <c r="FY285" s="214"/>
      <c r="FZ285" s="214"/>
      <c r="GA285" s="214"/>
      <c r="GB285" s="214"/>
      <c r="GC285" s="214"/>
      <c r="GD285" s="214"/>
      <c r="GE285" s="214"/>
      <c r="GF285" s="214"/>
      <c r="GG285" s="214"/>
      <c r="GH285" s="214"/>
      <c r="GI285" s="214"/>
      <c r="GJ285" s="214"/>
      <c r="GK285" s="214"/>
      <c r="GL285" s="214"/>
      <c r="GM285" s="214"/>
      <c r="GN285" s="214"/>
      <c r="GO285" s="214"/>
      <c r="GP285" s="214"/>
      <c r="GQ285" s="214"/>
      <c r="GR285" s="214"/>
      <c r="GS285" s="214"/>
      <c r="GT285" s="214"/>
      <c r="GU285" s="214"/>
      <c r="GV285" s="214"/>
      <c r="GW285" s="214"/>
      <c r="GX285" s="214"/>
      <c r="GY285" s="214"/>
      <c r="GZ285" s="214"/>
      <c r="HA285" s="214"/>
      <c r="HB285" s="214"/>
      <c r="HC285" s="214"/>
      <c r="HD285" s="214"/>
      <c r="HE285" s="214"/>
      <c r="HF285" s="214"/>
      <c r="HG285" s="214"/>
      <c r="HH285" s="214"/>
      <c r="HI285" s="214"/>
      <c r="HJ285" s="214"/>
      <c r="HK285" s="214"/>
      <c r="HL285" s="214"/>
      <c r="HM285" s="214"/>
      <c r="HN285" s="214"/>
      <c r="HO285" s="214"/>
      <c r="HP285" s="214"/>
      <c r="HQ285" s="214"/>
      <c r="HR285" s="214"/>
      <c r="HS285" s="214"/>
      <c r="HT285" s="214"/>
      <c r="HU285" s="214"/>
      <c r="HV285" s="214"/>
      <c r="HW285" s="214"/>
      <c r="HX285" s="214"/>
      <c r="HY285" s="214"/>
      <c r="HZ285" s="214"/>
      <c r="IA285" s="214"/>
      <c r="IB285" s="214"/>
      <c r="IC285" s="214"/>
      <c r="ID285" s="214"/>
      <c r="IE285" s="214"/>
      <c r="IF285" s="214"/>
      <c r="IG285" s="214"/>
      <c r="IH285" s="214"/>
      <c r="II285" s="214"/>
      <c r="IJ285" s="214"/>
      <c r="IK285" s="214"/>
      <c r="IL285" s="214"/>
      <c r="IM285" s="214"/>
      <c r="IN285" s="214"/>
      <c r="IO285" s="214"/>
      <c r="IP285" s="214"/>
      <c r="IQ285" s="214"/>
      <c r="IR285" s="214"/>
    </row>
    <row r="286" spans="13:252" ht="16.2" thickTop="1" thickBot="1">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4"/>
      <c r="BL286" s="214"/>
      <c r="BM286" s="214"/>
      <c r="BN286" s="214"/>
      <c r="BO286" s="214"/>
      <c r="BP286" s="214"/>
      <c r="BQ286" s="214"/>
      <c r="BR286" s="214"/>
      <c r="BS286" s="214"/>
      <c r="BT286" s="214"/>
      <c r="BU286" s="214"/>
      <c r="BV286" s="214"/>
      <c r="BW286" s="214"/>
      <c r="BX286" s="214"/>
      <c r="BY286" s="214"/>
      <c r="BZ286" s="214"/>
      <c r="CA286" s="214"/>
      <c r="CB286" s="214"/>
      <c r="CC286" s="214"/>
      <c r="CD286" s="214"/>
      <c r="CE286" s="214"/>
      <c r="CF286" s="214"/>
      <c r="CG286" s="214"/>
      <c r="CH286" s="214"/>
      <c r="CI286" s="214"/>
      <c r="CJ286" s="214"/>
      <c r="CK286" s="214"/>
      <c r="CL286" s="214"/>
      <c r="CM286" s="214"/>
      <c r="CN286" s="214"/>
      <c r="CO286" s="214"/>
      <c r="CP286" s="214"/>
      <c r="CQ286" s="214"/>
      <c r="CR286" s="214"/>
      <c r="CS286" s="214"/>
      <c r="CT286" s="214"/>
      <c r="CU286" s="214"/>
      <c r="CV286" s="214"/>
      <c r="CW286" s="214"/>
      <c r="CX286" s="214"/>
      <c r="CY286" s="214"/>
      <c r="CZ286" s="214"/>
      <c r="DA286" s="214"/>
      <c r="DB286" s="214"/>
      <c r="DC286" s="214"/>
      <c r="DD286" s="214"/>
      <c r="DE286" s="214"/>
      <c r="DF286" s="214"/>
      <c r="DG286" s="214"/>
      <c r="DH286" s="214"/>
      <c r="DI286" s="214"/>
      <c r="DJ286" s="214"/>
      <c r="DK286" s="214"/>
      <c r="DL286" s="214"/>
      <c r="DM286" s="214"/>
      <c r="DN286" s="214"/>
      <c r="DO286" s="214"/>
      <c r="DP286" s="214"/>
      <c r="DQ286" s="214"/>
      <c r="DR286" s="214"/>
      <c r="DS286" s="214"/>
      <c r="DT286" s="214"/>
      <c r="DU286" s="214"/>
      <c r="DV286" s="214"/>
      <c r="DW286" s="214"/>
      <c r="DX286" s="214"/>
      <c r="DY286" s="214"/>
      <c r="DZ286" s="214"/>
      <c r="EA286" s="214"/>
      <c r="EB286" s="214"/>
      <c r="EC286" s="214"/>
      <c r="ED286" s="214"/>
      <c r="EE286" s="214"/>
      <c r="EF286" s="214"/>
      <c r="EG286" s="214"/>
      <c r="EH286" s="214"/>
      <c r="EI286" s="214"/>
      <c r="EJ286" s="214"/>
      <c r="EK286" s="214"/>
      <c r="EL286" s="214"/>
      <c r="EM286" s="214"/>
      <c r="EN286" s="214"/>
      <c r="EO286" s="214"/>
      <c r="EP286" s="214"/>
      <c r="EQ286" s="214"/>
      <c r="ER286" s="214"/>
      <c r="ES286" s="214"/>
      <c r="ET286" s="214"/>
      <c r="EU286" s="214"/>
      <c r="EV286" s="214"/>
      <c r="EW286" s="214"/>
      <c r="EX286" s="214"/>
      <c r="EY286" s="214"/>
      <c r="EZ286" s="214"/>
      <c r="FA286" s="214"/>
      <c r="FB286" s="214"/>
      <c r="FC286" s="214"/>
      <c r="FD286" s="214"/>
      <c r="FE286" s="214"/>
      <c r="FF286" s="214"/>
      <c r="FG286" s="214"/>
      <c r="FH286" s="214"/>
      <c r="FI286" s="214"/>
      <c r="FJ286" s="214"/>
      <c r="FK286" s="214"/>
      <c r="FL286" s="214"/>
      <c r="FM286" s="214"/>
      <c r="FN286" s="214"/>
      <c r="FO286" s="214"/>
      <c r="FP286" s="214"/>
      <c r="FQ286" s="214"/>
      <c r="FR286" s="214"/>
      <c r="FS286" s="214"/>
      <c r="FT286" s="214"/>
      <c r="FU286" s="214"/>
      <c r="FV286" s="214"/>
      <c r="FW286" s="214"/>
      <c r="FX286" s="214"/>
      <c r="FY286" s="214"/>
      <c r="FZ286" s="214"/>
      <c r="GA286" s="214"/>
      <c r="GB286" s="214"/>
      <c r="GC286" s="214"/>
      <c r="GD286" s="214"/>
      <c r="GE286" s="214"/>
      <c r="GF286" s="214"/>
      <c r="GG286" s="214"/>
      <c r="GH286" s="214"/>
      <c r="GI286" s="214"/>
      <c r="GJ286" s="214"/>
      <c r="GK286" s="214"/>
      <c r="GL286" s="214"/>
      <c r="GM286" s="214"/>
      <c r="GN286" s="214"/>
      <c r="GO286" s="214"/>
      <c r="GP286" s="214"/>
      <c r="GQ286" s="214"/>
      <c r="GR286" s="214"/>
      <c r="GS286" s="214"/>
      <c r="GT286" s="214"/>
      <c r="GU286" s="214"/>
      <c r="GV286" s="214"/>
      <c r="GW286" s="214"/>
      <c r="GX286" s="214"/>
      <c r="GY286" s="214"/>
      <c r="GZ286" s="214"/>
      <c r="HA286" s="214"/>
      <c r="HB286" s="214"/>
      <c r="HC286" s="214"/>
      <c r="HD286" s="214"/>
      <c r="HE286" s="214"/>
      <c r="HF286" s="214"/>
      <c r="HG286" s="214"/>
      <c r="HH286" s="214"/>
      <c r="HI286" s="214"/>
      <c r="HJ286" s="214"/>
      <c r="HK286" s="214"/>
      <c r="HL286" s="214"/>
      <c r="HM286" s="214"/>
      <c r="HN286" s="214"/>
      <c r="HO286" s="214"/>
      <c r="HP286" s="214"/>
      <c r="HQ286" s="214"/>
      <c r="HR286" s="214"/>
      <c r="HS286" s="214"/>
      <c r="HT286" s="214"/>
      <c r="HU286" s="214"/>
      <c r="HV286" s="214"/>
      <c r="HW286" s="214"/>
      <c r="HX286" s="214"/>
      <c r="HY286" s="214"/>
      <c r="HZ286" s="214"/>
      <c r="IA286" s="214"/>
      <c r="IB286" s="214"/>
      <c r="IC286" s="214"/>
      <c r="ID286" s="214"/>
      <c r="IE286" s="214"/>
      <c r="IF286" s="214"/>
      <c r="IG286" s="214"/>
      <c r="IH286" s="214"/>
      <c r="II286" s="214"/>
      <c r="IJ286" s="214"/>
      <c r="IK286" s="214"/>
      <c r="IL286" s="214"/>
      <c r="IM286" s="214"/>
      <c r="IN286" s="214"/>
      <c r="IO286" s="214"/>
      <c r="IP286" s="214"/>
      <c r="IQ286" s="214"/>
      <c r="IR286" s="214"/>
    </row>
    <row r="287" spans="13:252" ht="16.2" thickTop="1" thickBot="1">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214"/>
      <c r="BK287" s="214"/>
      <c r="BL287" s="214"/>
      <c r="BM287" s="214"/>
      <c r="BN287" s="214"/>
      <c r="BO287" s="214"/>
      <c r="BP287" s="214"/>
      <c r="BQ287" s="214"/>
      <c r="BR287" s="214"/>
      <c r="BS287" s="214"/>
      <c r="BT287" s="214"/>
      <c r="BU287" s="214"/>
      <c r="BV287" s="214"/>
      <c r="BW287" s="214"/>
      <c r="BX287" s="214"/>
      <c r="BY287" s="214"/>
      <c r="BZ287" s="214"/>
      <c r="CA287" s="214"/>
      <c r="CB287" s="214"/>
      <c r="CC287" s="214"/>
      <c r="CD287" s="214"/>
      <c r="CE287" s="214"/>
      <c r="CF287" s="214"/>
      <c r="CG287" s="214"/>
      <c r="CH287" s="214"/>
      <c r="CI287" s="214"/>
      <c r="CJ287" s="214"/>
      <c r="CK287" s="214"/>
      <c r="CL287" s="214"/>
      <c r="CM287" s="214"/>
      <c r="CN287" s="214"/>
      <c r="CO287" s="214"/>
      <c r="CP287" s="214"/>
      <c r="CQ287" s="214"/>
      <c r="CR287" s="214"/>
      <c r="CS287" s="214"/>
      <c r="CT287" s="214"/>
      <c r="CU287" s="214"/>
      <c r="CV287" s="214"/>
      <c r="CW287" s="214"/>
      <c r="CX287" s="214"/>
      <c r="CY287" s="214"/>
      <c r="CZ287" s="214"/>
      <c r="DA287" s="214"/>
      <c r="DB287" s="214"/>
      <c r="DC287" s="214"/>
      <c r="DD287" s="214"/>
      <c r="DE287" s="214"/>
      <c r="DF287" s="214"/>
      <c r="DG287" s="214"/>
      <c r="DH287" s="214"/>
      <c r="DI287" s="214"/>
      <c r="DJ287" s="214"/>
      <c r="DK287" s="214"/>
      <c r="DL287" s="214"/>
      <c r="DM287" s="214"/>
      <c r="DN287" s="214"/>
      <c r="DO287" s="214"/>
      <c r="DP287" s="214"/>
      <c r="DQ287" s="214"/>
      <c r="DR287" s="214"/>
      <c r="DS287" s="214"/>
      <c r="DT287" s="214"/>
      <c r="DU287" s="214"/>
      <c r="DV287" s="214"/>
      <c r="DW287" s="214"/>
      <c r="DX287" s="214"/>
      <c r="DY287" s="214"/>
      <c r="DZ287" s="214"/>
      <c r="EA287" s="214"/>
      <c r="EB287" s="214"/>
      <c r="EC287" s="214"/>
      <c r="ED287" s="214"/>
      <c r="EE287" s="214"/>
      <c r="EF287" s="214"/>
      <c r="EG287" s="214"/>
      <c r="EH287" s="214"/>
      <c r="EI287" s="214"/>
      <c r="EJ287" s="214"/>
      <c r="EK287" s="214"/>
      <c r="EL287" s="214"/>
      <c r="EM287" s="214"/>
      <c r="EN287" s="214"/>
      <c r="EO287" s="214"/>
      <c r="EP287" s="214"/>
      <c r="EQ287" s="214"/>
      <c r="ER287" s="214"/>
      <c r="ES287" s="214"/>
      <c r="ET287" s="214"/>
      <c r="EU287" s="214"/>
      <c r="EV287" s="214"/>
      <c r="EW287" s="214"/>
      <c r="EX287" s="214"/>
      <c r="EY287" s="214"/>
      <c r="EZ287" s="214"/>
      <c r="FA287" s="214"/>
      <c r="FB287" s="214"/>
      <c r="FC287" s="214"/>
      <c r="FD287" s="214"/>
      <c r="FE287" s="214"/>
      <c r="FF287" s="214"/>
      <c r="FG287" s="214"/>
      <c r="FH287" s="214"/>
      <c r="FI287" s="214"/>
      <c r="FJ287" s="214"/>
      <c r="FK287" s="214"/>
      <c r="FL287" s="214"/>
      <c r="FM287" s="214"/>
      <c r="FN287" s="214"/>
      <c r="FO287" s="214"/>
      <c r="FP287" s="214"/>
      <c r="FQ287" s="214"/>
      <c r="FR287" s="214"/>
      <c r="FS287" s="214"/>
      <c r="FT287" s="214"/>
      <c r="FU287" s="214"/>
      <c r="FV287" s="214"/>
      <c r="FW287" s="214"/>
      <c r="FX287" s="214"/>
      <c r="FY287" s="214"/>
      <c r="FZ287" s="214"/>
      <c r="GA287" s="214"/>
      <c r="GB287" s="214"/>
      <c r="GC287" s="214"/>
      <c r="GD287" s="214"/>
      <c r="GE287" s="214"/>
      <c r="GF287" s="214"/>
      <c r="GG287" s="214"/>
      <c r="GH287" s="214"/>
      <c r="GI287" s="214"/>
      <c r="GJ287" s="214"/>
      <c r="GK287" s="214"/>
      <c r="GL287" s="214"/>
      <c r="GM287" s="214"/>
      <c r="GN287" s="214"/>
      <c r="GO287" s="214"/>
      <c r="GP287" s="214"/>
      <c r="GQ287" s="214"/>
      <c r="GR287" s="214"/>
      <c r="GS287" s="214"/>
      <c r="GT287" s="214"/>
      <c r="GU287" s="214"/>
      <c r="GV287" s="214"/>
      <c r="GW287" s="214"/>
      <c r="GX287" s="214"/>
      <c r="GY287" s="214"/>
      <c r="GZ287" s="214"/>
      <c r="HA287" s="214"/>
      <c r="HB287" s="214"/>
      <c r="HC287" s="214"/>
      <c r="HD287" s="214"/>
      <c r="HE287" s="214"/>
      <c r="HF287" s="214"/>
      <c r="HG287" s="214"/>
      <c r="HH287" s="214"/>
      <c r="HI287" s="214"/>
      <c r="HJ287" s="214"/>
      <c r="HK287" s="214"/>
      <c r="HL287" s="214"/>
      <c r="HM287" s="214"/>
      <c r="HN287" s="214"/>
      <c r="HO287" s="214"/>
      <c r="HP287" s="214"/>
      <c r="HQ287" s="214"/>
      <c r="HR287" s="214"/>
      <c r="HS287" s="214"/>
      <c r="HT287" s="214"/>
      <c r="HU287" s="214"/>
      <c r="HV287" s="214"/>
      <c r="HW287" s="214"/>
      <c r="HX287" s="214"/>
      <c r="HY287" s="214"/>
      <c r="HZ287" s="214"/>
      <c r="IA287" s="214"/>
      <c r="IB287" s="214"/>
      <c r="IC287" s="214"/>
      <c r="ID287" s="214"/>
      <c r="IE287" s="214"/>
      <c r="IF287" s="214"/>
      <c r="IG287" s="214"/>
      <c r="IH287" s="214"/>
      <c r="II287" s="214"/>
      <c r="IJ287" s="214"/>
      <c r="IK287" s="214"/>
      <c r="IL287" s="214"/>
      <c r="IM287" s="214"/>
      <c r="IN287" s="214"/>
      <c r="IO287" s="214"/>
      <c r="IP287" s="214"/>
      <c r="IQ287" s="214"/>
      <c r="IR287" s="214"/>
    </row>
    <row r="288" spans="13:252" ht="16.2" thickTop="1" thickBot="1">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c r="BT288" s="214"/>
      <c r="BU288" s="214"/>
      <c r="BV288" s="214"/>
      <c r="BW288" s="214"/>
      <c r="BX288" s="214"/>
      <c r="BY288" s="214"/>
      <c r="BZ288" s="214"/>
      <c r="CA288" s="214"/>
      <c r="CB288" s="214"/>
      <c r="CC288" s="214"/>
      <c r="CD288" s="214"/>
      <c r="CE288" s="214"/>
      <c r="CF288" s="214"/>
      <c r="CG288" s="214"/>
      <c r="CH288" s="214"/>
      <c r="CI288" s="214"/>
      <c r="CJ288" s="214"/>
      <c r="CK288" s="214"/>
      <c r="CL288" s="214"/>
      <c r="CM288" s="214"/>
      <c r="CN288" s="214"/>
      <c r="CO288" s="214"/>
      <c r="CP288" s="214"/>
      <c r="CQ288" s="214"/>
      <c r="CR288" s="214"/>
      <c r="CS288" s="214"/>
      <c r="CT288" s="214"/>
      <c r="CU288" s="214"/>
      <c r="CV288" s="214"/>
      <c r="CW288" s="214"/>
      <c r="CX288" s="214"/>
      <c r="CY288" s="214"/>
      <c r="CZ288" s="214"/>
      <c r="DA288" s="214"/>
      <c r="DB288" s="214"/>
      <c r="DC288" s="214"/>
      <c r="DD288" s="214"/>
      <c r="DE288" s="214"/>
      <c r="DF288" s="214"/>
      <c r="DG288" s="214"/>
      <c r="DH288" s="214"/>
      <c r="DI288" s="214"/>
      <c r="DJ288" s="214"/>
      <c r="DK288" s="214"/>
      <c r="DL288" s="214"/>
      <c r="DM288" s="214"/>
      <c r="DN288" s="214"/>
      <c r="DO288" s="214"/>
      <c r="DP288" s="214"/>
      <c r="DQ288" s="214"/>
      <c r="DR288" s="214"/>
      <c r="DS288" s="214"/>
      <c r="DT288" s="214"/>
      <c r="DU288" s="214"/>
      <c r="DV288" s="214"/>
      <c r="DW288" s="214"/>
      <c r="DX288" s="214"/>
      <c r="DY288" s="214"/>
      <c r="DZ288" s="214"/>
      <c r="EA288" s="214"/>
      <c r="EB288" s="214"/>
      <c r="EC288" s="214"/>
      <c r="ED288" s="214"/>
      <c r="EE288" s="214"/>
      <c r="EF288" s="214"/>
      <c r="EG288" s="214"/>
      <c r="EH288" s="214"/>
      <c r="EI288" s="214"/>
      <c r="EJ288" s="214"/>
      <c r="EK288" s="214"/>
      <c r="EL288" s="214"/>
      <c r="EM288" s="214"/>
      <c r="EN288" s="214"/>
      <c r="EO288" s="214"/>
      <c r="EP288" s="214"/>
      <c r="EQ288" s="214"/>
      <c r="ER288" s="214"/>
      <c r="ES288" s="214"/>
      <c r="ET288" s="214"/>
      <c r="EU288" s="214"/>
      <c r="EV288" s="214"/>
      <c r="EW288" s="214"/>
      <c r="EX288" s="214"/>
      <c r="EY288" s="214"/>
      <c r="EZ288" s="214"/>
      <c r="FA288" s="214"/>
      <c r="FB288" s="214"/>
      <c r="FC288" s="214"/>
      <c r="FD288" s="214"/>
      <c r="FE288" s="214"/>
      <c r="FF288" s="214"/>
      <c r="FG288" s="214"/>
      <c r="FH288" s="214"/>
      <c r="FI288" s="214"/>
      <c r="FJ288" s="214"/>
      <c r="FK288" s="214"/>
      <c r="FL288" s="214"/>
      <c r="FM288" s="214"/>
      <c r="FN288" s="214"/>
      <c r="FO288" s="214"/>
      <c r="FP288" s="214"/>
      <c r="FQ288" s="214"/>
      <c r="FR288" s="214"/>
      <c r="FS288" s="214"/>
      <c r="FT288" s="214"/>
      <c r="FU288" s="214"/>
      <c r="FV288" s="214"/>
      <c r="FW288" s="214"/>
      <c r="FX288" s="214"/>
      <c r="FY288" s="214"/>
      <c r="FZ288" s="214"/>
      <c r="GA288" s="214"/>
      <c r="GB288" s="214"/>
      <c r="GC288" s="214"/>
      <c r="GD288" s="214"/>
      <c r="GE288" s="214"/>
      <c r="GF288" s="214"/>
      <c r="GG288" s="214"/>
      <c r="GH288" s="214"/>
      <c r="GI288" s="214"/>
      <c r="GJ288" s="214"/>
      <c r="GK288" s="214"/>
      <c r="GL288" s="214"/>
      <c r="GM288" s="214"/>
      <c r="GN288" s="214"/>
      <c r="GO288" s="214"/>
      <c r="GP288" s="214"/>
      <c r="GQ288" s="214"/>
      <c r="GR288" s="214"/>
      <c r="GS288" s="214"/>
      <c r="GT288" s="214"/>
      <c r="GU288" s="214"/>
      <c r="GV288" s="214"/>
      <c r="GW288" s="214"/>
      <c r="GX288" s="214"/>
      <c r="GY288" s="214"/>
      <c r="GZ288" s="214"/>
      <c r="HA288" s="214"/>
      <c r="HB288" s="214"/>
      <c r="HC288" s="214"/>
      <c r="HD288" s="214"/>
      <c r="HE288" s="214"/>
      <c r="HF288" s="214"/>
      <c r="HG288" s="214"/>
      <c r="HH288" s="214"/>
      <c r="HI288" s="214"/>
      <c r="HJ288" s="214"/>
      <c r="HK288" s="214"/>
      <c r="HL288" s="214"/>
      <c r="HM288" s="214"/>
      <c r="HN288" s="214"/>
      <c r="HO288" s="214"/>
      <c r="HP288" s="214"/>
      <c r="HQ288" s="214"/>
      <c r="HR288" s="214"/>
      <c r="HS288" s="214"/>
      <c r="HT288" s="214"/>
      <c r="HU288" s="214"/>
      <c r="HV288" s="214"/>
      <c r="HW288" s="214"/>
      <c r="HX288" s="214"/>
      <c r="HY288" s="214"/>
      <c r="HZ288" s="214"/>
      <c r="IA288" s="214"/>
      <c r="IB288" s="214"/>
      <c r="IC288" s="214"/>
      <c r="ID288" s="214"/>
      <c r="IE288" s="214"/>
      <c r="IF288" s="214"/>
      <c r="IG288" s="214"/>
      <c r="IH288" s="214"/>
      <c r="II288" s="214"/>
      <c r="IJ288" s="214"/>
      <c r="IK288" s="214"/>
      <c r="IL288" s="214"/>
      <c r="IM288" s="214"/>
      <c r="IN288" s="214"/>
      <c r="IO288" s="214"/>
      <c r="IP288" s="214"/>
      <c r="IQ288" s="214"/>
      <c r="IR288" s="214"/>
    </row>
    <row r="289" spans="13:252" ht="16.2" thickTop="1" thickBot="1">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c r="BT289" s="214"/>
      <c r="BU289" s="214"/>
      <c r="BV289" s="214"/>
      <c r="BW289" s="214"/>
      <c r="BX289" s="214"/>
      <c r="BY289" s="214"/>
      <c r="BZ289" s="214"/>
      <c r="CA289" s="214"/>
      <c r="CB289" s="214"/>
      <c r="CC289" s="214"/>
      <c r="CD289" s="214"/>
      <c r="CE289" s="214"/>
      <c r="CF289" s="214"/>
      <c r="CG289" s="214"/>
      <c r="CH289" s="214"/>
      <c r="CI289" s="214"/>
      <c r="CJ289" s="214"/>
      <c r="CK289" s="214"/>
      <c r="CL289" s="214"/>
      <c r="CM289" s="214"/>
      <c r="CN289" s="214"/>
      <c r="CO289" s="214"/>
      <c r="CP289" s="214"/>
      <c r="CQ289" s="214"/>
      <c r="CR289" s="214"/>
      <c r="CS289" s="214"/>
      <c r="CT289" s="214"/>
      <c r="CU289" s="214"/>
      <c r="CV289" s="214"/>
      <c r="CW289" s="214"/>
      <c r="CX289" s="214"/>
      <c r="CY289" s="214"/>
      <c r="CZ289" s="214"/>
      <c r="DA289" s="214"/>
      <c r="DB289" s="214"/>
      <c r="DC289" s="214"/>
      <c r="DD289" s="214"/>
      <c r="DE289" s="214"/>
      <c r="DF289" s="214"/>
      <c r="DG289" s="214"/>
      <c r="DH289" s="214"/>
      <c r="DI289" s="214"/>
      <c r="DJ289" s="214"/>
      <c r="DK289" s="214"/>
      <c r="DL289" s="214"/>
      <c r="DM289" s="214"/>
      <c r="DN289" s="214"/>
      <c r="DO289" s="214"/>
      <c r="DP289" s="214"/>
      <c r="DQ289" s="214"/>
      <c r="DR289" s="214"/>
      <c r="DS289" s="214"/>
      <c r="DT289" s="214"/>
      <c r="DU289" s="214"/>
      <c r="DV289" s="214"/>
      <c r="DW289" s="214"/>
      <c r="DX289" s="214"/>
      <c r="DY289" s="214"/>
      <c r="DZ289" s="214"/>
      <c r="EA289" s="214"/>
      <c r="EB289" s="214"/>
      <c r="EC289" s="214"/>
      <c r="ED289" s="214"/>
      <c r="EE289" s="214"/>
      <c r="EF289" s="214"/>
      <c r="EG289" s="214"/>
      <c r="EH289" s="214"/>
      <c r="EI289" s="214"/>
      <c r="EJ289" s="214"/>
      <c r="EK289" s="214"/>
      <c r="EL289" s="214"/>
      <c r="EM289" s="214"/>
      <c r="EN289" s="214"/>
      <c r="EO289" s="214"/>
      <c r="EP289" s="214"/>
      <c r="EQ289" s="214"/>
      <c r="ER289" s="214"/>
      <c r="ES289" s="214"/>
      <c r="ET289" s="214"/>
      <c r="EU289" s="214"/>
      <c r="EV289" s="214"/>
      <c r="EW289" s="214"/>
      <c r="EX289" s="214"/>
      <c r="EY289" s="214"/>
      <c r="EZ289" s="214"/>
      <c r="FA289" s="214"/>
      <c r="FB289" s="214"/>
      <c r="FC289" s="214"/>
      <c r="FD289" s="214"/>
      <c r="FE289" s="214"/>
      <c r="FF289" s="214"/>
      <c r="FG289" s="214"/>
      <c r="FH289" s="214"/>
      <c r="FI289" s="214"/>
      <c r="FJ289" s="214"/>
      <c r="FK289" s="214"/>
      <c r="FL289" s="214"/>
      <c r="FM289" s="214"/>
      <c r="FN289" s="214"/>
      <c r="FO289" s="214"/>
      <c r="FP289" s="214"/>
      <c r="FQ289" s="214"/>
      <c r="FR289" s="214"/>
      <c r="FS289" s="214"/>
      <c r="FT289" s="214"/>
      <c r="FU289" s="214"/>
      <c r="FV289" s="214"/>
      <c r="FW289" s="214"/>
      <c r="FX289" s="214"/>
      <c r="FY289" s="214"/>
      <c r="FZ289" s="214"/>
      <c r="GA289" s="214"/>
      <c r="GB289" s="214"/>
      <c r="GC289" s="214"/>
      <c r="GD289" s="214"/>
      <c r="GE289" s="214"/>
      <c r="GF289" s="214"/>
      <c r="GG289" s="214"/>
      <c r="GH289" s="214"/>
      <c r="GI289" s="214"/>
      <c r="GJ289" s="214"/>
      <c r="GK289" s="214"/>
      <c r="GL289" s="214"/>
      <c r="GM289" s="214"/>
      <c r="GN289" s="214"/>
      <c r="GO289" s="214"/>
      <c r="GP289" s="214"/>
      <c r="GQ289" s="214"/>
      <c r="GR289" s="214"/>
      <c r="GS289" s="214"/>
      <c r="GT289" s="214"/>
      <c r="GU289" s="214"/>
      <c r="GV289" s="214"/>
      <c r="GW289" s="214"/>
      <c r="GX289" s="214"/>
      <c r="GY289" s="214"/>
      <c r="GZ289" s="214"/>
      <c r="HA289" s="214"/>
      <c r="HB289" s="214"/>
      <c r="HC289" s="214"/>
      <c r="HD289" s="214"/>
      <c r="HE289" s="214"/>
      <c r="HF289" s="214"/>
      <c r="HG289" s="214"/>
      <c r="HH289" s="214"/>
      <c r="HI289" s="214"/>
      <c r="HJ289" s="214"/>
      <c r="HK289" s="214"/>
      <c r="HL289" s="214"/>
      <c r="HM289" s="214"/>
      <c r="HN289" s="214"/>
      <c r="HO289" s="214"/>
      <c r="HP289" s="214"/>
      <c r="HQ289" s="214"/>
      <c r="HR289" s="214"/>
      <c r="HS289" s="214"/>
      <c r="HT289" s="214"/>
      <c r="HU289" s="214"/>
      <c r="HV289" s="214"/>
      <c r="HW289" s="214"/>
      <c r="HX289" s="214"/>
      <c r="HY289" s="214"/>
      <c r="HZ289" s="214"/>
      <c r="IA289" s="214"/>
      <c r="IB289" s="214"/>
      <c r="IC289" s="214"/>
      <c r="ID289" s="214"/>
      <c r="IE289" s="214"/>
      <c r="IF289" s="214"/>
      <c r="IG289" s="214"/>
      <c r="IH289" s="214"/>
      <c r="II289" s="214"/>
      <c r="IJ289" s="214"/>
      <c r="IK289" s="214"/>
      <c r="IL289" s="214"/>
      <c r="IM289" s="214"/>
      <c r="IN289" s="214"/>
      <c r="IO289" s="214"/>
      <c r="IP289" s="214"/>
      <c r="IQ289" s="214"/>
      <c r="IR289" s="214"/>
    </row>
    <row r="290" spans="13:252" ht="16.2" thickTop="1" thickBot="1">
      <c r="M290" s="214"/>
      <c r="N290" s="214"/>
      <c r="O290" s="214"/>
      <c r="P290" s="214"/>
      <c r="Q290" s="214"/>
      <c r="R290" s="214"/>
      <c r="S290" s="214"/>
      <c r="T290" s="214"/>
      <c r="U290" s="214"/>
      <c r="V290" s="214"/>
      <c r="W290" s="214"/>
      <c r="X290" s="214"/>
      <c r="Y290" s="214"/>
      <c r="Z290" s="214"/>
      <c r="AA290" s="214"/>
      <c r="AB290" s="214"/>
      <c r="AC290" s="214"/>
      <c r="AD290" s="214"/>
      <c r="AE290" s="214"/>
      <c r="AF290" s="214"/>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c r="BI290" s="214"/>
      <c r="BJ290" s="214"/>
      <c r="BK290" s="214"/>
      <c r="BL290" s="214"/>
      <c r="BM290" s="214"/>
      <c r="BN290" s="214"/>
      <c r="BO290" s="214"/>
      <c r="BP290" s="214"/>
      <c r="BQ290" s="214"/>
      <c r="BR290" s="214"/>
      <c r="BS290" s="214"/>
      <c r="BT290" s="214"/>
      <c r="BU290" s="214"/>
      <c r="BV290" s="214"/>
      <c r="BW290" s="214"/>
      <c r="BX290" s="214"/>
      <c r="BY290" s="214"/>
      <c r="BZ290" s="214"/>
      <c r="CA290" s="214"/>
      <c r="CB290" s="214"/>
      <c r="CC290" s="214"/>
      <c r="CD290" s="214"/>
      <c r="CE290" s="214"/>
      <c r="CF290" s="214"/>
      <c r="CG290" s="214"/>
      <c r="CH290" s="214"/>
      <c r="CI290" s="214"/>
      <c r="CJ290" s="214"/>
      <c r="CK290" s="214"/>
      <c r="CL290" s="214"/>
      <c r="CM290" s="214"/>
      <c r="CN290" s="214"/>
      <c r="CO290" s="214"/>
      <c r="CP290" s="214"/>
      <c r="CQ290" s="214"/>
      <c r="CR290" s="214"/>
      <c r="CS290" s="214"/>
      <c r="CT290" s="214"/>
      <c r="CU290" s="214"/>
      <c r="CV290" s="214"/>
      <c r="CW290" s="214"/>
      <c r="CX290" s="214"/>
      <c r="CY290" s="214"/>
      <c r="CZ290" s="214"/>
      <c r="DA290" s="214"/>
      <c r="DB290" s="214"/>
      <c r="DC290" s="214"/>
      <c r="DD290" s="214"/>
      <c r="DE290" s="214"/>
      <c r="DF290" s="214"/>
      <c r="DG290" s="214"/>
      <c r="DH290" s="214"/>
      <c r="DI290" s="214"/>
      <c r="DJ290" s="214"/>
      <c r="DK290" s="214"/>
      <c r="DL290" s="214"/>
      <c r="DM290" s="214"/>
      <c r="DN290" s="214"/>
      <c r="DO290" s="214"/>
      <c r="DP290" s="214"/>
      <c r="DQ290" s="214"/>
      <c r="DR290" s="214"/>
      <c r="DS290" s="214"/>
      <c r="DT290" s="214"/>
      <c r="DU290" s="214"/>
      <c r="DV290" s="214"/>
      <c r="DW290" s="214"/>
      <c r="DX290" s="214"/>
      <c r="DY290" s="214"/>
      <c r="DZ290" s="214"/>
      <c r="EA290" s="214"/>
      <c r="EB290" s="214"/>
      <c r="EC290" s="214"/>
      <c r="ED290" s="214"/>
      <c r="EE290" s="214"/>
      <c r="EF290" s="214"/>
      <c r="EG290" s="214"/>
      <c r="EH290" s="214"/>
      <c r="EI290" s="214"/>
      <c r="EJ290" s="214"/>
      <c r="EK290" s="214"/>
      <c r="EL290" s="214"/>
      <c r="EM290" s="214"/>
      <c r="EN290" s="214"/>
      <c r="EO290" s="214"/>
      <c r="EP290" s="214"/>
      <c r="EQ290" s="214"/>
      <c r="ER290" s="214"/>
      <c r="ES290" s="214"/>
      <c r="ET290" s="214"/>
      <c r="EU290" s="214"/>
      <c r="EV290" s="214"/>
      <c r="EW290" s="214"/>
      <c r="EX290" s="214"/>
      <c r="EY290" s="214"/>
      <c r="EZ290" s="214"/>
      <c r="FA290" s="214"/>
      <c r="FB290" s="214"/>
      <c r="FC290" s="214"/>
      <c r="FD290" s="214"/>
      <c r="FE290" s="214"/>
      <c r="FF290" s="214"/>
      <c r="FG290" s="214"/>
      <c r="FH290" s="214"/>
      <c r="FI290" s="214"/>
      <c r="FJ290" s="214"/>
      <c r="FK290" s="214"/>
      <c r="FL290" s="214"/>
      <c r="FM290" s="214"/>
      <c r="FN290" s="214"/>
      <c r="FO290" s="214"/>
      <c r="FP290" s="214"/>
      <c r="FQ290" s="214"/>
      <c r="FR290" s="214"/>
      <c r="FS290" s="214"/>
      <c r="FT290" s="214"/>
      <c r="FU290" s="214"/>
      <c r="FV290" s="214"/>
      <c r="FW290" s="214"/>
      <c r="FX290" s="214"/>
      <c r="FY290" s="214"/>
      <c r="FZ290" s="214"/>
      <c r="GA290" s="214"/>
      <c r="GB290" s="214"/>
      <c r="GC290" s="214"/>
      <c r="GD290" s="214"/>
      <c r="GE290" s="214"/>
      <c r="GF290" s="214"/>
      <c r="GG290" s="214"/>
      <c r="GH290" s="214"/>
      <c r="GI290" s="214"/>
      <c r="GJ290" s="214"/>
      <c r="GK290" s="214"/>
      <c r="GL290" s="214"/>
      <c r="GM290" s="214"/>
      <c r="GN290" s="214"/>
      <c r="GO290" s="214"/>
      <c r="GP290" s="214"/>
      <c r="GQ290" s="214"/>
      <c r="GR290" s="214"/>
      <c r="GS290" s="214"/>
      <c r="GT290" s="214"/>
      <c r="GU290" s="214"/>
      <c r="GV290" s="214"/>
      <c r="GW290" s="214"/>
      <c r="GX290" s="214"/>
      <c r="GY290" s="214"/>
      <c r="GZ290" s="214"/>
      <c r="HA290" s="214"/>
      <c r="HB290" s="214"/>
      <c r="HC290" s="214"/>
      <c r="HD290" s="214"/>
      <c r="HE290" s="214"/>
      <c r="HF290" s="214"/>
      <c r="HG290" s="214"/>
      <c r="HH290" s="214"/>
      <c r="HI290" s="214"/>
      <c r="HJ290" s="214"/>
      <c r="HK290" s="214"/>
      <c r="HL290" s="214"/>
      <c r="HM290" s="214"/>
      <c r="HN290" s="214"/>
      <c r="HO290" s="214"/>
      <c r="HP290" s="214"/>
      <c r="HQ290" s="214"/>
      <c r="HR290" s="214"/>
      <c r="HS290" s="214"/>
      <c r="HT290" s="214"/>
      <c r="HU290" s="214"/>
      <c r="HV290" s="214"/>
      <c r="HW290" s="214"/>
      <c r="HX290" s="214"/>
      <c r="HY290" s="214"/>
      <c r="HZ290" s="214"/>
      <c r="IA290" s="214"/>
      <c r="IB290" s="214"/>
      <c r="IC290" s="214"/>
      <c r="ID290" s="214"/>
      <c r="IE290" s="214"/>
      <c r="IF290" s="214"/>
      <c r="IG290" s="214"/>
      <c r="IH290" s="214"/>
      <c r="II290" s="214"/>
      <c r="IJ290" s="214"/>
      <c r="IK290" s="214"/>
      <c r="IL290" s="214"/>
      <c r="IM290" s="214"/>
      <c r="IN290" s="214"/>
      <c r="IO290" s="214"/>
      <c r="IP290" s="214"/>
      <c r="IQ290" s="214"/>
      <c r="IR290" s="214"/>
    </row>
    <row r="291" spans="13:252" ht="16.2" thickTop="1" thickBot="1">
      <c r="M291" s="214"/>
      <c r="N291" s="214"/>
      <c r="O291" s="214"/>
      <c r="P291" s="214"/>
      <c r="Q291" s="214"/>
      <c r="R291" s="214"/>
      <c r="S291" s="214"/>
      <c r="T291" s="214"/>
      <c r="U291" s="214"/>
      <c r="V291" s="214"/>
      <c r="W291" s="214"/>
      <c r="X291" s="214"/>
      <c r="Y291" s="214"/>
      <c r="Z291" s="214"/>
      <c r="AA291" s="214"/>
      <c r="AB291" s="214"/>
      <c r="AC291" s="214"/>
      <c r="AD291" s="214"/>
      <c r="AE291" s="214"/>
      <c r="AF291" s="214"/>
      <c r="AG291" s="214"/>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c r="BI291" s="214"/>
      <c r="BJ291" s="214"/>
      <c r="BK291" s="214"/>
      <c r="BL291" s="214"/>
      <c r="BM291" s="214"/>
      <c r="BN291" s="214"/>
      <c r="BO291" s="214"/>
      <c r="BP291" s="214"/>
      <c r="BQ291" s="214"/>
      <c r="BR291" s="214"/>
      <c r="BS291" s="214"/>
      <c r="BT291" s="214"/>
      <c r="BU291" s="214"/>
      <c r="BV291" s="214"/>
      <c r="BW291" s="214"/>
      <c r="BX291" s="214"/>
      <c r="BY291" s="214"/>
      <c r="BZ291" s="214"/>
      <c r="CA291" s="214"/>
      <c r="CB291" s="214"/>
      <c r="CC291" s="214"/>
      <c r="CD291" s="214"/>
      <c r="CE291" s="214"/>
      <c r="CF291" s="214"/>
      <c r="CG291" s="214"/>
      <c r="CH291" s="214"/>
      <c r="CI291" s="214"/>
      <c r="CJ291" s="214"/>
      <c r="CK291" s="214"/>
      <c r="CL291" s="214"/>
      <c r="CM291" s="214"/>
      <c r="CN291" s="214"/>
      <c r="CO291" s="214"/>
      <c r="CP291" s="214"/>
      <c r="CQ291" s="214"/>
      <c r="CR291" s="214"/>
      <c r="CS291" s="214"/>
      <c r="CT291" s="214"/>
      <c r="CU291" s="214"/>
      <c r="CV291" s="214"/>
      <c r="CW291" s="214"/>
      <c r="CX291" s="214"/>
      <c r="CY291" s="214"/>
      <c r="CZ291" s="214"/>
      <c r="DA291" s="214"/>
      <c r="DB291" s="214"/>
      <c r="DC291" s="214"/>
      <c r="DD291" s="214"/>
      <c r="DE291" s="214"/>
      <c r="DF291" s="214"/>
      <c r="DG291" s="214"/>
      <c r="DH291" s="214"/>
      <c r="DI291" s="214"/>
      <c r="DJ291" s="214"/>
      <c r="DK291" s="214"/>
      <c r="DL291" s="214"/>
      <c r="DM291" s="214"/>
      <c r="DN291" s="214"/>
      <c r="DO291" s="214"/>
      <c r="DP291" s="214"/>
      <c r="DQ291" s="214"/>
      <c r="DR291" s="214"/>
      <c r="DS291" s="214"/>
      <c r="DT291" s="214"/>
      <c r="DU291" s="214"/>
      <c r="DV291" s="214"/>
      <c r="DW291" s="214"/>
      <c r="DX291" s="214"/>
      <c r="DY291" s="214"/>
      <c r="DZ291" s="214"/>
      <c r="EA291" s="214"/>
      <c r="EB291" s="214"/>
      <c r="EC291" s="214"/>
      <c r="ED291" s="214"/>
      <c r="EE291" s="214"/>
      <c r="EF291" s="214"/>
      <c r="EG291" s="214"/>
      <c r="EH291" s="214"/>
      <c r="EI291" s="214"/>
      <c r="EJ291" s="214"/>
      <c r="EK291" s="214"/>
      <c r="EL291" s="214"/>
      <c r="EM291" s="214"/>
      <c r="EN291" s="214"/>
      <c r="EO291" s="214"/>
      <c r="EP291" s="214"/>
      <c r="EQ291" s="214"/>
      <c r="ER291" s="214"/>
      <c r="ES291" s="214"/>
      <c r="ET291" s="214"/>
      <c r="EU291" s="214"/>
      <c r="EV291" s="214"/>
      <c r="EW291" s="214"/>
      <c r="EX291" s="214"/>
      <c r="EY291" s="214"/>
      <c r="EZ291" s="214"/>
      <c r="FA291" s="214"/>
      <c r="FB291" s="214"/>
      <c r="FC291" s="214"/>
      <c r="FD291" s="214"/>
      <c r="FE291" s="214"/>
      <c r="FF291" s="214"/>
      <c r="FG291" s="214"/>
      <c r="FH291" s="214"/>
      <c r="FI291" s="214"/>
      <c r="FJ291" s="214"/>
      <c r="FK291" s="214"/>
      <c r="FL291" s="214"/>
      <c r="FM291" s="214"/>
      <c r="FN291" s="214"/>
      <c r="FO291" s="214"/>
      <c r="FP291" s="214"/>
      <c r="FQ291" s="214"/>
      <c r="FR291" s="214"/>
      <c r="FS291" s="214"/>
      <c r="FT291" s="214"/>
      <c r="FU291" s="214"/>
      <c r="FV291" s="214"/>
      <c r="FW291" s="214"/>
      <c r="FX291" s="214"/>
      <c r="FY291" s="214"/>
      <c r="FZ291" s="214"/>
      <c r="GA291" s="214"/>
      <c r="GB291" s="214"/>
      <c r="GC291" s="214"/>
      <c r="GD291" s="214"/>
      <c r="GE291" s="214"/>
      <c r="GF291" s="214"/>
      <c r="GG291" s="214"/>
      <c r="GH291" s="214"/>
      <c r="GI291" s="214"/>
      <c r="GJ291" s="214"/>
      <c r="GK291" s="214"/>
      <c r="GL291" s="214"/>
      <c r="GM291" s="214"/>
      <c r="GN291" s="214"/>
      <c r="GO291" s="214"/>
      <c r="GP291" s="214"/>
      <c r="GQ291" s="214"/>
      <c r="GR291" s="214"/>
      <c r="GS291" s="214"/>
      <c r="GT291" s="214"/>
      <c r="GU291" s="214"/>
      <c r="GV291" s="214"/>
      <c r="GW291" s="214"/>
      <c r="GX291" s="214"/>
      <c r="GY291" s="214"/>
      <c r="GZ291" s="214"/>
      <c r="HA291" s="214"/>
      <c r="HB291" s="214"/>
      <c r="HC291" s="214"/>
      <c r="HD291" s="214"/>
      <c r="HE291" s="214"/>
      <c r="HF291" s="214"/>
      <c r="HG291" s="214"/>
      <c r="HH291" s="214"/>
      <c r="HI291" s="214"/>
      <c r="HJ291" s="214"/>
      <c r="HK291" s="214"/>
      <c r="HL291" s="214"/>
      <c r="HM291" s="214"/>
      <c r="HN291" s="214"/>
      <c r="HO291" s="214"/>
      <c r="HP291" s="214"/>
      <c r="HQ291" s="214"/>
      <c r="HR291" s="214"/>
      <c r="HS291" s="214"/>
      <c r="HT291" s="214"/>
      <c r="HU291" s="214"/>
      <c r="HV291" s="214"/>
      <c r="HW291" s="214"/>
      <c r="HX291" s="214"/>
      <c r="HY291" s="214"/>
      <c r="HZ291" s="214"/>
      <c r="IA291" s="214"/>
      <c r="IB291" s="214"/>
      <c r="IC291" s="214"/>
      <c r="ID291" s="214"/>
      <c r="IE291" s="214"/>
      <c r="IF291" s="214"/>
      <c r="IG291" s="214"/>
      <c r="IH291" s="214"/>
      <c r="II291" s="214"/>
      <c r="IJ291" s="214"/>
      <c r="IK291" s="214"/>
      <c r="IL291" s="214"/>
      <c r="IM291" s="214"/>
      <c r="IN291" s="214"/>
      <c r="IO291" s="214"/>
      <c r="IP291" s="214"/>
      <c r="IQ291" s="214"/>
      <c r="IR291" s="214"/>
    </row>
    <row r="292" spans="13:252" ht="16.2" thickTop="1" thickBot="1">
      <c r="M292" s="214"/>
      <c r="N292" s="214"/>
      <c r="O292" s="214"/>
      <c r="P292" s="214"/>
      <c r="Q292" s="214"/>
      <c r="R292" s="214"/>
      <c r="S292" s="214"/>
      <c r="T292" s="214"/>
      <c r="U292" s="214"/>
      <c r="V292" s="214"/>
      <c r="W292" s="214"/>
      <c r="X292" s="214"/>
      <c r="Y292" s="214"/>
      <c r="Z292" s="214"/>
      <c r="AA292" s="214"/>
      <c r="AB292" s="214"/>
      <c r="AC292" s="214"/>
      <c r="AD292" s="214"/>
      <c r="AE292" s="214"/>
      <c r="AF292" s="214"/>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c r="BI292" s="214"/>
      <c r="BJ292" s="214"/>
      <c r="BK292" s="214"/>
      <c r="BL292" s="214"/>
      <c r="BM292" s="214"/>
      <c r="BN292" s="214"/>
      <c r="BO292" s="214"/>
      <c r="BP292" s="214"/>
      <c r="BQ292" s="214"/>
      <c r="BR292" s="214"/>
      <c r="BS292" s="214"/>
      <c r="BT292" s="214"/>
      <c r="BU292" s="214"/>
      <c r="BV292" s="214"/>
      <c r="BW292" s="214"/>
      <c r="BX292" s="214"/>
      <c r="BY292" s="214"/>
      <c r="BZ292" s="214"/>
      <c r="CA292" s="214"/>
      <c r="CB292" s="214"/>
      <c r="CC292" s="214"/>
      <c r="CD292" s="214"/>
      <c r="CE292" s="214"/>
      <c r="CF292" s="214"/>
      <c r="CG292" s="214"/>
      <c r="CH292" s="214"/>
      <c r="CI292" s="214"/>
      <c r="CJ292" s="214"/>
      <c r="CK292" s="214"/>
      <c r="CL292" s="214"/>
      <c r="CM292" s="214"/>
      <c r="CN292" s="214"/>
      <c r="CO292" s="214"/>
      <c r="CP292" s="214"/>
      <c r="CQ292" s="214"/>
      <c r="CR292" s="214"/>
      <c r="CS292" s="214"/>
      <c r="CT292" s="214"/>
      <c r="CU292" s="214"/>
      <c r="CV292" s="214"/>
      <c r="CW292" s="214"/>
      <c r="CX292" s="214"/>
      <c r="CY292" s="214"/>
      <c r="CZ292" s="214"/>
      <c r="DA292" s="214"/>
      <c r="DB292" s="214"/>
      <c r="DC292" s="214"/>
      <c r="DD292" s="214"/>
      <c r="DE292" s="214"/>
      <c r="DF292" s="214"/>
      <c r="DG292" s="214"/>
      <c r="DH292" s="214"/>
      <c r="DI292" s="214"/>
      <c r="DJ292" s="214"/>
      <c r="DK292" s="214"/>
      <c r="DL292" s="214"/>
      <c r="DM292" s="214"/>
      <c r="DN292" s="214"/>
      <c r="DO292" s="214"/>
      <c r="DP292" s="214"/>
      <c r="DQ292" s="214"/>
      <c r="DR292" s="214"/>
      <c r="DS292" s="214"/>
      <c r="DT292" s="214"/>
      <c r="DU292" s="214"/>
      <c r="DV292" s="214"/>
      <c r="DW292" s="214"/>
      <c r="DX292" s="214"/>
      <c r="DY292" s="214"/>
      <c r="DZ292" s="214"/>
      <c r="EA292" s="214"/>
      <c r="EB292" s="214"/>
      <c r="EC292" s="214"/>
      <c r="ED292" s="214"/>
      <c r="EE292" s="214"/>
      <c r="EF292" s="214"/>
      <c r="EG292" s="214"/>
      <c r="EH292" s="214"/>
      <c r="EI292" s="214"/>
      <c r="EJ292" s="214"/>
      <c r="EK292" s="214"/>
      <c r="EL292" s="214"/>
      <c r="EM292" s="214"/>
      <c r="EN292" s="214"/>
      <c r="EO292" s="214"/>
      <c r="EP292" s="214"/>
      <c r="EQ292" s="214"/>
      <c r="ER292" s="214"/>
      <c r="ES292" s="214"/>
      <c r="ET292" s="214"/>
      <c r="EU292" s="214"/>
      <c r="EV292" s="214"/>
      <c r="EW292" s="214"/>
      <c r="EX292" s="214"/>
      <c r="EY292" s="214"/>
      <c r="EZ292" s="214"/>
      <c r="FA292" s="214"/>
      <c r="FB292" s="214"/>
      <c r="FC292" s="214"/>
      <c r="FD292" s="214"/>
      <c r="FE292" s="214"/>
      <c r="FF292" s="214"/>
      <c r="FG292" s="214"/>
      <c r="FH292" s="214"/>
      <c r="FI292" s="214"/>
      <c r="FJ292" s="214"/>
      <c r="FK292" s="214"/>
      <c r="FL292" s="214"/>
      <c r="FM292" s="214"/>
      <c r="FN292" s="214"/>
      <c r="FO292" s="214"/>
      <c r="FP292" s="214"/>
      <c r="FQ292" s="214"/>
      <c r="FR292" s="214"/>
      <c r="FS292" s="214"/>
      <c r="FT292" s="214"/>
      <c r="FU292" s="214"/>
      <c r="FV292" s="214"/>
      <c r="FW292" s="214"/>
      <c r="FX292" s="214"/>
      <c r="FY292" s="214"/>
      <c r="FZ292" s="214"/>
      <c r="GA292" s="214"/>
      <c r="GB292" s="214"/>
      <c r="GC292" s="214"/>
      <c r="GD292" s="214"/>
      <c r="GE292" s="214"/>
      <c r="GF292" s="214"/>
      <c r="GG292" s="214"/>
      <c r="GH292" s="214"/>
      <c r="GI292" s="214"/>
      <c r="GJ292" s="214"/>
      <c r="GK292" s="214"/>
      <c r="GL292" s="214"/>
      <c r="GM292" s="214"/>
      <c r="GN292" s="214"/>
      <c r="GO292" s="214"/>
      <c r="GP292" s="214"/>
      <c r="GQ292" s="214"/>
      <c r="GR292" s="214"/>
      <c r="GS292" s="214"/>
      <c r="GT292" s="214"/>
      <c r="GU292" s="214"/>
      <c r="GV292" s="214"/>
      <c r="GW292" s="214"/>
      <c r="GX292" s="214"/>
      <c r="GY292" s="214"/>
      <c r="GZ292" s="214"/>
      <c r="HA292" s="214"/>
      <c r="HB292" s="214"/>
      <c r="HC292" s="214"/>
      <c r="HD292" s="214"/>
      <c r="HE292" s="214"/>
      <c r="HF292" s="214"/>
      <c r="HG292" s="214"/>
      <c r="HH292" s="214"/>
      <c r="HI292" s="214"/>
      <c r="HJ292" s="214"/>
      <c r="HK292" s="214"/>
      <c r="HL292" s="214"/>
      <c r="HM292" s="214"/>
      <c r="HN292" s="214"/>
      <c r="HO292" s="214"/>
      <c r="HP292" s="214"/>
      <c r="HQ292" s="214"/>
      <c r="HR292" s="214"/>
      <c r="HS292" s="214"/>
      <c r="HT292" s="214"/>
      <c r="HU292" s="214"/>
      <c r="HV292" s="214"/>
      <c r="HW292" s="214"/>
      <c r="HX292" s="214"/>
      <c r="HY292" s="214"/>
      <c r="HZ292" s="214"/>
      <c r="IA292" s="214"/>
      <c r="IB292" s="214"/>
      <c r="IC292" s="214"/>
      <c r="ID292" s="214"/>
      <c r="IE292" s="214"/>
      <c r="IF292" s="214"/>
      <c r="IG292" s="214"/>
      <c r="IH292" s="214"/>
      <c r="II292" s="214"/>
      <c r="IJ292" s="214"/>
      <c r="IK292" s="214"/>
      <c r="IL292" s="214"/>
      <c r="IM292" s="214"/>
      <c r="IN292" s="214"/>
      <c r="IO292" s="214"/>
      <c r="IP292" s="214"/>
      <c r="IQ292" s="214"/>
      <c r="IR292" s="214"/>
    </row>
    <row r="293" spans="13:252" ht="16.2" thickTop="1" thickBot="1">
      <c r="M293" s="214"/>
      <c r="N293" s="214"/>
      <c r="O293" s="214"/>
      <c r="P293" s="214"/>
      <c r="Q293" s="214"/>
      <c r="R293" s="214"/>
      <c r="S293" s="214"/>
      <c r="T293" s="214"/>
      <c r="U293" s="214"/>
      <c r="V293" s="214"/>
      <c r="W293" s="214"/>
      <c r="X293" s="214"/>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c r="BI293" s="214"/>
      <c r="BJ293" s="214"/>
      <c r="BK293" s="214"/>
      <c r="BL293" s="214"/>
      <c r="BM293" s="214"/>
      <c r="BN293" s="214"/>
      <c r="BO293" s="214"/>
      <c r="BP293" s="214"/>
      <c r="BQ293" s="214"/>
      <c r="BR293" s="214"/>
      <c r="BS293" s="214"/>
      <c r="BT293" s="214"/>
      <c r="BU293" s="214"/>
      <c r="BV293" s="214"/>
      <c r="BW293" s="214"/>
      <c r="BX293" s="214"/>
      <c r="BY293" s="214"/>
      <c r="BZ293" s="214"/>
      <c r="CA293" s="214"/>
      <c r="CB293" s="214"/>
      <c r="CC293" s="214"/>
      <c r="CD293" s="214"/>
      <c r="CE293" s="214"/>
      <c r="CF293" s="214"/>
      <c r="CG293" s="214"/>
      <c r="CH293" s="214"/>
      <c r="CI293" s="214"/>
      <c r="CJ293" s="214"/>
      <c r="CK293" s="214"/>
      <c r="CL293" s="214"/>
      <c r="CM293" s="214"/>
      <c r="CN293" s="214"/>
      <c r="CO293" s="214"/>
      <c r="CP293" s="214"/>
      <c r="CQ293" s="214"/>
      <c r="CR293" s="214"/>
      <c r="CS293" s="214"/>
      <c r="CT293" s="214"/>
      <c r="CU293" s="214"/>
      <c r="CV293" s="214"/>
      <c r="CW293" s="214"/>
      <c r="CX293" s="214"/>
      <c r="CY293" s="214"/>
      <c r="CZ293" s="214"/>
      <c r="DA293" s="214"/>
      <c r="DB293" s="214"/>
      <c r="DC293" s="214"/>
      <c r="DD293" s="214"/>
      <c r="DE293" s="214"/>
      <c r="DF293" s="214"/>
      <c r="DG293" s="214"/>
      <c r="DH293" s="214"/>
      <c r="DI293" s="214"/>
      <c r="DJ293" s="214"/>
      <c r="DK293" s="214"/>
      <c r="DL293" s="214"/>
      <c r="DM293" s="214"/>
      <c r="DN293" s="214"/>
      <c r="DO293" s="214"/>
      <c r="DP293" s="214"/>
      <c r="DQ293" s="214"/>
      <c r="DR293" s="214"/>
      <c r="DS293" s="214"/>
      <c r="DT293" s="214"/>
      <c r="DU293" s="214"/>
      <c r="DV293" s="214"/>
      <c r="DW293" s="214"/>
      <c r="DX293" s="214"/>
      <c r="DY293" s="214"/>
      <c r="DZ293" s="214"/>
      <c r="EA293" s="214"/>
      <c r="EB293" s="214"/>
      <c r="EC293" s="214"/>
      <c r="ED293" s="214"/>
      <c r="EE293" s="214"/>
      <c r="EF293" s="214"/>
      <c r="EG293" s="214"/>
      <c r="EH293" s="214"/>
      <c r="EI293" s="214"/>
      <c r="EJ293" s="214"/>
      <c r="EK293" s="214"/>
      <c r="EL293" s="214"/>
      <c r="EM293" s="214"/>
      <c r="EN293" s="214"/>
      <c r="EO293" s="214"/>
      <c r="EP293" s="214"/>
      <c r="EQ293" s="214"/>
      <c r="ER293" s="214"/>
      <c r="ES293" s="214"/>
      <c r="ET293" s="214"/>
      <c r="EU293" s="214"/>
      <c r="EV293" s="214"/>
      <c r="EW293" s="214"/>
      <c r="EX293" s="214"/>
      <c r="EY293" s="214"/>
      <c r="EZ293" s="214"/>
      <c r="FA293" s="214"/>
      <c r="FB293" s="214"/>
      <c r="FC293" s="214"/>
      <c r="FD293" s="214"/>
      <c r="FE293" s="214"/>
      <c r="FF293" s="214"/>
      <c r="FG293" s="214"/>
      <c r="FH293" s="214"/>
      <c r="FI293" s="214"/>
      <c r="FJ293" s="214"/>
      <c r="FK293" s="214"/>
      <c r="FL293" s="214"/>
      <c r="FM293" s="214"/>
      <c r="FN293" s="214"/>
      <c r="FO293" s="214"/>
      <c r="FP293" s="214"/>
      <c r="FQ293" s="214"/>
      <c r="FR293" s="214"/>
      <c r="FS293" s="214"/>
      <c r="FT293" s="214"/>
      <c r="FU293" s="214"/>
      <c r="FV293" s="214"/>
      <c r="FW293" s="214"/>
      <c r="FX293" s="214"/>
      <c r="FY293" s="214"/>
      <c r="FZ293" s="214"/>
      <c r="GA293" s="214"/>
      <c r="GB293" s="214"/>
      <c r="GC293" s="214"/>
      <c r="GD293" s="214"/>
      <c r="GE293" s="214"/>
      <c r="GF293" s="214"/>
      <c r="GG293" s="214"/>
      <c r="GH293" s="214"/>
      <c r="GI293" s="214"/>
      <c r="GJ293" s="214"/>
      <c r="GK293" s="214"/>
      <c r="GL293" s="214"/>
      <c r="GM293" s="214"/>
      <c r="GN293" s="214"/>
      <c r="GO293" s="214"/>
      <c r="GP293" s="214"/>
      <c r="GQ293" s="214"/>
      <c r="GR293" s="214"/>
      <c r="GS293" s="214"/>
      <c r="GT293" s="214"/>
      <c r="GU293" s="214"/>
      <c r="GV293" s="214"/>
      <c r="GW293" s="214"/>
      <c r="GX293" s="214"/>
      <c r="GY293" s="214"/>
      <c r="GZ293" s="214"/>
      <c r="HA293" s="214"/>
      <c r="HB293" s="214"/>
      <c r="HC293" s="214"/>
      <c r="HD293" s="214"/>
      <c r="HE293" s="214"/>
      <c r="HF293" s="214"/>
      <c r="HG293" s="214"/>
      <c r="HH293" s="214"/>
      <c r="HI293" s="214"/>
      <c r="HJ293" s="214"/>
      <c r="HK293" s="214"/>
      <c r="HL293" s="214"/>
      <c r="HM293" s="214"/>
      <c r="HN293" s="214"/>
      <c r="HO293" s="214"/>
      <c r="HP293" s="214"/>
      <c r="HQ293" s="214"/>
      <c r="HR293" s="214"/>
      <c r="HS293" s="214"/>
      <c r="HT293" s="214"/>
      <c r="HU293" s="214"/>
      <c r="HV293" s="214"/>
      <c r="HW293" s="214"/>
      <c r="HX293" s="214"/>
      <c r="HY293" s="214"/>
      <c r="HZ293" s="214"/>
      <c r="IA293" s="214"/>
      <c r="IB293" s="214"/>
      <c r="IC293" s="214"/>
      <c r="ID293" s="214"/>
      <c r="IE293" s="214"/>
      <c r="IF293" s="214"/>
      <c r="IG293" s="214"/>
      <c r="IH293" s="214"/>
      <c r="II293" s="214"/>
      <c r="IJ293" s="214"/>
      <c r="IK293" s="214"/>
      <c r="IL293" s="214"/>
      <c r="IM293" s="214"/>
      <c r="IN293" s="214"/>
      <c r="IO293" s="214"/>
      <c r="IP293" s="214"/>
      <c r="IQ293" s="214"/>
      <c r="IR293" s="214"/>
    </row>
    <row r="294" spans="13:252" ht="16.2" thickTop="1" thickBot="1">
      <c r="M294" s="214"/>
      <c r="N294" s="214"/>
      <c r="O294" s="214"/>
      <c r="P294" s="214"/>
      <c r="Q294" s="214"/>
      <c r="R294" s="214"/>
      <c r="S294" s="214"/>
      <c r="T294" s="214"/>
      <c r="U294" s="214"/>
      <c r="V294" s="214"/>
      <c r="W294" s="214"/>
      <c r="X294" s="214"/>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c r="BI294" s="214"/>
      <c r="BJ294" s="214"/>
      <c r="BK294" s="214"/>
      <c r="BL294" s="214"/>
      <c r="BM294" s="214"/>
      <c r="BN294" s="214"/>
      <c r="BO294" s="214"/>
      <c r="BP294" s="214"/>
      <c r="BQ294" s="214"/>
      <c r="BR294" s="214"/>
      <c r="BS294" s="214"/>
      <c r="BT294" s="214"/>
      <c r="BU294" s="214"/>
      <c r="BV294" s="214"/>
      <c r="BW294" s="214"/>
      <c r="BX294" s="214"/>
      <c r="BY294" s="214"/>
      <c r="BZ294" s="214"/>
      <c r="CA294" s="214"/>
      <c r="CB294" s="214"/>
      <c r="CC294" s="214"/>
      <c r="CD294" s="214"/>
      <c r="CE294" s="214"/>
      <c r="CF294" s="214"/>
      <c r="CG294" s="214"/>
      <c r="CH294" s="214"/>
      <c r="CI294" s="214"/>
      <c r="CJ294" s="214"/>
      <c r="CK294" s="214"/>
      <c r="CL294" s="214"/>
      <c r="CM294" s="214"/>
      <c r="CN294" s="214"/>
      <c r="CO294" s="214"/>
      <c r="CP294" s="214"/>
      <c r="CQ294" s="214"/>
      <c r="CR294" s="214"/>
      <c r="CS294" s="214"/>
      <c r="CT294" s="214"/>
      <c r="CU294" s="214"/>
      <c r="CV294" s="214"/>
      <c r="CW294" s="214"/>
      <c r="CX294" s="214"/>
      <c r="CY294" s="214"/>
      <c r="CZ294" s="214"/>
      <c r="DA294" s="214"/>
      <c r="DB294" s="214"/>
      <c r="DC294" s="214"/>
      <c r="DD294" s="214"/>
      <c r="DE294" s="214"/>
      <c r="DF294" s="214"/>
      <c r="DG294" s="214"/>
      <c r="DH294" s="214"/>
      <c r="DI294" s="214"/>
      <c r="DJ294" s="214"/>
      <c r="DK294" s="214"/>
      <c r="DL294" s="214"/>
      <c r="DM294" s="214"/>
      <c r="DN294" s="214"/>
      <c r="DO294" s="214"/>
      <c r="DP294" s="214"/>
      <c r="DQ294" s="214"/>
      <c r="DR294" s="214"/>
      <c r="DS294" s="214"/>
      <c r="DT294" s="214"/>
      <c r="DU294" s="214"/>
      <c r="DV294" s="214"/>
      <c r="DW294" s="214"/>
      <c r="DX294" s="214"/>
      <c r="DY294" s="214"/>
      <c r="DZ294" s="214"/>
      <c r="EA294" s="214"/>
      <c r="EB294" s="214"/>
      <c r="EC294" s="214"/>
      <c r="ED294" s="214"/>
      <c r="EE294" s="214"/>
      <c r="EF294" s="214"/>
      <c r="EG294" s="214"/>
      <c r="EH294" s="214"/>
      <c r="EI294" s="214"/>
      <c r="EJ294" s="214"/>
      <c r="EK294" s="214"/>
      <c r="EL294" s="214"/>
      <c r="EM294" s="214"/>
      <c r="EN294" s="214"/>
      <c r="EO294" s="214"/>
      <c r="EP294" s="214"/>
      <c r="EQ294" s="214"/>
      <c r="ER294" s="214"/>
      <c r="ES294" s="214"/>
      <c r="ET294" s="214"/>
      <c r="EU294" s="214"/>
      <c r="EV294" s="214"/>
      <c r="EW294" s="214"/>
      <c r="EX294" s="214"/>
      <c r="EY294" s="214"/>
      <c r="EZ294" s="214"/>
      <c r="FA294" s="214"/>
      <c r="FB294" s="214"/>
      <c r="FC294" s="214"/>
      <c r="FD294" s="214"/>
      <c r="FE294" s="214"/>
      <c r="FF294" s="214"/>
      <c r="FG294" s="214"/>
      <c r="FH294" s="214"/>
      <c r="FI294" s="214"/>
      <c r="FJ294" s="214"/>
      <c r="FK294" s="214"/>
      <c r="FL294" s="214"/>
      <c r="FM294" s="214"/>
      <c r="FN294" s="214"/>
      <c r="FO294" s="214"/>
      <c r="FP294" s="214"/>
      <c r="FQ294" s="214"/>
      <c r="FR294" s="214"/>
      <c r="FS294" s="214"/>
      <c r="FT294" s="214"/>
      <c r="FU294" s="214"/>
      <c r="FV294" s="214"/>
      <c r="FW294" s="214"/>
      <c r="FX294" s="214"/>
      <c r="FY294" s="214"/>
      <c r="FZ294" s="214"/>
      <c r="GA294" s="214"/>
      <c r="GB294" s="214"/>
      <c r="GC294" s="214"/>
      <c r="GD294" s="214"/>
      <c r="GE294" s="214"/>
      <c r="GF294" s="214"/>
      <c r="GG294" s="214"/>
      <c r="GH294" s="214"/>
      <c r="GI294" s="214"/>
      <c r="GJ294" s="214"/>
      <c r="GK294" s="214"/>
      <c r="GL294" s="214"/>
      <c r="GM294" s="214"/>
      <c r="GN294" s="214"/>
      <c r="GO294" s="214"/>
      <c r="GP294" s="214"/>
      <c r="GQ294" s="214"/>
      <c r="GR294" s="214"/>
      <c r="GS294" s="214"/>
      <c r="GT294" s="214"/>
      <c r="GU294" s="214"/>
      <c r="GV294" s="214"/>
      <c r="GW294" s="214"/>
      <c r="GX294" s="214"/>
      <c r="GY294" s="214"/>
      <c r="GZ294" s="214"/>
      <c r="HA294" s="214"/>
      <c r="HB294" s="214"/>
      <c r="HC294" s="214"/>
      <c r="HD294" s="214"/>
      <c r="HE294" s="214"/>
      <c r="HF294" s="214"/>
      <c r="HG294" s="214"/>
      <c r="HH294" s="214"/>
      <c r="HI294" s="214"/>
      <c r="HJ294" s="214"/>
      <c r="HK294" s="214"/>
      <c r="HL294" s="214"/>
      <c r="HM294" s="214"/>
      <c r="HN294" s="214"/>
      <c r="HO294" s="214"/>
      <c r="HP294" s="214"/>
      <c r="HQ294" s="214"/>
      <c r="HR294" s="214"/>
      <c r="HS294" s="214"/>
      <c r="HT294" s="214"/>
      <c r="HU294" s="214"/>
      <c r="HV294" s="214"/>
      <c r="HW294" s="214"/>
      <c r="HX294" s="214"/>
      <c r="HY294" s="214"/>
      <c r="HZ294" s="214"/>
      <c r="IA294" s="214"/>
      <c r="IB294" s="214"/>
      <c r="IC294" s="214"/>
      <c r="ID294" s="214"/>
      <c r="IE294" s="214"/>
      <c r="IF294" s="214"/>
      <c r="IG294" s="214"/>
      <c r="IH294" s="214"/>
      <c r="II294" s="214"/>
      <c r="IJ294" s="214"/>
      <c r="IK294" s="214"/>
      <c r="IL294" s="214"/>
      <c r="IM294" s="214"/>
      <c r="IN294" s="214"/>
      <c r="IO294" s="214"/>
      <c r="IP294" s="214"/>
      <c r="IQ294" s="214"/>
      <c r="IR294" s="214"/>
    </row>
    <row r="295" spans="13:252" ht="16.2" thickTop="1" thickBot="1">
      <c r="M295" s="214"/>
      <c r="N295" s="214"/>
      <c r="O295" s="214"/>
      <c r="P295" s="214"/>
      <c r="Q295" s="214"/>
      <c r="R295" s="214"/>
      <c r="S295" s="214"/>
      <c r="T295" s="214"/>
      <c r="U295" s="214"/>
      <c r="V295" s="214"/>
      <c r="W295" s="214"/>
      <c r="X295" s="214"/>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c r="BI295" s="214"/>
      <c r="BJ295" s="214"/>
      <c r="BK295" s="214"/>
      <c r="BL295" s="214"/>
      <c r="BM295" s="214"/>
      <c r="BN295" s="214"/>
      <c r="BO295" s="214"/>
      <c r="BP295" s="214"/>
      <c r="BQ295" s="214"/>
      <c r="BR295" s="214"/>
      <c r="BS295" s="214"/>
      <c r="BT295" s="214"/>
      <c r="BU295" s="214"/>
      <c r="BV295" s="214"/>
      <c r="BW295" s="214"/>
      <c r="BX295" s="214"/>
      <c r="BY295" s="214"/>
      <c r="BZ295" s="214"/>
      <c r="CA295" s="214"/>
      <c r="CB295" s="214"/>
      <c r="CC295" s="214"/>
      <c r="CD295" s="214"/>
      <c r="CE295" s="214"/>
      <c r="CF295" s="214"/>
      <c r="CG295" s="214"/>
      <c r="CH295" s="214"/>
      <c r="CI295" s="214"/>
      <c r="CJ295" s="214"/>
      <c r="CK295" s="214"/>
      <c r="CL295" s="214"/>
      <c r="CM295" s="214"/>
      <c r="CN295" s="214"/>
      <c r="CO295" s="214"/>
      <c r="CP295" s="214"/>
      <c r="CQ295" s="214"/>
      <c r="CR295" s="214"/>
      <c r="CS295" s="214"/>
      <c r="CT295" s="214"/>
      <c r="CU295" s="214"/>
      <c r="CV295" s="214"/>
      <c r="CW295" s="214"/>
      <c r="CX295" s="214"/>
      <c r="CY295" s="214"/>
      <c r="CZ295" s="214"/>
      <c r="DA295" s="214"/>
      <c r="DB295" s="214"/>
      <c r="DC295" s="214"/>
      <c r="DD295" s="214"/>
      <c r="DE295" s="214"/>
      <c r="DF295" s="214"/>
      <c r="DG295" s="214"/>
      <c r="DH295" s="214"/>
      <c r="DI295" s="214"/>
      <c r="DJ295" s="214"/>
      <c r="DK295" s="214"/>
      <c r="DL295" s="214"/>
      <c r="DM295" s="214"/>
      <c r="DN295" s="214"/>
      <c r="DO295" s="214"/>
      <c r="DP295" s="214"/>
      <c r="DQ295" s="214"/>
      <c r="DR295" s="214"/>
      <c r="DS295" s="214"/>
      <c r="DT295" s="214"/>
      <c r="DU295" s="214"/>
      <c r="DV295" s="214"/>
      <c r="DW295" s="214"/>
      <c r="DX295" s="214"/>
      <c r="DY295" s="214"/>
      <c r="DZ295" s="214"/>
      <c r="EA295" s="214"/>
      <c r="EB295" s="214"/>
      <c r="EC295" s="214"/>
      <c r="ED295" s="214"/>
      <c r="EE295" s="214"/>
      <c r="EF295" s="214"/>
      <c r="EG295" s="214"/>
      <c r="EH295" s="214"/>
      <c r="EI295" s="214"/>
      <c r="EJ295" s="214"/>
      <c r="EK295" s="214"/>
      <c r="EL295" s="214"/>
      <c r="EM295" s="214"/>
      <c r="EN295" s="214"/>
      <c r="EO295" s="214"/>
      <c r="EP295" s="214"/>
      <c r="EQ295" s="214"/>
      <c r="ER295" s="214"/>
      <c r="ES295" s="214"/>
      <c r="ET295" s="214"/>
      <c r="EU295" s="214"/>
      <c r="EV295" s="214"/>
      <c r="EW295" s="214"/>
      <c r="EX295" s="214"/>
      <c r="EY295" s="214"/>
      <c r="EZ295" s="214"/>
      <c r="FA295" s="214"/>
      <c r="FB295" s="214"/>
      <c r="FC295" s="214"/>
      <c r="FD295" s="214"/>
      <c r="FE295" s="214"/>
      <c r="FF295" s="214"/>
      <c r="FG295" s="214"/>
      <c r="FH295" s="214"/>
      <c r="FI295" s="214"/>
      <c r="FJ295" s="214"/>
      <c r="FK295" s="214"/>
      <c r="FL295" s="214"/>
      <c r="FM295" s="214"/>
      <c r="FN295" s="214"/>
      <c r="FO295" s="214"/>
      <c r="FP295" s="214"/>
      <c r="FQ295" s="214"/>
      <c r="FR295" s="214"/>
      <c r="FS295" s="214"/>
      <c r="FT295" s="214"/>
      <c r="FU295" s="214"/>
      <c r="FV295" s="214"/>
      <c r="FW295" s="214"/>
      <c r="FX295" s="214"/>
      <c r="FY295" s="214"/>
      <c r="FZ295" s="214"/>
      <c r="GA295" s="214"/>
      <c r="GB295" s="214"/>
      <c r="GC295" s="214"/>
      <c r="GD295" s="214"/>
      <c r="GE295" s="214"/>
      <c r="GF295" s="214"/>
      <c r="GG295" s="214"/>
      <c r="GH295" s="214"/>
      <c r="GI295" s="214"/>
      <c r="GJ295" s="214"/>
      <c r="GK295" s="214"/>
      <c r="GL295" s="214"/>
      <c r="GM295" s="214"/>
      <c r="GN295" s="214"/>
      <c r="GO295" s="214"/>
      <c r="GP295" s="214"/>
      <c r="GQ295" s="214"/>
      <c r="GR295" s="214"/>
      <c r="GS295" s="214"/>
      <c r="GT295" s="214"/>
      <c r="GU295" s="214"/>
      <c r="GV295" s="214"/>
      <c r="GW295" s="214"/>
      <c r="GX295" s="214"/>
      <c r="GY295" s="214"/>
      <c r="GZ295" s="214"/>
      <c r="HA295" s="214"/>
      <c r="HB295" s="214"/>
      <c r="HC295" s="214"/>
      <c r="HD295" s="214"/>
      <c r="HE295" s="214"/>
      <c r="HF295" s="214"/>
      <c r="HG295" s="214"/>
      <c r="HH295" s="214"/>
      <c r="HI295" s="214"/>
      <c r="HJ295" s="214"/>
      <c r="HK295" s="214"/>
      <c r="HL295" s="214"/>
      <c r="HM295" s="214"/>
      <c r="HN295" s="214"/>
      <c r="HO295" s="214"/>
      <c r="HP295" s="214"/>
      <c r="HQ295" s="214"/>
      <c r="HR295" s="214"/>
      <c r="HS295" s="214"/>
      <c r="HT295" s="214"/>
      <c r="HU295" s="214"/>
      <c r="HV295" s="214"/>
      <c r="HW295" s="214"/>
      <c r="HX295" s="214"/>
      <c r="HY295" s="214"/>
      <c r="HZ295" s="214"/>
      <c r="IA295" s="214"/>
      <c r="IB295" s="214"/>
      <c r="IC295" s="214"/>
      <c r="ID295" s="214"/>
      <c r="IE295" s="214"/>
      <c r="IF295" s="214"/>
      <c r="IG295" s="214"/>
      <c r="IH295" s="214"/>
      <c r="II295" s="214"/>
      <c r="IJ295" s="214"/>
      <c r="IK295" s="214"/>
      <c r="IL295" s="214"/>
      <c r="IM295" s="214"/>
      <c r="IN295" s="214"/>
      <c r="IO295" s="214"/>
      <c r="IP295" s="214"/>
      <c r="IQ295" s="214"/>
      <c r="IR295" s="214"/>
    </row>
    <row r="296" spans="13:252" ht="16.2" thickTop="1" thickBot="1">
      <c r="M296" s="214"/>
      <c r="N296" s="214"/>
      <c r="O296" s="214"/>
      <c r="P296" s="214"/>
      <c r="Q296" s="214"/>
      <c r="R296" s="214"/>
      <c r="S296" s="214"/>
      <c r="T296" s="214"/>
      <c r="U296" s="214"/>
      <c r="V296" s="214"/>
      <c r="W296" s="214"/>
      <c r="X296" s="214"/>
      <c r="Y296" s="214"/>
      <c r="Z296" s="214"/>
      <c r="AA296" s="214"/>
      <c r="AB296" s="214"/>
      <c r="AC296" s="214"/>
      <c r="AD296" s="214"/>
      <c r="AE296" s="214"/>
      <c r="AF296" s="214"/>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c r="BI296" s="214"/>
      <c r="BJ296" s="214"/>
      <c r="BK296" s="214"/>
      <c r="BL296" s="214"/>
      <c r="BM296" s="214"/>
      <c r="BN296" s="214"/>
      <c r="BO296" s="214"/>
      <c r="BP296" s="214"/>
      <c r="BQ296" s="214"/>
      <c r="BR296" s="214"/>
      <c r="BS296" s="214"/>
      <c r="BT296" s="214"/>
      <c r="BU296" s="214"/>
      <c r="BV296" s="214"/>
      <c r="BW296" s="214"/>
      <c r="BX296" s="214"/>
      <c r="BY296" s="214"/>
      <c r="BZ296" s="214"/>
      <c r="CA296" s="214"/>
      <c r="CB296" s="214"/>
      <c r="CC296" s="214"/>
      <c r="CD296" s="214"/>
      <c r="CE296" s="214"/>
      <c r="CF296" s="214"/>
      <c r="CG296" s="214"/>
      <c r="CH296" s="214"/>
      <c r="CI296" s="214"/>
      <c r="CJ296" s="214"/>
      <c r="CK296" s="214"/>
      <c r="CL296" s="214"/>
      <c r="CM296" s="214"/>
      <c r="CN296" s="214"/>
      <c r="CO296" s="214"/>
      <c r="CP296" s="214"/>
      <c r="CQ296" s="214"/>
      <c r="CR296" s="214"/>
      <c r="CS296" s="214"/>
      <c r="CT296" s="214"/>
      <c r="CU296" s="214"/>
      <c r="CV296" s="214"/>
      <c r="CW296" s="214"/>
      <c r="CX296" s="214"/>
      <c r="CY296" s="214"/>
      <c r="CZ296" s="214"/>
      <c r="DA296" s="214"/>
      <c r="DB296" s="214"/>
      <c r="DC296" s="214"/>
      <c r="DD296" s="214"/>
      <c r="DE296" s="214"/>
      <c r="DF296" s="214"/>
      <c r="DG296" s="214"/>
      <c r="DH296" s="214"/>
      <c r="DI296" s="214"/>
      <c r="DJ296" s="214"/>
      <c r="DK296" s="214"/>
      <c r="DL296" s="214"/>
      <c r="DM296" s="214"/>
      <c r="DN296" s="214"/>
      <c r="DO296" s="214"/>
      <c r="DP296" s="214"/>
      <c r="DQ296" s="214"/>
      <c r="DR296" s="214"/>
      <c r="DS296" s="214"/>
      <c r="DT296" s="214"/>
      <c r="DU296" s="214"/>
      <c r="DV296" s="214"/>
      <c r="DW296" s="214"/>
      <c r="DX296" s="214"/>
      <c r="DY296" s="214"/>
      <c r="DZ296" s="214"/>
      <c r="EA296" s="214"/>
      <c r="EB296" s="214"/>
      <c r="EC296" s="214"/>
      <c r="ED296" s="214"/>
      <c r="EE296" s="214"/>
      <c r="EF296" s="214"/>
      <c r="EG296" s="214"/>
      <c r="EH296" s="214"/>
      <c r="EI296" s="214"/>
      <c r="EJ296" s="214"/>
      <c r="EK296" s="214"/>
      <c r="EL296" s="214"/>
      <c r="EM296" s="214"/>
      <c r="EN296" s="214"/>
      <c r="EO296" s="214"/>
      <c r="EP296" s="214"/>
      <c r="EQ296" s="214"/>
      <c r="ER296" s="214"/>
      <c r="ES296" s="214"/>
      <c r="ET296" s="214"/>
      <c r="EU296" s="214"/>
      <c r="EV296" s="214"/>
      <c r="EW296" s="214"/>
      <c r="EX296" s="214"/>
      <c r="EY296" s="214"/>
      <c r="EZ296" s="214"/>
      <c r="FA296" s="214"/>
      <c r="FB296" s="214"/>
      <c r="FC296" s="214"/>
      <c r="FD296" s="214"/>
      <c r="FE296" s="214"/>
      <c r="FF296" s="214"/>
      <c r="FG296" s="214"/>
      <c r="FH296" s="214"/>
      <c r="FI296" s="214"/>
      <c r="FJ296" s="214"/>
      <c r="FK296" s="214"/>
      <c r="FL296" s="214"/>
      <c r="FM296" s="214"/>
      <c r="FN296" s="214"/>
      <c r="FO296" s="214"/>
      <c r="FP296" s="214"/>
      <c r="FQ296" s="214"/>
      <c r="FR296" s="214"/>
      <c r="FS296" s="214"/>
      <c r="FT296" s="214"/>
      <c r="FU296" s="214"/>
      <c r="FV296" s="214"/>
      <c r="FW296" s="214"/>
      <c r="FX296" s="214"/>
      <c r="FY296" s="214"/>
      <c r="FZ296" s="214"/>
      <c r="GA296" s="214"/>
      <c r="GB296" s="214"/>
      <c r="GC296" s="214"/>
      <c r="GD296" s="214"/>
      <c r="GE296" s="214"/>
      <c r="GF296" s="214"/>
      <c r="GG296" s="214"/>
      <c r="GH296" s="214"/>
      <c r="GI296" s="214"/>
      <c r="GJ296" s="214"/>
      <c r="GK296" s="214"/>
      <c r="GL296" s="214"/>
      <c r="GM296" s="214"/>
      <c r="GN296" s="214"/>
      <c r="GO296" s="214"/>
      <c r="GP296" s="214"/>
      <c r="GQ296" s="214"/>
      <c r="GR296" s="214"/>
      <c r="GS296" s="214"/>
      <c r="GT296" s="214"/>
      <c r="GU296" s="214"/>
      <c r="GV296" s="214"/>
      <c r="GW296" s="214"/>
      <c r="GX296" s="214"/>
      <c r="GY296" s="214"/>
      <c r="GZ296" s="214"/>
      <c r="HA296" s="214"/>
      <c r="HB296" s="214"/>
      <c r="HC296" s="214"/>
      <c r="HD296" s="214"/>
      <c r="HE296" s="214"/>
      <c r="HF296" s="214"/>
      <c r="HG296" s="214"/>
      <c r="HH296" s="214"/>
      <c r="HI296" s="214"/>
      <c r="HJ296" s="214"/>
      <c r="HK296" s="214"/>
      <c r="HL296" s="214"/>
      <c r="HM296" s="214"/>
      <c r="HN296" s="214"/>
      <c r="HO296" s="214"/>
      <c r="HP296" s="214"/>
      <c r="HQ296" s="214"/>
      <c r="HR296" s="214"/>
      <c r="HS296" s="214"/>
      <c r="HT296" s="214"/>
      <c r="HU296" s="214"/>
      <c r="HV296" s="214"/>
      <c r="HW296" s="214"/>
      <c r="HX296" s="214"/>
      <c r="HY296" s="214"/>
      <c r="HZ296" s="214"/>
      <c r="IA296" s="214"/>
      <c r="IB296" s="214"/>
      <c r="IC296" s="214"/>
      <c r="ID296" s="214"/>
      <c r="IE296" s="214"/>
      <c r="IF296" s="214"/>
      <c r="IG296" s="214"/>
      <c r="IH296" s="214"/>
      <c r="II296" s="214"/>
      <c r="IJ296" s="214"/>
      <c r="IK296" s="214"/>
      <c r="IL296" s="214"/>
      <c r="IM296" s="214"/>
      <c r="IN296" s="214"/>
      <c r="IO296" s="214"/>
      <c r="IP296" s="214"/>
      <c r="IQ296" s="214"/>
      <c r="IR296" s="214"/>
    </row>
    <row r="297" spans="13:252" ht="16.2" thickTop="1" thickBot="1">
      <c r="M297" s="214"/>
      <c r="N297" s="214"/>
      <c r="O297" s="214"/>
      <c r="P297" s="214"/>
      <c r="Q297" s="214"/>
      <c r="R297" s="214"/>
      <c r="S297" s="214"/>
      <c r="T297" s="214"/>
      <c r="U297" s="214"/>
      <c r="V297" s="214"/>
      <c r="W297" s="214"/>
      <c r="X297" s="214"/>
      <c r="Y297" s="214"/>
      <c r="Z297" s="214"/>
      <c r="AA297" s="214"/>
      <c r="AB297" s="214"/>
      <c r="AC297" s="214"/>
      <c r="AD297" s="214"/>
      <c r="AE297" s="214"/>
      <c r="AF297" s="214"/>
      <c r="AG297" s="214"/>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c r="BI297" s="214"/>
      <c r="BJ297" s="214"/>
      <c r="BK297" s="214"/>
      <c r="BL297" s="214"/>
      <c r="BM297" s="214"/>
      <c r="BN297" s="214"/>
      <c r="BO297" s="214"/>
      <c r="BP297" s="214"/>
      <c r="BQ297" s="214"/>
      <c r="BR297" s="214"/>
      <c r="BS297" s="214"/>
      <c r="BT297" s="214"/>
      <c r="BU297" s="214"/>
      <c r="BV297" s="214"/>
      <c r="BW297" s="214"/>
      <c r="BX297" s="214"/>
      <c r="BY297" s="214"/>
      <c r="BZ297" s="214"/>
      <c r="CA297" s="214"/>
      <c r="CB297" s="214"/>
      <c r="CC297" s="214"/>
      <c r="CD297" s="214"/>
      <c r="CE297" s="214"/>
      <c r="CF297" s="214"/>
      <c r="CG297" s="214"/>
      <c r="CH297" s="214"/>
      <c r="CI297" s="214"/>
      <c r="CJ297" s="214"/>
      <c r="CK297" s="214"/>
      <c r="CL297" s="214"/>
      <c r="CM297" s="214"/>
      <c r="CN297" s="214"/>
      <c r="CO297" s="214"/>
      <c r="CP297" s="214"/>
      <c r="CQ297" s="214"/>
      <c r="CR297" s="214"/>
      <c r="CS297" s="214"/>
      <c r="CT297" s="214"/>
      <c r="CU297" s="214"/>
      <c r="CV297" s="214"/>
      <c r="CW297" s="214"/>
      <c r="CX297" s="214"/>
      <c r="CY297" s="214"/>
      <c r="CZ297" s="214"/>
      <c r="DA297" s="214"/>
      <c r="DB297" s="214"/>
      <c r="DC297" s="214"/>
      <c r="DD297" s="214"/>
      <c r="DE297" s="214"/>
      <c r="DF297" s="214"/>
      <c r="DG297" s="214"/>
      <c r="DH297" s="214"/>
      <c r="DI297" s="214"/>
      <c r="DJ297" s="214"/>
      <c r="DK297" s="214"/>
      <c r="DL297" s="214"/>
      <c r="DM297" s="214"/>
      <c r="DN297" s="214"/>
      <c r="DO297" s="214"/>
      <c r="DP297" s="214"/>
      <c r="DQ297" s="214"/>
      <c r="DR297" s="214"/>
      <c r="DS297" s="214"/>
      <c r="DT297" s="214"/>
      <c r="DU297" s="214"/>
      <c r="DV297" s="214"/>
      <c r="DW297" s="214"/>
      <c r="DX297" s="214"/>
      <c r="DY297" s="214"/>
      <c r="DZ297" s="214"/>
      <c r="EA297" s="214"/>
      <c r="EB297" s="214"/>
      <c r="EC297" s="214"/>
      <c r="ED297" s="214"/>
      <c r="EE297" s="214"/>
      <c r="EF297" s="214"/>
      <c r="EG297" s="214"/>
      <c r="EH297" s="214"/>
      <c r="EI297" s="214"/>
      <c r="EJ297" s="214"/>
      <c r="EK297" s="214"/>
      <c r="EL297" s="214"/>
      <c r="EM297" s="214"/>
      <c r="EN297" s="214"/>
      <c r="EO297" s="214"/>
      <c r="EP297" s="214"/>
      <c r="EQ297" s="214"/>
      <c r="ER297" s="214"/>
      <c r="ES297" s="214"/>
      <c r="ET297" s="214"/>
      <c r="EU297" s="214"/>
      <c r="EV297" s="214"/>
      <c r="EW297" s="214"/>
      <c r="EX297" s="214"/>
      <c r="EY297" s="214"/>
      <c r="EZ297" s="214"/>
      <c r="FA297" s="214"/>
      <c r="FB297" s="214"/>
      <c r="FC297" s="214"/>
      <c r="FD297" s="214"/>
      <c r="FE297" s="214"/>
      <c r="FF297" s="214"/>
      <c r="FG297" s="214"/>
      <c r="FH297" s="214"/>
      <c r="FI297" s="214"/>
      <c r="FJ297" s="214"/>
      <c r="FK297" s="214"/>
      <c r="FL297" s="214"/>
      <c r="FM297" s="214"/>
      <c r="FN297" s="214"/>
      <c r="FO297" s="214"/>
      <c r="FP297" s="214"/>
      <c r="FQ297" s="214"/>
      <c r="FR297" s="214"/>
      <c r="FS297" s="214"/>
      <c r="FT297" s="214"/>
      <c r="FU297" s="214"/>
      <c r="FV297" s="214"/>
      <c r="FW297" s="214"/>
      <c r="FX297" s="214"/>
      <c r="FY297" s="214"/>
      <c r="FZ297" s="214"/>
      <c r="GA297" s="214"/>
      <c r="GB297" s="214"/>
      <c r="GC297" s="214"/>
      <c r="GD297" s="214"/>
      <c r="GE297" s="214"/>
      <c r="GF297" s="214"/>
      <c r="GG297" s="214"/>
      <c r="GH297" s="214"/>
      <c r="GI297" s="214"/>
      <c r="GJ297" s="214"/>
      <c r="GK297" s="214"/>
      <c r="GL297" s="214"/>
      <c r="GM297" s="214"/>
      <c r="GN297" s="214"/>
      <c r="GO297" s="214"/>
      <c r="GP297" s="214"/>
      <c r="GQ297" s="214"/>
      <c r="GR297" s="214"/>
      <c r="GS297" s="214"/>
      <c r="GT297" s="214"/>
      <c r="GU297" s="214"/>
      <c r="GV297" s="214"/>
      <c r="GW297" s="214"/>
      <c r="GX297" s="214"/>
      <c r="GY297" s="214"/>
      <c r="GZ297" s="214"/>
      <c r="HA297" s="214"/>
      <c r="HB297" s="214"/>
      <c r="HC297" s="214"/>
      <c r="HD297" s="214"/>
      <c r="HE297" s="214"/>
      <c r="HF297" s="214"/>
      <c r="HG297" s="214"/>
      <c r="HH297" s="214"/>
      <c r="HI297" s="214"/>
      <c r="HJ297" s="214"/>
      <c r="HK297" s="214"/>
      <c r="HL297" s="214"/>
      <c r="HM297" s="214"/>
      <c r="HN297" s="214"/>
      <c r="HO297" s="214"/>
      <c r="HP297" s="214"/>
      <c r="HQ297" s="214"/>
      <c r="HR297" s="214"/>
      <c r="HS297" s="214"/>
      <c r="HT297" s="214"/>
      <c r="HU297" s="214"/>
      <c r="HV297" s="214"/>
      <c r="HW297" s="214"/>
      <c r="HX297" s="214"/>
      <c r="HY297" s="214"/>
      <c r="HZ297" s="214"/>
      <c r="IA297" s="214"/>
      <c r="IB297" s="214"/>
      <c r="IC297" s="214"/>
      <c r="ID297" s="214"/>
      <c r="IE297" s="214"/>
      <c r="IF297" s="214"/>
      <c r="IG297" s="214"/>
      <c r="IH297" s="214"/>
      <c r="II297" s="214"/>
      <c r="IJ297" s="214"/>
      <c r="IK297" s="214"/>
      <c r="IL297" s="214"/>
      <c r="IM297" s="214"/>
      <c r="IN297" s="214"/>
      <c r="IO297" s="214"/>
      <c r="IP297" s="214"/>
      <c r="IQ297" s="214"/>
      <c r="IR297" s="214"/>
    </row>
    <row r="298" spans="13:252" ht="16.2" thickTop="1" thickBot="1">
      <c r="M298" s="214"/>
      <c r="N298" s="214"/>
      <c r="O298" s="214"/>
      <c r="P298" s="214"/>
      <c r="Q298" s="214"/>
      <c r="R298" s="214"/>
      <c r="S298" s="214"/>
      <c r="T298" s="214"/>
      <c r="U298" s="214"/>
      <c r="V298" s="214"/>
      <c r="W298" s="214"/>
      <c r="X298" s="214"/>
      <c r="Y298" s="214"/>
      <c r="Z298" s="214"/>
      <c r="AA298" s="214"/>
      <c r="AB298" s="214"/>
      <c r="AC298" s="214"/>
      <c r="AD298" s="214"/>
      <c r="AE298" s="214"/>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c r="BI298" s="214"/>
      <c r="BJ298" s="214"/>
      <c r="BK298" s="214"/>
      <c r="BL298" s="214"/>
      <c r="BM298" s="214"/>
      <c r="BN298" s="214"/>
      <c r="BO298" s="214"/>
      <c r="BP298" s="214"/>
      <c r="BQ298" s="214"/>
      <c r="BR298" s="214"/>
      <c r="BS298" s="214"/>
      <c r="BT298" s="214"/>
      <c r="BU298" s="214"/>
      <c r="BV298" s="214"/>
      <c r="BW298" s="214"/>
      <c r="BX298" s="214"/>
      <c r="BY298" s="214"/>
      <c r="BZ298" s="214"/>
      <c r="CA298" s="214"/>
      <c r="CB298" s="214"/>
      <c r="CC298" s="214"/>
      <c r="CD298" s="214"/>
      <c r="CE298" s="214"/>
      <c r="CF298" s="214"/>
      <c r="CG298" s="214"/>
      <c r="CH298" s="214"/>
      <c r="CI298" s="214"/>
      <c r="CJ298" s="214"/>
      <c r="CK298" s="214"/>
      <c r="CL298" s="214"/>
      <c r="CM298" s="214"/>
      <c r="CN298" s="214"/>
      <c r="CO298" s="214"/>
      <c r="CP298" s="214"/>
      <c r="CQ298" s="214"/>
      <c r="CR298" s="214"/>
      <c r="CS298" s="214"/>
      <c r="CT298" s="214"/>
      <c r="CU298" s="214"/>
      <c r="CV298" s="214"/>
      <c r="CW298" s="214"/>
      <c r="CX298" s="214"/>
      <c r="CY298" s="214"/>
      <c r="CZ298" s="214"/>
      <c r="DA298" s="214"/>
      <c r="DB298" s="214"/>
      <c r="DC298" s="214"/>
      <c r="DD298" s="214"/>
      <c r="DE298" s="214"/>
      <c r="DF298" s="214"/>
      <c r="DG298" s="214"/>
      <c r="DH298" s="214"/>
      <c r="DI298" s="214"/>
      <c r="DJ298" s="214"/>
      <c r="DK298" s="214"/>
      <c r="DL298" s="214"/>
      <c r="DM298" s="214"/>
      <c r="DN298" s="214"/>
      <c r="DO298" s="214"/>
      <c r="DP298" s="214"/>
      <c r="DQ298" s="214"/>
      <c r="DR298" s="214"/>
      <c r="DS298" s="214"/>
      <c r="DT298" s="214"/>
      <c r="DU298" s="214"/>
      <c r="DV298" s="214"/>
      <c r="DW298" s="214"/>
      <c r="DX298" s="214"/>
      <c r="DY298" s="214"/>
      <c r="DZ298" s="214"/>
      <c r="EA298" s="214"/>
      <c r="EB298" s="214"/>
      <c r="EC298" s="214"/>
      <c r="ED298" s="214"/>
      <c r="EE298" s="214"/>
      <c r="EF298" s="214"/>
      <c r="EG298" s="214"/>
      <c r="EH298" s="214"/>
      <c r="EI298" s="214"/>
      <c r="EJ298" s="214"/>
      <c r="EK298" s="214"/>
      <c r="EL298" s="214"/>
      <c r="EM298" s="214"/>
      <c r="EN298" s="214"/>
      <c r="EO298" s="214"/>
      <c r="EP298" s="214"/>
      <c r="EQ298" s="214"/>
      <c r="ER298" s="214"/>
      <c r="ES298" s="214"/>
      <c r="ET298" s="214"/>
      <c r="EU298" s="214"/>
      <c r="EV298" s="214"/>
      <c r="EW298" s="214"/>
      <c r="EX298" s="214"/>
      <c r="EY298" s="214"/>
      <c r="EZ298" s="214"/>
      <c r="FA298" s="214"/>
      <c r="FB298" s="214"/>
      <c r="FC298" s="214"/>
      <c r="FD298" s="214"/>
      <c r="FE298" s="214"/>
      <c r="FF298" s="214"/>
      <c r="FG298" s="214"/>
      <c r="FH298" s="214"/>
      <c r="FI298" s="214"/>
      <c r="FJ298" s="214"/>
      <c r="FK298" s="214"/>
      <c r="FL298" s="214"/>
      <c r="FM298" s="214"/>
      <c r="FN298" s="214"/>
      <c r="FO298" s="214"/>
      <c r="FP298" s="214"/>
      <c r="FQ298" s="214"/>
      <c r="FR298" s="214"/>
      <c r="FS298" s="214"/>
      <c r="FT298" s="214"/>
      <c r="FU298" s="214"/>
      <c r="FV298" s="214"/>
      <c r="FW298" s="214"/>
      <c r="FX298" s="214"/>
      <c r="FY298" s="214"/>
      <c r="FZ298" s="214"/>
      <c r="GA298" s="214"/>
      <c r="GB298" s="214"/>
      <c r="GC298" s="214"/>
      <c r="GD298" s="214"/>
      <c r="GE298" s="214"/>
      <c r="GF298" s="214"/>
      <c r="GG298" s="214"/>
      <c r="GH298" s="214"/>
      <c r="GI298" s="214"/>
      <c r="GJ298" s="214"/>
      <c r="GK298" s="214"/>
      <c r="GL298" s="214"/>
      <c r="GM298" s="214"/>
      <c r="GN298" s="214"/>
      <c r="GO298" s="214"/>
      <c r="GP298" s="214"/>
      <c r="GQ298" s="214"/>
      <c r="GR298" s="214"/>
      <c r="GS298" s="214"/>
      <c r="GT298" s="214"/>
      <c r="GU298" s="214"/>
      <c r="GV298" s="214"/>
      <c r="GW298" s="214"/>
      <c r="GX298" s="214"/>
      <c r="GY298" s="214"/>
      <c r="GZ298" s="214"/>
      <c r="HA298" s="214"/>
      <c r="HB298" s="214"/>
      <c r="HC298" s="214"/>
      <c r="HD298" s="214"/>
      <c r="HE298" s="214"/>
      <c r="HF298" s="214"/>
      <c r="HG298" s="214"/>
      <c r="HH298" s="214"/>
      <c r="HI298" s="214"/>
      <c r="HJ298" s="214"/>
      <c r="HK298" s="214"/>
      <c r="HL298" s="214"/>
      <c r="HM298" s="214"/>
      <c r="HN298" s="214"/>
      <c r="HO298" s="214"/>
      <c r="HP298" s="214"/>
      <c r="HQ298" s="214"/>
      <c r="HR298" s="214"/>
      <c r="HS298" s="214"/>
      <c r="HT298" s="214"/>
      <c r="HU298" s="214"/>
      <c r="HV298" s="214"/>
      <c r="HW298" s="214"/>
      <c r="HX298" s="214"/>
      <c r="HY298" s="214"/>
      <c r="HZ298" s="214"/>
      <c r="IA298" s="214"/>
      <c r="IB298" s="214"/>
      <c r="IC298" s="214"/>
      <c r="ID298" s="214"/>
      <c r="IE298" s="214"/>
      <c r="IF298" s="214"/>
      <c r="IG298" s="214"/>
      <c r="IH298" s="214"/>
      <c r="II298" s="214"/>
      <c r="IJ298" s="214"/>
      <c r="IK298" s="214"/>
      <c r="IL298" s="214"/>
      <c r="IM298" s="214"/>
      <c r="IN298" s="214"/>
      <c r="IO298" s="214"/>
      <c r="IP298" s="214"/>
      <c r="IQ298" s="214"/>
      <c r="IR298" s="214"/>
    </row>
    <row r="299" spans="13:252" ht="16.2" thickTop="1" thickBot="1">
      <c r="M299" s="214"/>
      <c r="N299" s="214"/>
      <c r="O299" s="214"/>
      <c r="P299" s="214"/>
      <c r="Q299" s="214"/>
      <c r="R299" s="214"/>
      <c r="S299" s="214"/>
      <c r="T299" s="214"/>
      <c r="U299" s="214"/>
      <c r="V299" s="214"/>
      <c r="W299" s="214"/>
      <c r="X299" s="214"/>
      <c r="Y299" s="214"/>
      <c r="Z299" s="214"/>
      <c r="AA299" s="214"/>
      <c r="AB299" s="214"/>
      <c r="AC299" s="214"/>
      <c r="AD299" s="214"/>
      <c r="AE299" s="214"/>
      <c r="AF299" s="214"/>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c r="BI299" s="214"/>
      <c r="BJ299" s="214"/>
      <c r="BK299" s="214"/>
      <c r="BL299" s="214"/>
      <c r="BM299" s="214"/>
      <c r="BN299" s="214"/>
      <c r="BO299" s="214"/>
      <c r="BP299" s="214"/>
      <c r="BQ299" s="214"/>
      <c r="BR299" s="214"/>
      <c r="BS299" s="214"/>
      <c r="BT299" s="214"/>
      <c r="BU299" s="214"/>
      <c r="BV299" s="214"/>
      <c r="BW299" s="214"/>
      <c r="BX299" s="214"/>
      <c r="BY299" s="214"/>
      <c r="BZ299" s="214"/>
      <c r="CA299" s="214"/>
      <c r="CB299" s="214"/>
      <c r="CC299" s="214"/>
      <c r="CD299" s="214"/>
      <c r="CE299" s="214"/>
      <c r="CF299" s="214"/>
      <c r="CG299" s="214"/>
      <c r="CH299" s="214"/>
      <c r="CI299" s="214"/>
      <c r="CJ299" s="214"/>
      <c r="CK299" s="214"/>
      <c r="CL299" s="214"/>
      <c r="CM299" s="214"/>
      <c r="CN299" s="214"/>
      <c r="CO299" s="214"/>
      <c r="CP299" s="214"/>
      <c r="CQ299" s="214"/>
      <c r="CR299" s="214"/>
      <c r="CS299" s="214"/>
      <c r="CT299" s="214"/>
      <c r="CU299" s="214"/>
      <c r="CV299" s="214"/>
      <c r="CW299" s="214"/>
      <c r="CX299" s="214"/>
      <c r="CY299" s="214"/>
      <c r="CZ299" s="214"/>
      <c r="DA299" s="214"/>
      <c r="DB299" s="214"/>
      <c r="DC299" s="214"/>
      <c r="DD299" s="214"/>
      <c r="DE299" s="214"/>
      <c r="DF299" s="214"/>
      <c r="DG299" s="214"/>
      <c r="DH299" s="214"/>
      <c r="DI299" s="214"/>
      <c r="DJ299" s="214"/>
      <c r="DK299" s="214"/>
      <c r="DL299" s="214"/>
      <c r="DM299" s="214"/>
      <c r="DN299" s="214"/>
      <c r="DO299" s="214"/>
      <c r="DP299" s="214"/>
      <c r="DQ299" s="214"/>
      <c r="DR299" s="214"/>
      <c r="DS299" s="214"/>
      <c r="DT299" s="214"/>
      <c r="DU299" s="214"/>
      <c r="DV299" s="214"/>
      <c r="DW299" s="214"/>
      <c r="DX299" s="214"/>
      <c r="DY299" s="214"/>
      <c r="DZ299" s="214"/>
      <c r="EA299" s="214"/>
      <c r="EB299" s="214"/>
      <c r="EC299" s="214"/>
      <c r="ED299" s="214"/>
      <c r="EE299" s="214"/>
      <c r="EF299" s="214"/>
      <c r="EG299" s="214"/>
      <c r="EH299" s="214"/>
      <c r="EI299" s="214"/>
      <c r="EJ299" s="214"/>
      <c r="EK299" s="214"/>
      <c r="EL299" s="214"/>
      <c r="EM299" s="214"/>
      <c r="EN299" s="214"/>
      <c r="EO299" s="214"/>
      <c r="EP299" s="214"/>
      <c r="EQ299" s="214"/>
      <c r="ER299" s="214"/>
      <c r="ES299" s="214"/>
      <c r="ET299" s="214"/>
      <c r="EU299" s="214"/>
      <c r="EV299" s="214"/>
      <c r="EW299" s="214"/>
      <c r="EX299" s="214"/>
      <c r="EY299" s="214"/>
      <c r="EZ299" s="214"/>
      <c r="FA299" s="214"/>
      <c r="FB299" s="214"/>
      <c r="FC299" s="214"/>
      <c r="FD299" s="214"/>
      <c r="FE299" s="214"/>
      <c r="FF299" s="214"/>
      <c r="FG299" s="214"/>
      <c r="FH299" s="214"/>
      <c r="FI299" s="214"/>
      <c r="FJ299" s="214"/>
      <c r="FK299" s="214"/>
      <c r="FL299" s="214"/>
      <c r="FM299" s="214"/>
      <c r="FN299" s="214"/>
      <c r="FO299" s="214"/>
      <c r="FP299" s="214"/>
      <c r="FQ299" s="214"/>
      <c r="FR299" s="214"/>
      <c r="FS299" s="214"/>
      <c r="FT299" s="214"/>
      <c r="FU299" s="214"/>
      <c r="FV299" s="214"/>
      <c r="FW299" s="214"/>
      <c r="FX299" s="214"/>
      <c r="FY299" s="214"/>
      <c r="FZ299" s="214"/>
      <c r="GA299" s="214"/>
      <c r="GB299" s="214"/>
      <c r="GC299" s="214"/>
      <c r="GD299" s="214"/>
      <c r="GE299" s="214"/>
      <c r="GF299" s="214"/>
      <c r="GG299" s="214"/>
      <c r="GH299" s="214"/>
      <c r="GI299" s="214"/>
      <c r="GJ299" s="214"/>
      <c r="GK299" s="214"/>
      <c r="GL299" s="214"/>
      <c r="GM299" s="214"/>
      <c r="GN299" s="214"/>
      <c r="GO299" s="214"/>
      <c r="GP299" s="214"/>
      <c r="GQ299" s="214"/>
      <c r="GR299" s="214"/>
      <c r="GS299" s="214"/>
      <c r="GT299" s="214"/>
      <c r="GU299" s="214"/>
      <c r="GV299" s="214"/>
      <c r="GW299" s="214"/>
      <c r="GX299" s="214"/>
      <c r="GY299" s="214"/>
      <c r="GZ299" s="214"/>
      <c r="HA299" s="214"/>
      <c r="HB299" s="214"/>
      <c r="HC299" s="214"/>
      <c r="HD299" s="214"/>
      <c r="HE299" s="214"/>
      <c r="HF299" s="214"/>
      <c r="HG299" s="214"/>
      <c r="HH299" s="214"/>
      <c r="HI299" s="214"/>
      <c r="HJ299" s="214"/>
      <c r="HK299" s="214"/>
      <c r="HL299" s="214"/>
      <c r="HM299" s="214"/>
      <c r="HN299" s="214"/>
      <c r="HO299" s="214"/>
      <c r="HP299" s="214"/>
      <c r="HQ299" s="214"/>
      <c r="HR299" s="214"/>
      <c r="HS299" s="214"/>
      <c r="HT299" s="214"/>
      <c r="HU299" s="214"/>
      <c r="HV299" s="214"/>
      <c r="HW299" s="214"/>
      <c r="HX299" s="214"/>
      <c r="HY299" s="214"/>
      <c r="HZ299" s="214"/>
      <c r="IA299" s="214"/>
      <c r="IB299" s="214"/>
      <c r="IC299" s="214"/>
      <c r="ID299" s="214"/>
      <c r="IE299" s="214"/>
      <c r="IF299" s="214"/>
      <c r="IG299" s="214"/>
      <c r="IH299" s="214"/>
      <c r="II299" s="214"/>
      <c r="IJ299" s="214"/>
      <c r="IK299" s="214"/>
      <c r="IL299" s="214"/>
      <c r="IM299" s="214"/>
      <c r="IN299" s="214"/>
      <c r="IO299" s="214"/>
      <c r="IP299" s="214"/>
      <c r="IQ299" s="214"/>
      <c r="IR299" s="214"/>
    </row>
    <row r="300" spans="13:252" ht="16.2" thickTop="1" thickBot="1">
      <c r="M300" s="214"/>
      <c r="N300" s="214"/>
      <c r="O300" s="214"/>
      <c r="P300" s="214"/>
      <c r="Q300" s="214"/>
      <c r="R300" s="214"/>
      <c r="S300" s="214"/>
      <c r="T300" s="214"/>
      <c r="U300" s="214"/>
      <c r="V300" s="214"/>
      <c r="W300" s="214"/>
      <c r="X300" s="214"/>
      <c r="Y300" s="214"/>
      <c r="Z300" s="214"/>
      <c r="AA300" s="214"/>
      <c r="AB300" s="214"/>
      <c r="AC300" s="214"/>
      <c r="AD300" s="214"/>
      <c r="AE300" s="214"/>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c r="BI300" s="214"/>
      <c r="BJ300" s="214"/>
      <c r="BK300" s="214"/>
      <c r="BL300" s="214"/>
      <c r="BM300" s="214"/>
      <c r="BN300" s="214"/>
      <c r="BO300" s="214"/>
      <c r="BP300" s="214"/>
      <c r="BQ300" s="214"/>
      <c r="BR300" s="214"/>
      <c r="BS300" s="214"/>
      <c r="BT300" s="214"/>
      <c r="BU300" s="214"/>
      <c r="BV300" s="214"/>
      <c r="BW300" s="214"/>
      <c r="BX300" s="214"/>
      <c r="BY300" s="214"/>
      <c r="BZ300" s="214"/>
      <c r="CA300" s="214"/>
      <c r="CB300" s="214"/>
      <c r="CC300" s="214"/>
      <c r="CD300" s="214"/>
      <c r="CE300" s="214"/>
      <c r="CF300" s="214"/>
      <c r="CG300" s="214"/>
      <c r="CH300" s="214"/>
      <c r="CI300" s="214"/>
      <c r="CJ300" s="214"/>
      <c r="CK300" s="214"/>
      <c r="CL300" s="214"/>
      <c r="CM300" s="214"/>
      <c r="CN300" s="214"/>
      <c r="CO300" s="214"/>
      <c r="CP300" s="214"/>
      <c r="CQ300" s="214"/>
      <c r="CR300" s="214"/>
      <c r="CS300" s="214"/>
      <c r="CT300" s="214"/>
      <c r="CU300" s="214"/>
      <c r="CV300" s="214"/>
      <c r="CW300" s="214"/>
      <c r="CX300" s="214"/>
      <c r="CY300" s="214"/>
      <c r="CZ300" s="214"/>
      <c r="DA300" s="214"/>
      <c r="DB300" s="214"/>
      <c r="DC300" s="214"/>
      <c r="DD300" s="214"/>
      <c r="DE300" s="214"/>
      <c r="DF300" s="214"/>
      <c r="DG300" s="214"/>
      <c r="DH300" s="214"/>
      <c r="DI300" s="214"/>
      <c r="DJ300" s="214"/>
      <c r="DK300" s="214"/>
      <c r="DL300" s="214"/>
      <c r="DM300" s="214"/>
      <c r="DN300" s="214"/>
      <c r="DO300" s="214"/>
      <c r="DP300" s="214"/>
      <c r="DQ300" s="214"/>
      <c r="DR300" s="214"/>
      <c r="DS300" s="214"/>
      <c r="DT300" s="214"/>
      <c r="DU300" s="214"/>
      <c r="DV300" s="214"/>
      <c r="DW300" s="214"/>
      <c r="DX300" s="214"/>
      <c r="DY300" s="214"/>
      <c r="DZ300" s="214"/>
      <c r="EA300" s="214"/>
      <c r="EB300" s="214"/>
      <c r="EC300" s="214"/>
      <c r="ED300" s="214"/>
      <c r="EE300" s="214"/>
      <c r="EF300" s="214"/>
      <c r="EG300" s="214"/>
      <c r="EH300" s="214"/>
      <c r="EI300" s="214"/>
      <c r="EJ300" s="214"/>
      <c r="EK300" s="214"/>
      <c r="EL300" s="214"/>
      <c r="EM300" s="214"/>
      <c r="EN300" s="214"/>
      <c r="EO300" s="214"/>
      <c r="EP300" s="214"/>
      <c r="EQ300" s="214"/>
      <c r="ER300" s="214"/>
      <c r="ES300" s="214"/>
      <c r="ET300" s="214"/>
      <c r="EU300" s="214"/>
      <c r="EV300" s="214"/>
      <c r="EW300" s="214"/>
      <c r="EX300" s="214"/>
      <c r="EY300" s="214"/>
      <c r="EZ300" s="214"/>
      <c r="FA300" s="214"/>
      <c r="FB300" s="214"/>
      <c r="FC300" s="214"/>
      <c r="FD300" s="214"/>
      <c r="FE300" s="214"/>
      <c r="FF300" s="214"/>
      <c r="FG300" s="214"/>
      <c r="FH300" s="214"/>
      <c r="FI300" s="214"/>
      <c r="FJ300" s="214"/>
      <c r="FK300" s="214"/>
      <c r="FL300" s="214"/>
      <c r="FM300" s="214"/>
      <c r="FN300" s="214"/>
      <c r="FO300" s="214"/>
      <c r="FP300" s="214"/>
      <c r="FQ300" s="214"/>
      <c r="FR300" s="214"/>
      <c r="FS300" s="214"/>
      <c r="FT300" s="214"/>
      <c r="FU300" s="214"/>
      <c r="FV300" s="214"/>
      <c r="FW300" s="214"/>
      <c r="FX300" s="214"/>
      <c r="FY300" s="214"/>
      <c r="FZ300" s="214"/>
      <c r="GA300" s="214"/>
      <c r="GB300" s="214"/>
      <c r="GC300" s="214"/>
      <c r="GD300" s="214"/>
      <c r="GE300" s="214"/>
      <c r="GF300" s="214"/>
      <c r="GG300" s="214"/>
      <c r="GH300" s="214"/>
      <c r="GI300" s="214"/>
      <c r="GJ300" s="214"/>
      <c r="GK300" s="214"/>
      <c r="GL300" s="214"/>
      <c r="GM300" s="214"/>
      <c r="GN300" s="214"/>
      <c r="GO300" s="214"/>
      <c r="GP300" s="214"/>
      <c r="GQ300" s="214"/>
      <c r="GR300" s="214"/>
      <c r="GS300" s="214"/>
      <c r="GT300" s="214"/>
      <c r="GU300" s="214"/>
      <c r="GV300" s="214"/>
      <c r="GW300" s="214"/>
      <c r="GX300" s="214"/>
      <c r="GY300" s="214"/>
      <c r="GZ300" s="214"/>
      <c r="HA300" s="214"/>
      <c r="HB300" s="214"/>
      <c r="HC300" s="214"/>
      <c r="HD300" s="214"/>
      <c r="HE300" s="214"/>
      <c r="HF300" s="214"/>
      <c r="HG300" s="214"/>
      <c r="HH300" s="214"/>
      <c r="HI300" s="214"/>
      <c r="HJ300" s="214"/>
      <c r="HK300" s="214"/>
      <c r="HL300" s="214"/>
      <c r="HM300" s="214"/>
      <c r="HN300" s="214"/>
      <c r="HO300" s="214"/>
      <c r="HP300" s="214"/>
      <c r="HQ300" s="214"/>
      <c r="HR300" s="214"/>
      <c r="HS300" s="214"/>
      <c r="HT300" s="214"/>
      <c r="HU300" s="214"/>
      <c r="HV300" s="214"/>
      <c r="HW300" s="214"/>
      <c r="HX300" s="214"/>
      <c r="HY300" s="214"/>
      <c r="HZ300" s="214"/>
      <c r="IA300" s="214"/>
      <c r="IB300" s="214"/>
      <c r="IC300" s="214"/>
      <c r="ID300" s="214"/>
      <c r="IE300" s="214"/>
      <c r="IF300" s="214"/>
      <c r="IG300" s="214"/>
      <c r="IH300" s="214"/>
      <c r="II300" s="214"/>
      <c r="IJ300" s="214"/>
      <c r="IK300" s="214"/>
      <c r="IL300" s="214"/>
      <c r="IM300" s="214"/>
      <c r="IN300" s="214"/>
      <c r="IO300" s="214"/>
      <c r="IP300" s="214"/>
      <c r="IQ300" s="214"/>
      <c r="IR300" s="214"/>
    </row>
    <row r="301" spans="13:252" ht="16.2" thickTop="1" thickBot="1">
      <c r="M301" s="214"/>
      <c r="N301" s="214"/>
      <c r="O301" s="214"/>
      <c r="P301" s="214"/>
      <c r="Q301" s="214"/>
      <c r="R301" s="214"/>
      <c r="S301" s="214"/>
      <c r="T301" s="214"/>
      <c r="U301" s="214"/>
      <c r="V301" s="214"/>
      <c r="W301" s="214"/>
      <c r="X301" s="214"/>
      <c r="Y301" s="214"/>
      <c r="Z301" s="214"/>
      <c r="AA301" s="214"/>
      <c r="AB301" s="214"/>
      <c r="AC301" s="214"/>
      <c r="AD301" s="214"/>
      <c r="AE301" s="214"/>
      <c r="AF301" s="214"/>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c r="BI301" s="214"/>
      <c r="BJ301" s="214"/>
      <c r="BK301" s="214"/>
      <c r="BL301" s="214"/>
      <c r="BM301" s="214"/>
      <c r="BN301" s="214"/>
      <c r="BO301" s="214"/>
      <c r="BP301" s="214"/>
      <c r="BQ301" s="214"/>
      <c r="BR301" s="214"/>
      <c r="BS301" s="214"/>
      <c r="BT301" s="214"/>
      <c r="BU301" s="214"/>
      <c r="BV301" s="214"/>
      <c r="BW301" s="214"/>
      <c r="BX301" s="214"/>
      <c r="BY301" s="214"/>
      <c r="BZ301" s="214"/>
      <c r="CA301" s="214"/>
      <c r="CB301" s="214"/>
      <c r="CC301" s="214"/>
      <c r="CD301" s="214"/>
      <c r="CE301" s="214"/>
      <c r="CF301" s="214"/>
      <c r="CG301" s="214"/>
      <c r="CH301" s="214"/>
      <c r="CI301" s="214"/>
      <c r="CJ301" s="214"/>
      <c r="CK301" s="214"/>
      <c r="CL301" s="214"/>
      <c r="CM301" s="214"/>
      <c r="CN301" s="214"/>
      <c r="CO301" s="214"/>
      <c r="CP301" s="214"/>
      <c r="CQ301" s="214"/>
      <c r="CR301" s="214"/>
      <c r="CS301" s="214"/>
      <c r="CT301" s="214"/>
      <c r="CU301" s="214"/>
      <c r="CV301" s="214"/>
      <c r="CW301" s="214"/>
      <c r="CX301" s="214"/>
      <c r="CY301" s="214"/>
      <c r="CZ301" s="214"/>
      <c r="DA301" s="214"/>
      <c r="DB301" s="214"/>
      <c r="DC301" s="214"/>
      <c r="DD301" s="214"/>
      <c r="DE301" s="214"/>
      <c r="DF301" s="214"/>
      <c r="DG301" s="214"/>
      <c r="DH301" s="214"/>
      <c r="DI301" s="214"/>
      <c r="DJ301" s="214"/>
      <c r="DK301" s="214"/>
      <c r="DL301" s="214"/>
      <c r="DM301" s="214"/>
      <c r="DN301" s="214"/>
      <c r="DO301" s="214"/>
      <c r="DP301" s="214"/>
      <c r="DQ301" s="214"/>
      <c r="DR301" s="214"/>
      <c r="DS301" s="214"/>
      <c r="DT301" s="214"/>
      <c r="DU301" s="214"/>
      <c r="DV301" s="214"/>
      <c r="DW301" s="214"/>
      <c r="DX301" s="214"/>
      <c r="DY301" s="214"/>
      <c r="DZ301" s="214"/>
      <c r="EA301" s="214"/>
      <c r="EB301" s="214"/>
      <c r="EC301" s="214"/>
      <c r="ED301" s="214"/>
      <c r="EE301" s="214"/>
      <c r="EF301" s="214"/>
      <c r="EG301" s="214"/>
      <c r="EH301" s="214"/>
      <c r="EI301" s="214"/>
      <c r="EJ301" s="214"/>
      <c r="EK301" s="214"/>
      <c r="EL301" s="214"/>
      <c r="EM301" s="214"/>
      <c r="EN301" s="214"/>
      <c r="EO301" s="214"/>
      <c r="EP301" s="214"/>
      <c r="EQ301" s="214"/>
      <c r="ER301" s="214"/>
      <c r="ES301" s="214"/>
      <c r="ET301" s="214"/>
      <c r="EU301" s="214"/>
      <c r="EV301" s="214"/>
      <c r="EW301" s="214"/>
      <c r="EX301" s="214"/>
      <c r="EY301" s="214"/>
      <c r="EZ301" s="214"/>
      <c r="FA301" s="214"/>
      <c r="FB301" s="214"/>
      <c r="FC301" s="214"/>
      <c r="FD301" s="214"/>
      <c r="FE301" s="214"/>
      <c r="FF301" s="214"/>
      <c r="FG301" s="214"/>
      <c r="FH301" s="214"/>
      <c r="FI301" s="214"/>
      <c r="FJ301" s="214"/>
      <c r="FK301" s="214"/>
      <c r="FL301" s="214"/>
      <c r="FM301" s="214"/>
      <c r="FN301" s="214"/>
      <c r="FO301" s="214"/>
      <c r="FP301" s="214"/>
      <c r="FQ301" s="214"/>
      <c r="FR301" s="214"/>
      <c r="FS301" s="214"/>
      <c r="FT301" s="214"/>
      <c r="FU301" s="214"/>
      <c r="FV301" s="214"/>
      <c r="FW301" s="214"/>
      <c r="FX301" s="214"/>
      <c r="FY301" s="214"/>
      <c r="FZ301" s="214"/>
      <c r="GA301" s="214"/>
      <c r="GB301" s="214"/>
      <c r="GC301" s="214"/>
      <c r="GD301" s="214"/>
      <c r="GE301" s="214"/>
      <c r="GF301" s="214"/>
      <c r="GG301" s="214"/>
      <c r="GH301" s="214"/>
      <c r="GI301" s="214"/>
      <c r="GJ301" s="214"/>
      <c r="GK301" s="214"/>
      <c r="GL301" s="214"/>
      <c r="GM301" s="214"/>
      <c r="GN301" s="214"/>
      <c r="GO301" s="214"/>
      <c r="GP301" s="214"/>
      <c r="GQ301" s="214"/>
      <c r="GR301" s="214"/>
      <c r="GS301" s="214"/>
      <c r="GT301" s="214"/>
      <c r="GU301" s="214"/>
      <c r="GV301" s="214"/>
      <c r="GW301" s="214"/>
      <c r="GX301" s="214"/>
      <c r="GY301" s="214"/>
      <c r="GZ301" s="214"/>
      <c r="HA301" s="214"/>
      <c r="HB301" s="214"/>
      <c r="HC301" s="214"/>
      <c r="HD301" s="214"/>
      <c r="HE301" s="214"/>
      <c r="HF301" s="214"/>
      <c r="HG301" s="214"/>
      <c r="HH301" s="214"/>
      <c r="HI301" s="214"/>
      <c r="HJ301" s="214"/>
      <c r="HK301" s="214"/>
      <c r="HL301" s="214"/>
      <c r="HM301" s="214"/>
      <c r="HN301" s="214"/>
      <c r="HO301" s="214"/>
      <c r="HP301" s="214"/>
      <c r="HQ301" s="214"/>
      <c r="HR301" s="214"/>
      <c r="HS301" s="214"/>
      <c r="HT301" s="214"/>
      <c r="HU301" s="214"/>
      <c r="HV301" s="214"/>
      <c r="HW301" s="214"/>
      <c r="HX301" s="214"/>
      <c r="HY301" s="214"/>
      <c r="HZ301" s="214"/>
      <c r="IA301" s="214"/>
      <c r="IB301" s="214"/>
      <c r="IC301" s="214"/>
      <c r="ID301" s="214"/>
      <c r="IE301" s="214"/>
      <c r="IF301" s="214"/>
      <c r="IG301" s="214"/>
      <c r="IH301" s="214"/>
      <c r="II301" s="214"/>
      <c r="IJ301" s="214"/>
      <c r="IK301" s="214"/>
      <c r="IL301" s="214"/>
      <c r="IM301" s="214"/>
      <c r="IN301" s="214"/>
      <c r="IO301" s="214"/>
      <c r="IP301" s="214"/>
      <c r="IQ301" s="214"/>
      <c r="IR301" s="214"/>
    </row>
    <row r="302" spans="13:252" ht="16.2" thickTop="1" thickBot="1">
      <c r="M302" s="214"/>
      <c r="N302" s="214"/>
      <c r="O302" s="214"/>
      <c r="P302" s="214"/>
      <c r="Q302" s="214"/>
      <c r="R302" s="214"/>
      <c r="S302" s="214"/>
      <c r="T302" s="214"/>
      <c r="U302" s="214"/>
      <c r="V302" s="214"/>
      <c r="W302" s="214"/>
      <c r="X302" s="214"/>
      <c r="Y302" s="214"/>
      <c r="Z302" s="214"/>
      <c r="AA302" s="214"/>
      <c r="AB302" s="214"/>
      <c r="AC302" s="214"/>
      <c r="AD302" s="214"/>
      <c r="AE302" s="214"/>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c r="BI302" s="214"/>
      <c r="BJ302" s="214"/>
      <c r="BK302" s="214"/>
      <c r="BL302" s="214"/>
      <c r="BM302" s="214"/>
      <c r="BN302" s="214"/>
      <c r="BO302" s="214"/>
      <c r="BP302" s="214"/>
      <c r="BQ302" s="214"/>
      <c r="BR302" s="214"/>
      <c r="BS302" s="214"/>
      <c r="BT302" s="214"/>
      <c r="BU302" s="214"/>
      <c r="BV302" s="214"/>
      <c r="BW302" s="214"/>
      <c r="BX302" s="214"/>
      <c r="BY302" s="214"/>
      <c r="BZ302" s="214"/>
      <c r="CA302" s="214"/>
      <c r="CB302" s="214"/>
      <c r="CC302" s="214"/>
      <c r="CD302" s="214"/>
      <c r="CE302" s="214"/>
      <c r="CF302" s="214"/>
      <c r="CG302" s="214"/>
      <c r="CH302" s="214"/>
      <c r="CI302" s="214"/>
      <c r="CJ302" s="214"/>
      <c r="CK302" s="214"/>
      <c r="CL302" s="214"/>
      <c r="CM302" s="214"/>
      <c r="CN302" s="214"/>
      <c r="CO302" s="214"/>
      <c r="CP302" s="214"/>
      <c r="CQ302" s="214"/>
      <c r="CR302" s="214"/>
      <c r="CS302" s="214"/>
      <c r="CT302" s="214"/>
      <c r="CU302" s="214"/>
      <c r="CV302" s="214"/>
      <c r="CW302" s="214"/>
      <c r="CX302" s="214"/>
      <c r="CY302" s="214"/>
      <c r="CZ302" s="214"/>
      <c r="DA302" s="214"/>
      <c r="DB302" s="214"/>
      <c r="DC302" s="214"/>
      <c r="DD302" s="214"/>
      <c r="DE302" s="214"/>
      <c r="DF302" s="214"/>
      <c r="DG302" s="214"/>
      <c r="DH302" s="214"/>
      <c r="DI302" s="214"/>
      <c r="DJ302" s="214"/>
      <c r="DK302" s="214"/>
      <c r="DL302" s="214"/>
      <c r="DM302" s="214"/>
      <c r="DN302" s="214"/>
      <c r="DO302" s="214"/>
      <c r="DP302" s="214"/>
      <c r="DQ302" s="214"/>
      <c r="DR302" s="214"/>
      <c r="DS302" s="214"/>
      <c r="DT302" s="214"/>
      <c r="DU302" s="214"/>
      <c r="DV302" s="214"/>
      <c r="DW302" s="214"/>
      <c r="DX302" s="214"/>
      <c r="DY302" s="214"/>
      <c r="DZ302" s="214"/>
      <c r="EA302" s="214"/>
      <c r="EB302" s="214"/>
      <c r="EC302" s="214"/>
      <c r="ED302" s="214"/>
      <c r="EE302" s="214"/>
      <c r="EF302" s="214"/>
      <c r="EG302" s="214"/>
      <c r="EH302" s="214"/>
      <c r="EI302" s="214"/>
      <c r="EJ302" s="214"/>
      <c r="EK302" s="214"/>
      <c r="EL302" s="214"/>
      <c r="EM302" s="214"/>
      <c r="EN302" s="214"/>
      <c r="EO302" s="214"/>
      <c r="EP302" s="214"/>
      <c r="EQ302" s="214"/>
      <c r="ER302" s="214"/>
      <c r="ES302" s="214"/>
      <c r="ET302" s="214"/>
      <c r="EU302" s="214"/>
      <c r="EV302" s="214"/>
      <c r="EW302" s="214"/>
      <c r="EX302" s="214"/>
      <c r="EY302" s="214"/>
      <c r="EZ302" s="214"/>
      <c r="FA302" s="214"/>
      <c r="FB302" s="214"/>
      <c r="FC302" s="214"/>
      <c r="FD302" s="214"/>
      <c r="FE302" s="214"/>
      <c r="FF302" s="214"/>
      <c r="FG302" s="214"/>
      <c r="FH302" s="214"/>
      <c r="FI302" s="214"/>
      <c r="FJ302" s="214"/>
      <c r="FK302" s="214"/>
      <c r="FL302" s="214"/>
      <c r="FM302" s="214"/>
      <c r="FN302" s="214"/>
      <c r="FO302" s="214"/>
      <c r="FP302" s="214"/>
      <c r="FQ302" s="214"/>
      <c r="FR302" s="214"/>
      <c r="FS302" s="214"/>
      <c r="FT302" s="214"/>
      <c r="FU302" s="214"/>
      <c r="FV302" s="214"/>
      <c r="FW302" s="214"/>
      <c r="FX302" s="214"/>
      <c r="FY302" s="214"/>
      <c r="FZ302" s="214"/>
      <c r="GA302" s="214"/>
      <c r="GB302" s="214"/>
      <c r="GC302" s="214"/>
      <c r="GD302" s="214"/>
      <c r="GE302" s="214"/>
      <c r="GF302" s="214"/>
      <c r="GG302" s="214"/>
      <c r="GH302" s="214"/>
      <c r="GI302" s="214"/>
      <c r="GJ302" s="214"/>
      <c r="GK302" s="214"/>
      <c r="GL302" s="214"/>
      <c r="GM302" s="214"/>
      <c r="GN302" s="214"/>
      <c r="GO302" s="214"/>
      <c r="GP302" s="214"/>
      <c r="GQ302" s="214"/>
      <c r="GR302" s="214"/>
      <c r="GS302" s="214"/>
      <c r="GT302" s="214"/>
      <c r="GU302" s="214"/>
      <c r="GV302" s="214"/>
      <c r="GW302" s="214"/>
      <c r="GX302" s="214"/>
      <c r="GY302" s="214"/>
      <c r="GZ302" s="214"/>
      <c r="HA302" s="214"/>
      <c r="HB302" s="214"/>
      <c r="HC302" s="214"/>
      <c r="HD302" s="214"/>
      <c r="HE302" s="214"/>
      <c r="HF302" s="214"/>
      <c r="HG302" s="214"/>
      <c r="HH302" s="214"/>
      <c r="HI302" s="214"/>
      <c r="HJ302" s="214"/>
      <c r="HK302" s="214"/>
      <c r="HL302" s="214"/>
      <c r="HM302" s="214"/>
      <c r="HN302" s="214"/>
      <c r="HO302" s="214"/>
      <c r="HP302" s="214"/>
      <c r="HQ302" s="214"/>
      <c r="HR302" s="214"/>
      <c r="HS302" s="214"/>
      <c r="HT302" s="214"/>
      <c r="HU302" s="214"/>
      <c r="HV302" s="214"/>
      <c r="HW302" s="214"/>
      <c r="HX302" s="214"/>
      <c r="HY302" s="214"/>
      <c r="HZ302" s="214"/>
      <c r="IA302" s="214"/>
      <c r="IB302" s="214"/>
      <c r="IC302" s="214"/>
      <c r="ID302" s="214"/>
      <c r="IE302" s="214"/>
      <c r="IF302" s="214"/>
      <c r="IG302" s="214"/>
      <c r="IH302" s="214"/>
      <c r="II302" s="214"/>
      <c r="IJ302" s="214"/>
      <c r="IK302" s="214"/>
      <c r="IL302" s="214"/>
      <c r="IM302" s="214"/>
      <c r="IN302" s="214"/>
      <c r="IO302" s="214"/>
      <c r="IP302" s="214"/>
      <c r="IQ302" s="214"/>
      <c r="IR302" s="214"/>
    </row>
    <row r="303" spans="13:252" ht="16.2" thickTop="1" thickBot="1">
      <c r="M303" s="214"/>
      <c r="N303" s="214"/>
      <c r="O303" s="214"/>
      <c r="P303" s="214"/>
      <c r="Q303" s="214"/>
      <c r="R303" s="214"/>
      <c r="S303" s="214"/>
      <c r="T303" s="214"/>
      <c r="U303" s="214"/>
      <c r="V303" s="214"/>
      <c r="W303" s="214"/>
      <c r="X303" s="214"/>
      <c r="Y303" s="214"/>
      <c r="Z303" s="214"/>
      <c r="AA303" s="214"/>
      <c r="AB303" s="214"/>
      <c r="AC303" s="214"/>
      <c r="AD303" s="214"/>
      <c r="AE303" s="214"/>
      <c r="AF303" s="214"/>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c r="BI303" s="214"/>
      <c r="BJ303" s="214"/>
      <c r="BK303" s="214"/>
      <c r="BL303" s="214"/>
      <c r="BM303" s="214"/>
      <c r="BN303" s="214"/>
      <c r="BO303" s="214"/>
      <c r="BP303" s="214"/>
      <c r="BQ303" s="214"/>
      <c r="BR303" s="214"/>
      <c r="BS303" s="214"/>
      <c r="BT303" s="214"/>
      <c r="BU303" s="214"/>
      <c r="BV303" s="214"/>
      <c r="BW303" s="214"/>
      <c r="BX303" s="214"/>
      <c r="BY303" s="214"/>
      <c r="BZ303" s="214"/>
      <c r="CA303" s="214"/>
      <c r="CB303" s="214"/>
      <c r="CC303" s="214"/>
      <c r="CD303" s="214"/>
      <c r="CE303" s="214"/>
      <c r="CF303" s="214"/>
      <c r="CG303" s="214"/>
      <c r="CH303" s="214"/>
      <c r="CI303" s="214"/>
      <c r="CJ303" s="214"/>
      <c r="CK303" s="214"/>
      <c r="CL303" s="214"/>
      <c r="CM303" s="214"/>
      <c r="CN303" s="214"/>
      <c r="CO303" s="214"/>
      <c r="CP303" s="214"/>
      <c r="CQ303" s="214"/>
      <c r="CR303" s="214"/>
      <c r="CS303" s="214"/>
      <c r="CT303" s="214"/>
      <c r="CU303" s="214"/>
      <c r="CV303" s="214"/>
      <c r="CW303" s="214"/>
      <c r="CX303" s="214"/>
      <c r="CY303" s="214"/>
      <c r="CZ303" s="214"/>
      <c r="DA303" s="214"/>
      <c r="DB303" s="214"/>
      <c r="DC303" s="214"/>
      <c r="DD303" s="214"/>
      <c r="DE303" s="214"/>
      <c r="DF303" s="214"/>
      <c r="DG303" s="214"/>
      <c r="DH303" s="214"/>
      <c r="DI303" s="214"/>
      <c r="DJ303" s="214"/>
      <c r="DK303" s="214"/>
      <c r="DL303" s="214"/>
      <c r="DM303" s="214"/>
      <c r="DN303" s="214"/>
      <c r="DO303" s="214"/>
      <c r="DP303" s="214"/>
      <c r="DQ303" s="214"/>
      <c r="DR303" s="214"/>
      <c r="DS303" s="214"/>
      <c r="DT303" s="214"/>
      <c r="DU303" s="214"/>
      <c r="DV303" s="214"/>
      <c r="DW303" s="214"/>
      <c r="DX303" s="214"/>
      <c r="DY303" s="214"/>
      <c r="DZ303" s="214"/>
      <c r="EA303" s="214"/>
      <c r="EB303" s="214"/>
      <c r="EC303" s="214"/>
      <c r="ED303" s="214"/>
      <c r="EE303" s="214"/>
      <c r="EF303" s="214"/>
      <c r="EG303" s="214"/>
      <c r="EH303" s="214"/>
      <c r="EI303" s="214"/>
      <c r="EJ303" s="214"/>
      <c r="EK303" s="214"/>
      <c r="EL303" s="214"/>
      <c r="EM303" s="214"/>
      <c r="EN303" s="214"/>
      <c r="EO303" s="214"/>
      <c r="EP303" s="214"/>
      <c r="EQ303" s="214"/>
      <c r="ER303" s="214"/>
      <c r="ES303" s="214"/>
      <c r="ET303" s="214"/>
      <c r="EU303" s="214"/>
      <c r="EV303" s="214"/>
      <c r="EW303" s="214"/>
      <c r="EX303" s="214"/>
      <c r="EY303" s="214"/>
      <c r="EZ303" s="214"/>
      <c r="FA303" s="214"/>
      <c r="FB303" s="214"/>
      <c r="FC303" s="214"/>
      <c r="FD303" s="214"/>
      <c r="FE303" s="214"/>
      <c r="FF303" s="214"/>
      <c r="FG303" s="214"/>
      <c r="FH303" s="214"/>
      <c r="FI303" s="214"/>
      <c r="FJ303" s="214"/>
      <c r="FK303" s="214"/>
      <c r="FL303" s="214"/>
      <c r="FM303" s="214"/>
      <c r="FN303" s="214"/>
      <c r="FO303" s="214"/>
      <c r="FP303" s="214"/>
      <c r="FQ303" s="214"/>
      <c r="FR303" s="214"/>
      <c r="FS303" s="214"/>
      <c r="FT303" s="214"/>
      <c r="FU303" s="214"/>
      <c r="FV303" s="214"/>
      <c r="FW303" s="214"/>
      <c r="FX303" s="214"/>
      <c r="FY303" s="214"/>
      <c r="FZ303" s="214"/>
      <c r="GA303" s="214"/>
      <c r="GB303" s="214"/>
      <c r="GC303" s="214"/>
      <c r="GD303" s="214"/>
      <c r="GE303" s="214"/>
      <c r="GF303" s="214"/>
      <c r="GG303" s="214"/>
      <c r="GH303" s="214"/>
      <c r="GI303" s="214"/>
      <c r="GJ303" s="214"/>
      <c r="GK303" s="214"/>
      <c r="GL303" s="214"/>
      <c r="GM303" s="214"/>
      <c r="GN303" s="214"/>
      <c r="GO303" s="214"/>
      <c r="GP303" s="214"/>
      <c r="GQ303" s="214"/>
      <c r="GR303" s="214"/>
      <c r="GS303" s="214"/>
      <c r="GT303" s="214"/>
      <c r="GU303" s="214"/>
      <c r="GV303" s="214"/>
      <c r="GW303" s="214"/>
      <c r="GX303" s="214"/>
      <c r="GY303" s="214"/>
      <c r="GZ303" s="214"/>
      <c r="HA303" s="214"/>
      <c r="HB303" s="214"/>
      <c r="HC303" s="214"/>
      <c r="HD303" s="214"/>
      <c r="HE303" s="214"/>
      <c r="HF303" s="214"/>
      <c r="HG303" s="214"/>
      <c r="HH303" s="214"/>
      <c r="HI303" s="214"/>
      <c r="HJ303" s="214"/>
      <c r="HK303" s="214"/>
      <c r="HL303" s="214"/>
      <c r="HM303" s="214"/>
      <c r="HN303" s="214"/>
      <c r="HO303" s="214"/>
      <c r="HP303" s="214"/>
      <c r="HQ303" s="214"/>
      <c r="HR303" s="214"/>
      <c r="HS303" s="214"/>
      <c r="HT303" s="214"/>
      <c r="HU303" s="214"/>
      <c r="HV303" s="214"/>
      <c r="HW303" s="214"/>
      <c r="HX303" s="214"/>
      <c r="HY303" s="214"/>
      <c r="HZ303" s="214"/>
      <c r="IA303" s="214"/>
      <c r="IB303" s="214"/>
      <c r="IC303" s="214"/>
      <c r="ID303" s="214"/>
      <c r="IE303" s="214"/>
      <c r="IF303" s="214"/>
      <c r="IG303" s="214"/>
      <c r="IH303" s="214"/>
      <c r="II303" s="214"/>
      <c r="IJ303" s="214"/>
      <c r="IK303" s="214"/>
      <c r="IL303" s="214"/>
      <c r="IM303" s="214"/>
      <c r="IN303" s="214"/>
      <c r="IO303" s="214"/>
      <c r="IP303" s="214"/>
      <c r="IQ303" s="214"/>
      <c r="IR303" s="214"/>
    </row>
    <row r="304" spans="13:252" ht="16.2" thickTop="1" thickBot="1">
      <c r="M304" s="214"/>
      <c r="N304" s="214"/>
      <c r="O304" s="214"/>
      <c r="P304" s="214"/>
      <c r="Q304" s="214"/>
      <c r="R304" s="214"/>
      <c r="S304" s="214"/>
      <c r="T304" s="214"/>
      <c r="U304" s="214"/>
      <c r="V304" s="214"/>
      <c r="W304" s="214"/>
      <c r="X304" s="214"/>
      <c r="Y304" s="214"/>
      <c r="Z304" s="214"/>
      <c r="AA304" s="214"/>
      <c r="AB304" s="214"/>
      <c r="AC304" s="214"/>
      <c r="AD304" s="214"/>
      <c r="AE304" s="214"/>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c r="BI304" s="214"/>
      <c r="BJ304" s="214"/>
      <c r="BK304" s="214"/>
      <c r="BL304" s="214"/>
      <c r="BM304" s="214"/>
      <c r="BN304" s="214"/>
      <c r="BO304" s="214"/>
      <c r="BP304" s="214"/>
      <c r="BQ304" s="214"/>
      <c r="BR304" s="214"/>
      <c r="BS304" s="214"/>
      <c r="BT304" s="214"/>
      <c r="BU304" s="214"/>
      <c r="BV304" s="214"/>
      <c r="BW304" s="214"/>
      <c r="BX304" s="214"/>
      <c r="BY304" s="214"/>
      <c r="BZ304" s="214"/>
      <c r="CA304" s="214"/>
      <c r="CB304" s="214"/>
      <c r="CC304" s="214"/>
      <c r="CD304" s="214"/>
      <c r="CE304" s="214"/>
      <c r="CF304" s="214"/>
      <c r="CG304" s="214"/>
      <c r="CH304" s="214"/>
      <c r="CI304" s="214"/>
      <c r="CJ304" s="214"/>
      <c r="CK304" s="214"/>
      <c r="CL304" s="214"/>
      <c r="CM304" s="214"/>
      <c r="CN304" s="214"/>
      <c r="CO304" s="214"/>
      <c r="CP304" s="214"/>
      <c r="CQ304" s="214"/>
      <c r="CR304" s="214"/>
      <c r="CS304" s="214"/>
      <c r="CT304" s="214"/>
      <c r="CU304" s="214"/>
      <c r="CV304" s="214"/>
      <c r="CW304" s="214"/>
      <c r="CX304" s="214"/>
      <c r="CY304" s="214"/>
      <c r="CZ304" s="214"/>
      <c r="DA304" s="214"/>
      <c r="DB304" s="214"/>
      <c r="DC304" s="214"/>
      <c r="DD304" s="214"/>
      <c r="DE304" s="214"/>
      <c r="DF304" s="214"/>
      <c r="DG304" s="214"/>
      <c r="DH304" s="214"/>
      <c r="DI304" s="214"/>
      <c r="DJ304" s="214"/>
      <c r="DK304" s="214"/>
      <c r="DL304" s="214"/>
      <c r="DM304" s="214"/>
      <c r="DN304" s="214"/>
      <c r="DO304" s="214"/>
      <c r="DP304" s="214"/>
      <c r="DQ304" s="214"/>
      <c r="DR304" s="214"/>
      <c r="DS304" s="214"/>
      <c r="DT304" s="214"/>
      <c r="DU304" s="214"/>
      <c r="DV304" s="214"/>
      <c r="DW304" s="214"/>
      <c r="DX304" s="214"/>
      <c r="DY304" s="214"/>
      <c r="DZ304" s="214"/>
      <c r="EA304" s="214"/>
      <c r="EB304" s="214"/>
      <c r="EC304" s="214"/>
      <c r="ED304" s="214"/>
      <c r="EE304" s="214"/>
      <c r="EF304" s="214"/>
      <c r="EG304" s="214"/>
      <c r="EH304" s="214"/>
      <c r="EI304" s="214"/>
      <c r="EJ304" s="214"/>
      <c r="EK304" s="214"/>
      <c r="EL304" s="214"/>
      <c r="EM304" s="214"/>
      <c r="EN304" s="214"/>
      <c r="EO304" s="214"/>
      <c r="EP304" s="214"/>
      <c r="EQ304" s="214"/>
      <c r="ER304" s="214"/>
      <c r="ES304" s="214"/>
      <c r="ET304" s="214"/>
      <c r="EU304" s="214"/>
      <c r="EV304" s="214"/>
      <c r="EW304" s="214"/>
      <c r="EX304" s="214"/>
      <c r="EY304" s="214"/>
      <c r="EZ304" s="214"/>
      <c r="FA304" s="214"/>
      <c r="FB304" s="214"/>
      <c r="FC304" s="214"/>
      <c r="FD304" s="214"/>
      <c r="FE304" s="214"/>
      <c r="FF304" s="214"/>
      <c r="FG304" s="214"/>
      <c r="FH304" s="214"/>
      <c r="FI304" s="214"/>
      <c r="FJ304" s="214"/>
      <c r="FK304" s="214"/>
      <c r="FL304" s="214"/>
      <c r="FM304" s="214"/>
      <c r="FN304" s="214"/>
      <c r="FO304" s="214"/>
      <c r="FP304" s="214"/>
      <c r="FQ304" s="214"/>
      <c r="FR304" s="214"/>
      <c r="FS304" s="214"/>
      <c r="FT304" s="214"/>
      <c r="FU304" s="214"/>
      <c r="FV304" s="214"/>
      <c r="FW304" s="214"/>
      <c r="FX304" s="214"/>
      <c r="FY304" s="214"/>
      <c r="FZ304" s="214"/>
      <c r="GA304" s="214"/>
      <c r="GB304" s="214"/>
      <c r="GC304" s="214"/>
      <c r="GD304" s="214"/>
      <c r="GE304" s="214"/>
      <c r="GF304" s="214"/>
      <c r="GG304" s="214"/>
      <c r="GH304" s="214"/>
      <c r="GI304" s="214"/>
      <c r="GJ304" s="214"/>
      <c r="GK304" s="214"/>
      <c r="GL304" s="214"/>
      <c r="GM304" s="214"/>
      <c r="GN304" s="214"/>
      <c r="GO304" s="214"/>
      <c r="GP304" s="214"/>
      <c r="GQ304" s="214"/>
      <c r="GR304" s="214"/>
      <c r="GS304" s="214"/>
      <c r="GT304" s="214"/>
      <c r="GU304" s="214"/>
      <c r="GV304" s="214"/>
      <c r="GW304" s="214"/>
      <c r="GX304" s="214"/>
      <c r="GY304" s="214"/>
      <c r="GZ304" s="214"/>
      <c r="HA304" s="214"/>
      <c r="HB304" s="214"/>
      <c r="HC304" s="214"/>
      <c r="HD304" s="214"/>
      <c r="HE304" s="214"/>
      <c r="HF304" s="214"/>
      <c r="HG304" s="214"/>
      <c r="HH304" s="214"/>
      <c r="HI304" s="214"/>
      <c r="HJ304" s="214"/>
      <c r="HK304" s="214"/>
      <c r="HL304" s="214"/>
      <c r="HM304" s="214"/>
      <c r="HN304" s="214"/>
      <c r="HO304" s="214"/>
      <c r="HP304" s="214"/>
      <c r="HQ304" s="214"/>
      <c r="HR304" s="214"/>
      <c r="HS304" s="214"/>
      <c r="HT304" s="214"/>
      <c r="HU304" s="214"/>
      <c r="HV304" s="214"/>
      <c r="HW304" s="214"/>
      <c r="HX304" s="214"/>
      <c r="HY304" s="214"/>
      <c r="HZ304" s="214"/>
      <c r="IA304" s="214"/>
      <c r="IB304" s="214"/>
      <c r="IC304" s="214"/>
      <c r="ID304" s="214"/>
      <c r="IE304" s="214"/>
      <c r="IF304" s="214"/>
      <c r="IG304" s="214"/>
      <c r="IH304" s="214"/>
      <c r="II304" s="214"/>
      <c r="IJ304" s="214"/>
      <c r="IK304" s="214"/>
      <c r="IL304" s="214"/>
      <c r="IM304" s="214"/>
      <c r="IN304" s="214"/>
      <c r="IO304" s="214"/>
      <c r="IP304" s="214"/>
      <c r="IQ304" s="214"/>
      <c r="IR304" s="214"/>
    </row>
    <row r="305" spans="1:252" ht="16.2" thickTop="1" thickBot="1">
      <c r="M305" s="214"/>
      <c r="N305" s="214"/>
      <c r="O305" s="214"/>
      <c r="P305" s="214"/>
      <c r="Q305" s="214"/>
      <c r="R305" s="214"/>
      <c r="S305" s="214"/>
      <c r="T305" s="214"/>
      <c r="U305" s="214"/>
      <c r="V305" s="214"/>
      <c r="W305" s="214"/>
      <c r="X305" s="214"/>
      <c r="Y305" s="214"/>
      <c r="Z305" s="214"/>
      <c r="AA305" s="214"/>
      <c r="AB305" s="214"/>
      <c r="AC305" s="214"/>
      <c r="AD305" s="214"/>
      <c r="AE305" s="214"/>
      <c r="AF305" s="214"/>
      <c r="AG305" s="214"/>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c r="BI305" s="214"/>
      <c r="BJ305" s="214"/>
      <c r="BK305" s="214"/>
      <c r="BL305" s="214"/>
      <c r="BM305" s="214"/>
      <c r="BN305" s="214"/>
      <c r="BO305" s="214"/>
      <c r="BP305" s="214"/>
      <c r="BQ305" s="214"/>
      <c r="BR305" s="214"/>
      <c r="BS305" s="214"/>
      <c r="BT305" s="214"/>
      <c r="BU305" s="214"/>
      <c r="BV305" s="214"/>
      <c r="BW305" s="214"/>
      <c r="BX305" s="214"/>
      <c r="BY305" s="214"/>
      <c r="BZ305" s="214"/>
      <c r="CA305" s="214"/>
      <c r="CB305" s="214"/>
      <c r="CC305" s="214"/>
      <c r="CD305" s="214"/>
      <c r="CE305" s="214"/>
      <c r="CF305" s="214"/>
      <c r="CG305" s="214"/>
      <c r="CH305" s="214"/>
      <c r="CI305" s="214"/>
      <c r="CJ305" s="214"/>
      <c r="CK305" s="214"/>
      <c r="CL305" s="214"/>
      <c r="CM305" s="214"/>
      <c r="CN305" s="214"/>
      <c r="CO305" s="214"/>
      <c r="CP305" s="214"/>
      <c r="CQ305" s="214"/>
      <c r="CR305" s="214"/>
      <c r="CS305" s="214"/>
      <c r="CT305" s="214"/>
      <c r="CU305" s="214"/>
      <c r="CV305" s="214"/>
      <c r="CW305" s="214"/>
      <c r="CX305" s="214"/>
      <c r="CY305" s="214"/>
      <c r="CZ305" s="214"/>
      <c r="DA305" s="214"/>
      <c r="DB305" s="214"/>
      <c r="DC305" s="214"/>
      <c r="DD305" s="214"/>
      <c r="DE305" s="214"/>
      <c r="DF305" s="214"/>
      <c r="DG305" s="214"/>
      <c r="DH305" s="214"/>
      <c r="DI305" s="214"/>
      <c r="DJ305" s="214"/>
      <c r="DK305" s="214"/>
      <c r="DL305" s="214"/>
      <c r="DM305" s="214"/>
      <c r="DN305" s="214"/>
      <c r="DO305" s="214"/>
      <c r="DP305" s="214"/>
      <c r="DQ305" s="214"/>
      <c r="DR305" s="214"/>
      <c r="DS305" s="214"/>
      <c r="DT305" s="214"/>
      <c r="DU305" s="214"/>
      <c r="DV305" s="214"/>
      <c r="DW305" s="214"/>
      <c r="DX305" s="214"/>
      <c r="DY305" s="214"/>
      <c r="DZ305" s="214"/>
      <c r="EA305" s="214"/>
      <c r="EB305" s="214"/>
      <c r="EC305" s="214"/>
      <c r="ED305" s="214"/>
      <c r="EE305" s="214"/>
      <c r="EF305" s="214"/>
      <c r="EG305" s="214"/>
      <c r="EH305" s="214"/>
      <c r="EI305" s="214"/>
      <c r="EJ305" s="214"/>
      <c r="EK305" s="214"/>
      <c r="EL305" s="214"/>
      <c r="EM305" s="214"/>
      <c r="EN305" s="214"/>
      <c r="EO305" s="214"/>
      <c r="EP305" s="214"/>
      <c r="EQ305" s="214"/>
      <c r="ER305" s="214"/>
      <c r="ES305" s="214"/>
      <c r="ET305" s="214"/>
      <c r="EU305" s="214"/>
      <c r="EV305" s="214"/>
      <c r="EW305" s="214"/>
      <c r="EX305" s="214"/>
      <c r="EY305" s="214"/>
      <c r="EZ305" s="214"/>
      <c r="FA305" s="214"/>
      <c r="FB305" s="214"/>
      <c r="FC305" s="214"/>
      <c r="FD305" s="214"/>
      <c r="FE305" s="214"/>
      <c r="FF305" s="214"/>
      <c r="FG305" s="214"/>
      <c r="FH305" s="214"/>
      <c r="FI305" s="214"/>
      <c r="FJ305" s="214"/>
      <c r="FK305" s="214"/>
      <c r="FL305" s="214"/>
      <c r="FM305" s="214"/>
      <c r="FN305" s="214"/>
      <c r="FO305" s="214"/>
      <c r="FP305" s="214"/>
      <c r="FQ305" s="214"/>
      <c r="FR305" s="214"/>
      <c r="FS305" s="214"/>
      <c r="FT305" s="214"/>
      <c r="FU305" s="214"/>
      <c r="FV305" s="214"/>
      <c r="FW305" s="214"/>
      <c r="FX305" s="214"/>
      <c r="FY305" s="214"/>
      <c r="FZ305" s="214"/>
      <c r="GA305" s="214"/>
      <c r="GB305" s="214"/>
      <c r="GC305" s="214"/>
      <c r="GD305" s="214"/>
      <c r="GE305" s="214"/>
      <c r="GF305" s="214"/>
      <c r="GG305" s="214"/>
      <c r="GH305" s="214"/>
      <c r="GI305" s="214"/>
      <c r="GJ305" s="214"/>
      <c r="GK305" s="214"/>
      <c r="GL305" s="214"/>
      <c r="GM305" s="214"/>
      <c r="GN305" s="214"/>
      <c r="GO305" s="214"/>
      <c r="GP305" s="214"/>
      <c r="GQ305" s="214"/>
      <c r="GR305" s="214"/>
      <c r="GS305" s="214"/>
      <c r="GT305" s="214"/>
      <c r="GU305" s="214"/>
      <c r="GV305" s="214"/>
      <c r="GW305" s="214"/>
      <c r="GX305" s="214"/>
      <c r="GY305" s="214"/>
      <c r="GZ305" s="214"/>
      <c r="HA305" s="214"/>
      <c r="HB305" s="214"/>
      <c r="HC305" s="214"/>
      <c r="HD305" s="214"/>
      <c r="HE305" s="214"/>
      <c r="HF305" s="214"/>
      <c r="HG305" s="214"/>
      <c r="HH305" s="214"/>
      <c r="HI305" s="214"/>
      <c r="HJ305" s="214"/>
      <c r="HK305" s="214"/>
      <c r="HL305" s="214"/>
      <c r="HM305" s="214"/>
      <c r="HN305" s="214"/>
      <c r="HO305" s="214"/>
      <c r="HP305" s="214"/>
      <c r="HQ305" s="214"/>
      <c r="HR305" s="214"/>
      <c r="HS305" s="214"/>
      <c r="HT305" s="214"/>
      <c r="HU305" s="214"/>
      <c r="HV305" s="214"/>
      <c r="HW305" s="214"/>
      <c r="HX305" s="214"/>
      <c r="HY305" s="214"/>
      <c r="HZ305" s="214"/>
      <c r="IA305" s="214"/>
      <c r="IB305" s="214"/>
      <c r="IC305" s="214"/>
      <c r="ID305" s="214"/>
      <c r="IE305" s="214"/>
      <c r="IF305" s="214"/>
      <c r="IG305" s="214"/>
      <c r="IH305" s="214"/>
      <c r="II305" s="214"/>
      <c r="IJ305" s="214"/>
      <c r="IK305" s="214"/>
      <c r="IL305" s="214"/>
      <c r="IM305" s="214"/>
      <c r="IN305" s="214"/>
      <c r="IO305" s="214"/>
      <c r="IP305" s="214"/>
      <c r="IQ305" s="214"/>
      <c r="IR305" s="214"/>
    </row>
    <row r="306" spans="1:252" ht="15" customHeight="1" thickTop="1">
      <c r="M306" s="214"/>
      <c r="N306" s="214"/>
      <c r="O306" s="214"/>
      <c r="P306" s="214"/>
      <c r="Q306" s="214"/>
      <c r="R306" s="214"/>
      <c r="S306" s="214"/>
      <c r="T306" s="214"/>
      <c r="U306" s="214"/>
      <c r="V306" s="214"/>
      <c r="W306" s="214"/>
      <c r="X306" s="214"/>
      <c r="Y306" s="214"/>
      <c r="Z306" s="214"/>
      <c r="AA306" s="214"/>
      <c r="AB306" s="214"/>
      <c r="AC306" s="214"/>
      <c r="AD306" s="214"/>
      <c r="AE306" s="214"/>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c r="BI306" s="214"/>
      <c r="BJ306" s="214"/>
      <c r="BK306" s="214"/>
      <c r="BL306" s="214"/>
      <c r="BM306" s="214"/>
      <c r="BN306" s="214"/>
      <c r="BO306" s="214"/>
      <c r="BP306" s="214"/>
      <c r="BQ306" s="214"/>
      <c r="BR306" s="214"/>
      <c r="BS306" s="214"/>
      <c r="BT306" s="214"/>
      <c r="BU306" s="214"/>
      <c r="BV306" s="214"/>
      <c r="BW306" s="214"/>
      <c r="BX306" s="214"/>
      <c r="BY306" s="214"/>
      <c r="BZ306" s="214"/>
      <c r="CA306" s="214"/>
      <c r="CB306" s="214"/>
      <c r="CC306" s="214"/>
      <c r="CD306" s="214"/>
      <c r="CE306" s="214"/>
      <c r="CF306" s="214"/>
      <c r="CG306" s="214"/>
      <c r="CH306" s="214"/>
      <c r="CI306" s="214"/>
      <c r="CJ306" s="214"/>
      <c r="CK306" s="214"/>
      <c r="CL306" s="214"/>
      <c r="CM306" s="214"/>
      <c r="CN306" s="214"/>
      <c r="CO306" s="214"/>
      <c r="CP306" s="214"/>
      <c r="CQ306" s="214"/>
      <c r="CR306" s="214"/>
      <c r="CS306" s="214"/>
      <c r="CT306" s="214"/>
      <c r="CU306" s="214"/>
      <c r="CV306" s="214"/>
      <c r="CW306" s="214"/>
      <c r="CX306" s="214"/>
      <c r="CY306" s="214"/>
      <c r="CZ306" s="214"/>
      <c r="DA306" s="214"/>
      <c r="DB306" s="214"/>
      <c r="DC306" s="214"/>
      <c r="DD306" s="214"/>
      <c r="DE306" s="214"/>
      <c r="DF306" s="214"/>
      <c r="DG306" s="214"/>
      <c r="DH306" s="214"/>
      <c r="DI306" s="214"/>
      <c r="DJ306" s="214"/>
      <c r="DK306" s="214"/>
      <c r="DL306" s="214"/>
      <c r="DM306" s="214"/>
      <c r="DN306" s="214"/>
      <c r="DO306" s="214"/>
      <c r="DP306" s="214"/>
      <c r="DQ306" s="214"/>
      <c r="DR306" s="214"/>
      <c r="DS306" s="214"/>
      <c r="DT306" s="214"/>
      <c r="DU306" s="214"/>
      <c r="DV306" s="214"/>
      <c r="DW306" s="214"/>
      <c r="DX306" s="214"/>
      <c r="DY306" s="214"/>
      <c r="DZ306" s="214"/>
      <c r="EA306" s="214"/>
      <c r="EB306" s="214"/>
      <c r="EC306" s="214"/>
      <c r="ED306" s="214"/>
      <c r="EE306" s="214"/>
      <c r="EF306" s="214"/>
      <c r="EG306" s="214"/>
      <c r="EH306" s="214"/>
      <c r="EI306" s="214"/>
      <c r="EJ306" s="214"/>
      <c r="EK306" s="214"/>
      <c r="EL306" s="214"/>
      <c r="EM306" s="214"/>
      <c r="EN306" s="214"/>
      <c r="EO306" s="214"/>
      <c r="EP306" s="214"/>
      <c r="EQ306" s="214"/>
      <c r="ER306" s="214"/>
      <c r="ES306" s="214"/>
      <c r="ET306" s="214"/>
      <c r="EU306" s="214"/>
      <c r="EV306" s="214"/>
      <c r="EW306" s="214"/>
      <c r="EX306" s="214"/>
      <c r="EY306" s="214"/>
      <c r="EZ306" s="214"/>
      <c r="FA306" s="214"/>
      <c r="FB306" s="214"/>
      <c r="FC306" s="214"/>
      <c r="FD306" s="214"/>
      <c r="FE306" s="214"/>
      <c r="FF306" s="214"/>
      <c r="FG306" s="214"/>
      <c r="FH306" s="214"/>
      <c r="FI306" s="214"/>
      <c r="FJ306" s="214"/>
      <c r="FK306" s="214"/>
      <c r="FL306" s="214"/>
      <c r="FM306" s="214"/>
      <c r="FN306" s="214"/>
      <c r="FO306" s="214"/>
      <c r="FP306" s="214"/>
      <c r="FQ306" s="214"/>
      <c r="FR306" s="214"/>
      <c r="FS306" s="214"/>
      <c r="FT306" s="214"/>
      <c r="FU306" s="214"/>
      <c r="FV306" s="214"/>
      <c r="FW306" s="214"/>
      <c r="FX306" s="214"/>
      <c r="FY306" s="214"/>
      <c r="FZ306" s="214"/>
      <c r="GA306" s="214"/>
      <c r="GB306" s="214"/>
      <c r="GC306" s="214"/>
      <c r="GD306" s="214"/>
      <c r="GE306" s="214"/>
      <c r="GF306" s="214"/>
      <c r="GG306" s="214"/>
      <c r="GH306" s="214"/>
      <c r="GI306" s="214"/>
      <c r="GJ306" s="214"/>
      <c r="GK306" s="214"/>
      <c r="GL306" s="214"/>
      <c r="GM306" s="214"/>
      <c r="GN306" s="214"/>
      <c r="GO306" s="214"/>
      <c r="GP306" s="214"/>
      <c r="GQ306" s="214"/>
      <c r="GR306" s="214"/>
      <c r="GS306" s="214"/>
      <c r="GT306" s="214"/>
      <c r="GU306" s="214"/>
      <c r="GV306" s="214"/>
      <c r="GW306" s="214"/>
      <c r="GX306" s="214"/>
      <c r="GY306" s="214"/>
      <c r="GZ306" s="214"/>
      <c r="HA306" s="214"/>
      <c r="HB306" s="214"/>
      <c r="HC306" s="214"/>
      <c r="HD306" s="214"/>
      <c r="HE306" s="214"/>
      <c r="HF306" s="214"/>
      <c r="HG306" s="214"/>
      <c r="HH306" s="214"/>
      <c r="HI306" s="214"/>
      <c r="HJ306" s="214"/>
      <c r="HK306" s="214"/>
      <c r="HL306" s="214"/>
      <c r="HM306" s="214"/>
      <c r="HN306" s="214"/>
      <c r="HO306" s="214"/>
      <c r="HP306" s="214"/>
      <c r="HQ306" s="214"/>
      <c r="HR306" s="214"/>
      <c r="HS306" s="214"/>
      <c r="HT306" s="214"/>
      <c r="HU306" s="214"/>
      <c r="HV306" s="214"/>
      <c r="HW306" s="214"/>
      <c r="HX306" s="214"/>
      <c r="HY306" s="214"/>
      <c r="HZ306" s="214"/>
      <c r="IA306" s="214"/>
      <c r="IB306" s="214"/>
      <c r="IC306" s="214"/>
      <c r="ID306" s="214"/>
      <c r="IE306" s="214"/>
      <c r="IF306" s="214"/>
      <c r="IG306" s="214"/>
      <c r="IH306" s="214"/>
      <c r="II306" s="214"/>
      <c r="IJ306" s="214"/>
      <c r="IK306" s="214"/>
      <c r="IL306" s="214"/>
      <c r="IM306" s="214"/>
      <c r="IN306" s="214"/>
      <c r="IO306" s="214"/>
      <c r="IP306" s="214"/>
      <c r="IQ306" s="214"/>
      <c r="IR306" s="214"/>
    </row>
    <row r="307" spans="1:252" ht="13.2" customHeight="1"/>
    <row r="309" spans="1:252" ht="19.5" customHeight="1"/>
    <row r="310" spans="1:252" ht="19.5" customHeight="1">
      <c r="A310" s="211"/>
    </row>
    <row r="311" spans="1:252" ht="18" customHeight="1">
      <c r="A311" s="211"/>
    </row>
    <row r="336" spans="4:5">
      <c r="D336" s="167">
        <f>4920100299/1000</f>
        <v>4920100.2989999996</v>
      </c>
      <c r="E336" s="167">
        <v>725</v>
      </c>
    </row>
    <row r="337" spans="4:5">
      <c r="D337" s="167">
        <f>4698281252/1000</f>
        <v>4698281.2520000003</v>
      </c>
      <c r="E337" s="167">
        <v>20</v>
      </c>
    </row>
    <row r="338" spans="4:5">
      <c r="D338" s="167">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52" t="s">
        <v>1735</v>
      </c>
      <c r="D6" s="1852"/>
      <c r="E6" s="1852"/>
      <c r="F6" s="1852"/>
      <c r="G6" s="1457"/>
      <c r="H6" s="1457"/>
      <c r="I6" s="1457"/>
    </row>
    <row r="7" spans="3:12" ht="17.399999999999999" thickBot="1">
      <c r="C7" s="1218"/>
      <c r="D7" s="1216"/>
      <c r="E7" s="1216"/>
      <c r="F7" s="1216"/>
      <c r="G7" s="1216"/>
      <c r="H7" s="1216"/>
      <c r="I7" s="1216"/>
    </row>
    <row r="8" spans="3:12" ht="16.8" hidden="1">
      <c r="C8" s="1859" t="s">
        <v>1155</v>
      </c>
      <c r="D8" s="1859"/>
      <c r="E8" s="1859"/>
      <c r="F8" s="1219"/>
      <c r="G8" s="1219"/>
      <c r="H8" s="1219"/>
      <c r="I8" s="1219"/>
      <c r="J8" s="41"/>
      <c r="K8" s="20"/>
      <c r="L8" s="20"/>
    </row>
    <row r="9" spans="3:12" ht="16.8" hidden="1">
      <c r="C9" s="1220"/>
      <c r="D9" s="1221"/>
      <c r="E9" s="1221"/>
      <c r="F9" s="1221"/>
      <c r="G9" s="1221"/>
      <c r="H9" s="1222"/>
      <c r="I9" s="1222"/>
      <c r="J9" s="20"/>
      <c r="K9" s="20"/>
      <c r="L9" s="20"/>
    </row>
    <row r="10" spans="3:12" ht="17.399999999999999" hidden="1" thickBot="1">
      <c r="C10" s="1223"/>
      <c r="D10" s="1224"/>
      <c r="E10" s="1224"/>
      <c r="F10" s="1224"/>
      <c r="G10" s="1225"/>
      <c r="H10" s="1226"/>
      <c r="I10" s="1224"/>
      <c r="J10" s="48"/>
      <c r="K10" s="20"/>
      <c r="L10" s="20"/>
    </row>
    <row r="11" spans="3:12" ht="17.399999999999999" hidden="1" thickTop="1">
      <c r="C11" s="1227"/>
      <c r="D11" s="1228"/>
      <c r="E11" s="1228"/>
      <c r="F11" s="1229"/>
      <c r="G11" s="1230"/>
      <c r="H11" s="1229"/>
      <c r="I11" s="1229"/>
      <c r="J11" s="44"/>
      <c r="K11" s="20"/>
      <c r="L11" s="20"/>
    </row>
    <row r="12" spans="3:12" ht="16.8" hidden="1">
      <c r="C12" s="1231"/>
      <c r="D12" s="1232" t="s">
        <v>695</v>
      </c>
      <c r="E12" s="1232" t="s">
        <v>696</v>
      </c>
      <c r="F12" s="1233" t="s">
        <v>275</v>
      </c>
      <c r="G12" s="1234"/>
      <c r="H12" s="1219" t="s">
        <v>697</v>
      </c>
      <c r="I12" s="1224"/>
      <c r="J12" s="43"/>
      <c r="K12" s="20"/>
      <c r="L12" s="20"/>
    </row>
    <row r="13" spans="3:12" ht="17.399999999999999" hidden="1" thickBot="1">
      <c r="C13" s="1231"/>
      <c r="D13" s="1232" t="s">
        <v>698</v>
      </c>
      <c r="E13" s="1232" t="s">
        <v>282</v>
      </c>
      <c r="F13" s="1233" t="s">
        <v>282</v>
      </c>
      <c r="G13" s="1234"/>
      <c r="H13" s="1224"/>
      <c r="I13" s="1224"/>
      <c r="J13" s="43"/>
      <c r="K13" s="20"/>
      <c r="L13" s="20"/>
    </row>
    <row r="14" spans="3:12" ht="17.399999999999999" hidden="1" thickTop="1">
      <c r="C14" s="1231"/>
      <c r="D14" s="1228"/>
      <c r="E14" s="1228"/>
      <c r="F14" s="1235"/>
      <c r="G14" s="1230"/>
      <c r="H14" s="1229"/>
      <c r="I14" s="1230"/>
      <c r="J14" s="45"/>
      <c r="K14" s="20"/>
      <c r="L14" s="20"/>
    </row>
    <row r="15" spans="3:12" ht="16.8" hidden="1">
      <c r="C15" s="1231"/>
      <c r="D15" s="1236"/>
      <c r="E15" s="1236"/>
      <c r="F15" s="1237"/>
      <c r="G15" s="1854" t="s">
        <v>699</v>
      </c>
      <c r="H15" s="1855"/>
      <c r="I15" s="1238" t="s">
        <v>695</v>
      </c>
      <c r="J15" s="46" t="s">
        <v>700</v>
      </c>
      <c r="K15" s="20"/>
      <c r="L15" s="20"/>
    </row>
    <row r="16" spans="3:12" ht="16.8" hidden="1">
      <c r="C16" s="1231"/>
      <c r="D16" s="1236"/>
      <c r="E16" s="1236"/>
      <c r="F16" s="1239" t="s">
        <v>701</v>
      </c>
      <c r="G16" s="1856" t="s">
        <v>702</v>
      </c>
      <c r="H16" s="1857"/>
      <c r="I16" s="1238" t="s">
        <v>703</v>
      </c>
      <c r="J16" s="46" t="s">
        <v>703</v>
      </c>
      <c r="K16" s="20"/>
      <c r="L16" s="20"/>
    </row>
    <row r="17" spans="3:12" ht="17.399999999999999" hidden="1" thickBot="1">
      <c r="C17" s="1240" t="s">
        <v>263</v>
      </c>
      <c r="D17" s="1232" t="s">
        <v>704</v>
      </c>
      <c r="E17" s="1232" t="s">
        <v>704</v>
      </c>
      <c r="F17" s="1239" t="s">
        <v>705</v>
      </c>
      <c r="G17" s="1234"/>
      <c r="H17" s="1224"/>
      <c r="I17" s="1238" t="s">
        <v>706</v>
      </c>
      <c r="J17" s="46" t="s">
        <v>706</v>
      </c>
      <c r="K17" s="20"/>
      <c r="L17" s="20"/>
    </row>
    <row r="18" spans="3:12" ht="17.399999999999999" hidden="1" thickTop="1">
      <c r="C18" s="1231"/>
      <c r="D18" s="1232" t="s">
        <v>749</v>
      </c>
      <c r="E18" s="1232" t="s">
        <v>749</v>
      </c>
      <c r="F18" s="1239" t="s">
        <v>707</v>
      </c>
      <c r="G18" s="1230"/>
      <c r="H18" s="1230"/>
      <c r="I18" s="1238" t="s">
        <v>708</v>
      </c>
      <c r="J18" s="46" t="s">
        <v>708</v>
      </c>
      <c r="K18" s="20"/>
      <c r="L18" s="20"/>
    </row>
    <row r="19" spans="3:12" ht="16.8" hidden="1">
      <c r="C19" s="1240"/>
      <c r="D19" s="1241"/>
      <c r="E19" s="1241"/>
      <c r="F19" s="1242"/>
      <c r="G19" s="1238" t="s">
        <v>709</v>
      </c>
      <c r="H19" s="1238" t="s">
        <v>390</v>
      </c>
      <c r="I19" s="1243"/>
      <c r="J19" s="47"/>
      <c r="K19" s="20"/>
      <c r="L19" s="20"/>
    </row>
    <row r="20" spans="3:12" ht="17.399999999999999" hidden="1" thickBot="1">
      <c r="C20" s="1244"/>
      <c r="D20" s="1245"/>
      <c r="E20" s="1245"/>
      <c r="F20" s="1246"/>
      <c r="G20" s="1247" t="s">
        <v>389</v>
      </c>
      <c r="H20" s="1248"/>
      <c r="I20" s="1248"/>
      <c r="J20" s="49"/>
      <c r="K20" s="20"/>
      <c r="L20" s="20"/>
    </row>
    <row r="21" spans="3:12" ht="17.399999999999999" hidden="1" thickTop="1">
      <c r="C21" s="1249"/>
      <c r="D21" s="1228"/>
      <c r="E21" s="1228"/>
      <c r="F21" s="1224"/>
      <c r="G21" s="1230"/>
      <c r="H21" s="1230"/>
      <c r="I21" s="1230"/>
      <c r="J21" s="45"/>
      <c r="K21" s="20"/>
      <c r="L21" s="20"/>
    </row>
    <row r="22" spans="3:12" ht="16.8" hidden="1">
      <c r="C22" s="1250"/>
      <c r="D22" s="1251"/>
      <c r="E22" s="1252"/>
      <c r="F22" s="1233"/>
      <c r="G22" s="1233"/>
      <c r="H22" s="1253"/>
      <c r="I22" s="1233"/>
      <c r="J22" s="42"/>
      <c r="K22" s="22"/>
      <c r="L22" s="20"/>
    </row>
    <row r="23" spans="3:12" ht="16.8" hidden="1">
      <c r="C23" s="1240">
        <v>2009</v>
      </c>
      <c r="D23" s="1251"/>
      <c r="E23" s="1252"/>
      <c r="F23" s="1233"/>
      <c r="G23" s="1233"/>
      <c r="H23" s="1253"/>
      <c r="I23" s="1233"/>
      <c r="J23" s="42"/>
      <c r="K23" s="22"/>
      <c r="L23" s="20"/>
    </row>
    <row r="24" spans="3:12" ht="16.8" hidden="1">
      <c r="C24" s="1250"/>
      <c r="D24" s="1251"/>
      <c r="E24" s="1252"/>
      <c r="F24" s="1233"/>
      <c r="G24" s="1233"/>
      <c r="H24" s="1253"/>
      <c r="I24" s="1233"/>
      <c r="J24" s="42"/>
      <c r="K24" s="22"/>
      <c r="L24" s="20"/>
    </row>
    <row r="25" spans="3:12" ht="16.8" hidden="1">
      <c r="C25" s="1250" t="s">
        <v>300</v>
      </c>
      <c r="D25" s="1251" t="s">
        <v>715</v>
      </c>
      <c r="E25" s="1252" t="s">
        <v>719</v>
      </c>
      <c r="F25" s="1233" t="s">
        <v>724</v>
      </c>
      <c r="G25" s="1233"/>
      <c r="H25" s="1253"/>
      <c r="I25" s="1233"/>
      <c r="J25" s="42"/>
      <c r="K25" s="22"/>
      <c r="L25" s="20"/>
    </row>
    <row r="26" spans="3:12" ht="16.8" hidden="1">
      <c r="C26" s="1250" t="s">
        <v>301</v>
      </c>
      <c r="D26" s="1251" t="s">
        <v>716</v>
      </c>
      <c r="E26" s="1252" t="s">
        <v>720</v>
      </c>
      <c r="F26" s="1233" t="s">
        <v>724</v>
      </c>
      <c r="G26" s="1233"/>
      <c r="H26" s="1253"/>
      <c r="I26" s="1233"/>
      <c r="J26" s="42"/>
      <c r="K26" s="22"/>
      <c r="L26" s="20"/>
    </row>
    <row r="27" spans="3:12" ht="16.8" hidden="1">
      <c r="C27" s="1250" t="s">
        <v>302</v>
      </c>
      <c r="D27" s="1251" t="s">
        <v>717</v>
      </c>
      <c r="E27" s="1252" t="s">
        <v>721</v>
      </c>
      <c r="F27" s="1233" t="s">
        <v>724</v>
      </c>
      <c r="G27" s="1233"/>
      <c r="H27" s="1253"/>
      <c r="I27" s="1233"/>
      <c r="J27" s="42"/>
      <c r="K27" s="22"/>
      <c r="L27" s="20"/>
    </row>
    <row r="28" spans="3:12" ht="16.8" hidden="1">
      <c r="C28" s="1250" t="s">
        <v>303</v>
      </c>
      <c r="D28" s="1251" t="s">
        <v>718</v>
      </c>
      <c r="E28" s="1252" t="s">
        <v>1070</v>
      </c>
      <c r="F28" s="1233" t="s">
        <v>724</v>
      </c>
      <c r="G28" s="1233"/>
      <c r="H28" s="1253"/>
      <c r="I28" s="1233"/>
      <c r="J28" s="42"/>
      <c r="K28" s="22"/>
      <c r="L28" s="20"/>
    </row>
    <row r="29" spans="3:12" ht="16.8" hidden="1">
      <c r="C29" s="1250" t="s">
        <v>304</v>
      </c>
      <c r="D29" s="1251" t="s">
        <v>675</v>
      </c>
      <c r="E29" s="1252" t="s">
        <v>1070</v>
      </c>
      <c r="F29" s="1233"/>
      <c r="G29" s="1233"/>
      <c r="H29" s="1253"/>
      <c r="I29" s="1233"/>
      <c r="J29" s="42"/>
      <c r="K29" s="22"/>
      <c r="L29" s="20"/>
    </row>
    <row r="30" spans="3:12" ht="16.8" hidden="1">
      <c r="C30" s="1250" t="s">
        <v>305</v>
      </c>
      <c r="D30" s="1251" t="s">
        <v>676</v>
      </c>
      <c r="E30" s="1252" t="s">
        <v>1070</v>
      </c>
      <c r="F30" s="1233"/>
      <c r="G30" s="1233"/>
      <c r="H30" s="1253"/>
      <c r="I30" s="1233"/>
      <c r="J30" s="42"/>
      <c r="K30" s="22"/>
      <c r="L30" s="20"/>
    </row>
    <row r="31" spans="3:12" ht="16.8" hidden="1">
      <c r="C31" s="1250" t="s">
        <v>306</v>
      </c>
      <c r="D31" s="1232" t="s">
        <v>361</v>
      </c>
      <c r="E31" s="1232" t="s">
        <v>362</v>
      </c>
      <c r="F31" s="1233"/>
      <c r="G31" s="1233"/>
      <c r="H31" s="1253"/>
      <c r="I31" s="1233"/>
      <c r="J31" s="42"/>
      <c r="K31" s="22"/>
      <c r="L31" s="20"/>
    </row>
    <row r="32" spans="3:12" ht="17.25" hidden="1" customHeight="1">
      <c r="C32" s="1250" t="s">
        <v>307</v>
      </c>
      <c r="D32" s="1232" t="s">
        <v>363</v>
      </c>
      <c r="E32" s="1232" t="s">
        <v>364</v>
      </c>
      <c r="F32" s="1233"/>
      <c r="G32" s="1233"/>
      <c r="H32" s="1253"/>
      <c r="I32" s="1233"/>
      <c r="J32" s="42"/>
      <c r="K32" s="22"/>
      <c r="L32" s="20"/>
    </row>
    <row r="33" spans="3:12" ht="17.25" hidden="1" customHeight="1">
      <c r="C33" s="1250" t="s">
        <v>308</v>
      </c>
      <c r="D33" s="1232" t="s">
        <v>366</v>
      </c>
      <c r="E33" s="1232" t="s">
        <v>365</v>
      </c>
      <c r="F33" s="1233"/>
      <c r="G33" s="1233"/>
      <c r="H33" s="1253"/>
      <c r="I33" s="1233"/>
      <c r="J33" s="42"/>
      <c r="K33" s="22"/>
      <c r="L33" s="20"/>
    </row>
    <row r="34" spans="3:12" ht="17.25" hidden="1" customHeight="1">
      <c r="C34" s="1250" t="s">
        <v>311</v>
      </c>
      <c r="D34" s="1232" t="s">
        <v>352</v>
      </c>
      <c r="E34" s="1232" t="s">
        <v>186</v>
      </c>
      <c r="F34" s="1233"/>
      <c r="G34" s="1233"/>
      <c r="H34" s="1253"/>
      <c r="I34" s="1233"/>
      <c r="J34" s="42"/>
      <c r="K34" s="22"/>
      <c r="L34" s="20"/>
    </row>
    <row r="35" spans="3:12" ht="17.25" hidden="1" customHeight="1">
      <c r="C35" s="1250"/>
      <c r="D35" s="1232"/>
      <c r="E35" s="1232"/>
      <c r="F35" s="1233"/>
      <c r="G35" s="1233"/>
      <c r="H35" s="1253"/>
      <c r="I35" s="1233"/>
      <c r="J35" s="42"/>
      <c r="K35" s="22"/>
      <c r="L35" s="20"/>
    </row>
    <row r="36" spans="3:12" ht="17.25" hidden="1" customHeight="1">
      <c r="C36" s="1250"/>
      <c r="D36" s="1232"/>
      <c r="E36" s="1232"/>
      <c r="F36" s="1233"/>
      <c r="G36" s="1233"/>
      <c r="H36" s="1253"/>
      <c r="I36" s="1233"/>
      <c r="J36" s="42"/>
      <c r="K36" s="22"/>
      <c r="L36" s="20"/>
    </row>
    <row r="37" spans="3:12" ht="17.25" hidden="1" customHeight="1">
      <c r="C37" s="1250">
        <v>2010</v>
      </c>
      <c r="D37" s="1232"/>
      <c r="E37" s="1232"/>
      <c r="F37" s="1233"/>
      <c r="G37" s="1233"/>
      <c r="H37" s="1253"/>
      <c r="I37" s="1233"/>
      <c r="J37" s="42"/>
      <c r="K37" s="22"/>
      <c r="L37" s="20"/>
    </row>
    <row r="38" spans="3:12" ht="17.25" hidden="1" customHeight="1">
      <c r="C38" s="1250"/>
      <c r="D38" s="1232"/>
      <c r="E38" s="1232"/>
      <c r="F38" s="1233"/>
      <c r="G38" s="1233"/>
      <c r="H38" s="1253"/>
      <c r="I38" s="1233"/>
      <c r="J38" s="42"/>
      <c r="K38" s="22"/>
      <c r="L38" s="20"/>
    </row>
    <row r="39" spans="3:12" ht="17.25" hidden="1" customHeight="1">
      <c r="C39" s="1250" t="s">
        <v>298</v>
      </c>
      <c r="D39" s="1232" t="s">
        <v>1124</v>
      </c>
      <c r="E39" s="1232" t="s">
        <v>1110</v>
      </c>
      <c r="F39" s="1233"/>
      <c r="G39" s="1233"/>
      <c r="H39" s="1253"/>
      <c r="I39" s="1233"/>
      <c r="J39" s="42"/>
      <c r="K39" s="22"/>
      <c r="L39" s="20"/>
    </row>
    <row r="40" spans="3:12" ht="17.25" hidden="1" customHeight="1">
      <c r="C40" s="1250" t="s">
        <v>299</v>
      </c>
      <c r="D40" s="1232" t="s">
        <v>1124</v>
      </c>
      <c r="E40" s="1232" t="s">
        <v>1110</v>
      </c>
      <c r="F40" s="1233"/>
      <c r="G40" s="1233"/>
      <c r="H40" s="1253"/>
      <c r="I40" s="1233"/>
      <c r="J40" s="42"/>
      <c r="K40" s="22"/>
      <c r="L40" s="20"/>
    </row>
    <row r="41" spans="3:12" ht="17.25" hidden="1" customHeight="1">
      <c r="C41" s="1250" t="s">
        <v>300</v>
      </c>
      <c r="D41" s="1232" t="s">
        <v>1124</v>
      </c>
      <c r="E41" s="1232" t="s">
        <v>526</v>
      </c>
      <c r="F41" s="1233"/>
      <c r="G41" s="1233"/>
      <c r="H41" s="1253"/>
      <c r="I41" s="1233"/>
      <c r="J41" s="42"/>
      <c r="K41" s="22"/>
      <c r="L41" s="20"/>
    </row>
    <row r="42" spans="3:12" ht="17.25" hidden="1" customHeight="1">
      <c r="C42" s="1250" t="s">
        <v>301</v>
      </c>
      <c r="D42" s="1232" t="s">
        <v>1125</v>
      </c>
      <c r="E42" s="1232" t="s">
        <v>782</v>
      </c>
      <c r="F42" s="1233"/>
      <c r="G42" s="1233"/>
      <c r="H42" s="1253"/>
      <c r="I42" s="1233"/>
      <c r="J42" s="42"/>
      <c r="K42" s="22"/>
      <c r="L42" s="20"/>
    </row>
    <row r="43" spans="3:12" ht="17.25" hidden="1" customHeight="1">
      <c r="C43" s="1250" t="s">
        <v>302</v>
      </c>
      <c r="D43" s="1232" t="s">
        <v>1126</v>
      </c>
      <c r="E43" s="1232" t="s">
        <v>775</v>
      </c>
      <c r="F43" s="1233"/>
      <c r="G43" s="1233"/>
      <c r="H43" s="1253"/>
      <c r="I43" s="1233"/>
      <c r="J43" s="42"/>
      <c r="K43" s="22"/>
      <c r="L43" s="20"/>
    </row>
    <row r="44" spans="3:12" ht="17.25" hidden="1" customHeight="1">
      <c r="C44" s="1250" t="s">
        <v>303</v>
      </c>
      <c r="D44" s="1232" t="s">
        <v>1126</v>
      </c>
      <c r="E44" s="1232" t="s">
        <v>775</v>
      </c>
      <c r="F44" s="1233"/>
      <c r="G44" s="1233"/>
      <c r="H44" s="1253"/>
      <c r="I44" s="1233"/>
      <c r="J44" s="42"/>
      <c r="K44" s="22"/>
      <c r="L44" s="20"/>
    </row>
    <row r="45" spans="3:12" ht="17.25" hidden="1" customHeight="1">
      <c r="C45" s="1250" t="s">
        <v>304</v>
      </c>
      <c r="D45" s="1232" t="s">
        <v>1127</v>
      </c>
      <c r="E45" s="1232" t="s">
        <v>896</v>
      </c>
      <c r="F45" s="1233"/>
      <c r="G45" s="1233"/>
      <c r="H45" s="1253"/>
      <c r="I45" s="1233"/>
      <c r="J45" s="42"/>
      <c r="K45" s="22"/>
      <c r="L45" s="20"/>
    </row>
    <row r="46" spans="3:12" ht="17.25" hidden="1" customHeight="1">
      <c r="C46" s="1250" t="s">
        <v>305</v>
      </c>
      <c r="D46" s="1232" t="s">
        <v>1127</v>
      </c>
      <c r="E46" s="1232" t="s">
        <v>1106</v>
      </c>
      <c r="F46" s="1233"/>
      <c r="G46" s="1233"/>
      <c r="H46" s="1253"/>
      <c r="I46" s="1233"/>
      <c r="J46" s="42"/>
      <c r="K46" s="22"/>
      <c r="L46" s="20"/>
    </row>
    <row r="47" spans="3:12" ht="17.25" hidden="1" customHeight="1">
      <c r="C47" s="1250" t="s">
        <v>306</v>
      </c>
      <c r="D47" s="1232" t="s">
        <v>1128</v>
      </c>
      <c r="E47" s="1232" t="s">
        <v>1107</v>
      </c>
      <c r="F47" s="1233"/>
      <c r="G47" s="1233"/>
      <c r="H47" s="1253"/>
      <c r="I47" s="1233"/>
      <c r="J47" s="42"/>
      <c r="K47" s="22"/>
      <c r="L47" s="20"/>
    </row>
    <row r="48" spans="3:12" ht="17.25" hidden="1" customHeight="1">
      <c r="C48" s="1250" t="s">
        <v>307</v>
      </c>
      <c r="D48" s="1232" t="s">
        <v>1129</v>
      </c>
      <c r="E48" s="1232" t="s">
        <v>1108</v>
      </c>
      <c r="F48" s="1233"/>
      <c r="G48" s="1233"/>
      <c r="H48" s="1253"/>
      <c r="I48" s="1233"/>
      <c r="J48" s="42"/>
      <c r="K48" s="22"/>
      <c r="L48" s="20"/>
    </row>
    <row r="49" spans="3:12" ht="17.25" hidden="1" customHeight="1">
      <c r="C49" s="1250" t="s">
        <v>308</v>
      </c>
      <c r="D49" s="1232" t="s">
        <v>1114</v>
      </c>
      <c r="E49" s="1232" t="s">
        <v>865</v>
      </c>
      <c r="F49" s="1233"/>
      <c r="G49" s="1233"/>
      <c r="H49" s="1253"/>
      <c r="I49" s="1233"/>
      <c r="J49" s="42"/>
      <c r="K49" s="22"/>
      <c r="L49" s="20"/>
    </row>
    <row r="50" spans="3:12" ht="17.25" hidden="1" customHeight="1">
      <c r="C50" s="1250" t="s">
        <v>311</v>
      </c>
      <c r="D50" s="1232" t="s">
        <v>1114</v>
      </c>
      <c r="E50" s="1232" t="s">
        <v>1109</v>
      </c>
      <c r="F50" s="1233"/>
      <c r="G50" s="1233"/>
      <c r="H50" s="1253"/>
      <c r="I50" s="1233"/>
      <c r="J50" s="42"/>
      <c r="K50" s="22"/>
      <c r="L50" s="20"/>
    </row>
    <row r="51" spans="3:12" ht="17.25" hidden="1" customHeight="1">
      <c r="C51" s="1250"/>
      <c r="D51" s="1232"/>
      <c r="E51" s="1232"/>
      <c r="F51" s="1233"/>
      <c r="G51" s="1233"/>
      <c r="H51" s="1253"/>
      <c r="I51" s="1233"/>
      <c r="J51" s="42"/>
      <c r="K51" s="22"/>
      <c r="L51" s="20"/>
    </row>
    <row r="52" spans="3:12" ht="17.25" hidden="1" customHeight="1">
      <c r="C52" s="1250">
        <v>2011</v>
      </c>
      <c r="D52" s="1232"/>
      <c r="E52" s="1232"/>
      <c r="F52" s="1233"/>
      <c r="G52" s="1233"/>
      <c r="H52" s="1253"/>
      <c r="I52" s="1233"/>
      <c r="J52" s="42"/>
      <c r="K52" s="22"/>
      <c r="L52" s="20"/>
    </row>
    <row r="53" spans="3:12" ht="17.25" hidden="1" customHeight="1">
      <c r="C53" s="1250"/>
      <c r="D53" s="1232"/>
      <c r="E53" s="1232"/>
      <c r="F53" s="1233"/>
      <c r="G53" s="1233"/>
      <c r="H53" s="1253"/>
      <c r="I53" s="1233"/>
      <c r="J53" s="42"/>
      <c r="K53" s="22"/>
      <c r="L53" s="20"/>
    </row>
    <row r="54" spans="3:12" ht="17.25" hidden="1" customHeight="1">
      <c r="C54" s="1250" t="s">
        <v>298</v>
      </c>
      <c r="D54" s="1232" t="s">
        <v>1114</v>
      </c>
      <c r="E54" s="1232" t="s">
        <v>1115</v>
      </c>
      <c r="F54" s="1233"/>
      <c r="G54" s="1233"/>
      <c r="H54" s="1253"/>
      <c r="I54" s="1233"/>
      <c r="J54" s="42"/>
      <c r="K54" s="22"/>
      <c r="L54" s="20"/>
    </row>
    <row r="55" spans="3:12" ht="17.25" hidden="1" customHeight="1">
      <c r="C55" s="1250" t="s">
        <v>299</v>
      </c>
      <c r="D55" s="1232" t="s">
        <v>1114</v>
      </c>
      <c r="E55" s="1232" t="s">
        <v>1192</v>
      </c>
      <c r="F55" s="1233"/>
      <c r="G55" s="1233"/>
      <c r="H55" s="1253"/>
      <c r="I55" s="1233"/>
      <c r="J55" s="42"/>
      <c r="K55" s="22"/>
      <c r="L55" s="20"/>
    </row>
    <row r="56" spans="3:12" ht="17.25" hidden="1" customHeight="1">
      <c r="C56" s="1250" t="s">
        <v>300</v>
      </c>
      <c r="D56" s="1232" t="s">
        <v>1114</v>
      </c>
      <c r="E56" s="1232" t="s">
        <v>1194</v>
      </c>
      <c r="F56" s="1233"/>
      <c r="G56" s="1233"/>
      <c r="H56" s="1253"/>
      <c r="I56" s="1233"/>
      <c r="J56" s="42"/>
      <c r="K56" s="22"/>
      <c r="L56" s="20"/>
    </row>
    <row r="57" spans="3:12" ht="17.25" hidden="1" customHeight="1">
      <c r="C57" s="1250" t="s">
        <v>301</v>
      </c>
      <c r="D57" s="1232" t="s">
        <v>1114</v>
      </c>
      <c r="E57" s="1232" t="s">
        <v>1196</v>
      </c>
      <c r="F57" s="1233"/>
      <c r="G57" s="1233"/>
      <c r="H57" s="1253"/>
      <c r="I57" s="1233"/>
      <c r="J57" s="42"/>
      <c r="K57" s="22"/>
      <c r="L57" s="20"/>
    </row>
    <row r="58" spans="3:12" ht="16.8" hidden="1">
      <c r="C58" s="1250" t="s">
        <v>302</v>
      </c>
      <c r="D58" s="1232" t="s">
        <v>1199</v>
      </c>
      <c r="E58" s="1232" t="s">
        <v>1200</v>
      </c>
      <c r="F58" s="1233"/>
      <c r="G58" s="1238"/>
      <c r="H58" s="1254"/>
      <c r="I58" s="1233"/>
      <c r="J58" s="42"/>
      <c r="K58" s="22"/>
      <c r="L58" s="20"/>
    </row>
    <row r="59" spans="3:12" ht="16.8" hidden="1">
      <c r="C59" s="1250" t="s">
        <v>303</v>
      </c>
      <c r="D59" s="1251" t="s">
        <v>1199</v>
      </c>
      <c r="E59" s="1233" t="s">
        <v>1196</v>
      </c>
      <c r="F59" s="1233"/>
      <c r="G59" s="1233"/>
      <c r="H59" s="1253"/>
      <c r="I59" s="1233"/>
      <c r="J59" s="42"/>
      <c r="K59" s="20"/>
      <c r="L59" s="20"/>
    </row>
    <row r="60" spans="3:12" ht="16.8" hidden="1">
      <c r="C60" s="1250" t="s">
        <v>304</v>
      </c>
      <c r="D60" s="1251" t="s">
        <v>1204</v>
      </c>
      <c r="E60" s="1233" t="s">
        <v>1196</v>
      </c>
      <c r="F60" s="1233"/>
      <c r="G60" s="1233"/>
      <c r="H60" s="1253"/>
      <c r="I60" s="1233"/>
      <c r="J60" s="42"/>
      <c r="K60" s="20"/>
      <c r="L60" s="20"/>
    </row>
    <row r="61" spans="3:12" ht="16.8" hidden="1">
      <c r="C61" s="1250" t="s">
        <v>305</v>
      </c>
      <c r="D61" s="1251" t="s">
        <v>1207</v>
      </c>
      <c r="E61" s="1233" t="s">
        <v>1196</v>
      </c>
      <c r="F61" s="1233"/>
      <c r="G61" s="1233"/>
      <c r="H61" s="1253"/>
      <c r="I61" s="1233"/>
      <c r="J61" s="42"/>
      <c r="K61" s="20"/>
      <c r="L61" s="20"/>
    </row>
    <row r="62" spans="3:12" ht="17.399999999999999" hidden="1" thickBot="1">
      <c r="C62" s="1250"/>
      <c r="D62" s="1233"/>
      <c r="E62" s="1233"/>
      <c r="F62" s="1233"/>
      <c r="G62" s="1233"/>
      <c r="H62" s="1253"/>
      <c r="I62" s="1233"/>
      <c r="J62" s="42"/>
      <c r="K62" s="20"/>
      <c r="L62" s="20"/>
    </row>
    <row r="63" spans="3:12" ht="17.399999999999999" hidden="1" thickTop="1">
      <c r="C63" s="1255"/>
      <c r="D63" s="1256"/>
      <c r="E63" s="1256"/>
      <c r="F63" s="1256"/>
      <c r="G63" s="1257"/>
      <c r="H63" s="1257"/>
      <c r="I63" s="1257"/>
      <c r="J63" s="23"/>
      <c r="K63" s="20"/>
      <c r="L63" s="20"/>
    </row>
    <row r="64" spans="3:12" ht="17.399999999999999" hidden="1" thickBot="1">
      <c r="C64" s="1258" t="s">
        <v>1156</v>
      </c>
      <c r="D64" s="1221"/>
      <c r="E64" s="1221"/>
      <c r="F64" s="1221" t="s">
        <v>296</v>
      </c>
      <c r="G64" s="1221" t="s">
        <v>296</v>
      </c>
      <c r="H64" s="1221"/>
      <c r="I64" s="1221"/>
      <c r="J64" s="20"/>
      <c r="K64" s="20"/>
      <c r="L64" s="20"/>
    </row>
    <row r="65" spans="3:12" ht="18" thickTop="1" thickBot="1">
      <c r="C65" s="1282"/>
      <c r="D65" s="1860" t="s">
        <v>88</v>
      </c>
      <c r="E65" s="1861"/>
      <c r="F65" s="1862"/>
      <c r="G65" s="1863" t="s">
        <v>1234</v>
      </c>
      <c r="H65" s="1863"/>
      <c r="I65" s="1864"/>
      <c r="J65" s="605"/>
      <c r="K65" s="606"/>
      <c r="L65" s="20"/>
    </row>
    <row r="66" spans="3:12" ht="18" thickTop="1" thickBot="1">
      <c r="C66" s="1283"/>
      <c r="D66" s="1335"/>
      <c r="E66" s="1860" t="s">
        <v>1771</v>
      </c>
      <c r="F66" s="1862"/>
      <c r="G66" s="1278"/>
      <c r="H66" s="1865" t="s">
        <v>1759</v>
      </c>
      <c r="I66" s="1864"/>
      <c r="J66" s="605"/>
      <c r="K66" s="606"/>
    </row>
    <row r="67" spans="3:12" ht="54.6" thickTop="1" thickBot="1">
      <c r="C67" s="1726" t="s">
        <v>32</v>
      </c>
      <c r="D67" s="1727" t="s">
        <v>1760</v>
      </c>
      <c r="E67" s="1338" t="s">
        <v>1761</v>
      </c>
      <c r="F67" s="1338" t="s">
        <v>1235</v>
      </c>
      <c r="G67" s="1279" t="s">
        <v>1762</v>
      </c>
      <c r="H67" s="1259" t="s">
        <v>1761</v>
      </c>
      <c r="I67" s="1259" t="s">
        <v>1235</v>
      </c>
      <c r="J67" s="605"/>
      <c r="K67" s="606"/>
    </row>
    <row r="68" spans="3:12" ht="17.399999999999999" thickTop="1">
      <c r="C68" s="1284"/>
      <c r="D68" s="1336"/>
      <c r="E68" s="1287"/>
      <c r="F68" s="1287"/>
      <c r="G68" s="1331"/>
      <c r="H68" s="1260"/>
      <c r="I68" s="1260"/>
      <c r="J68" s="608"/>
      <c r="K68" s="606"/>
    </row>
    <row r="69" spans="3:12" ht="16.8" hidden="1">
      <c r="C69" s="1285">
        <v>2012</v>
      </c>
      <c r="D69" s="1287"/>
      <c r="E69" s="1287"/>
      <c r="F69" s="1287"/>
      <c r="G69" s="1280"/>
      <c r="H69" s="1261"/>
      <c r="I69" s="1261"/>
      <c r="J69" s="608"/>
      <c r="K69" s="606"/>
    </row>
    <row r="70" spans="3:12" ht="16.8" hidden="1">
      <c r="C70" s="1286" t="s">
        <v>335</v>
      </c>
      <c r="D70" s="1287" t="s">
        <v>1207</v>
      </c>
      <c r="E70" s="1288">
        <v>16.04</v>
      </c>
      <c r="F70" s="1288" t="s">
        <v>1236</v>
      </c>
      <c r="G70" s="1332" t="s">
        <v>73</v>
      </c>
      <c r="H70" s="1262">
        <v>18.170000000000002</v>
      </c>
      <c r="I70" s="1262" t="s">
        <v>1237</v>
      </c>
      <c r="J70" s="608"/>
      <c r="K70" s="606"/>
    </row>
    <row r="71" spans="3:12" ht="16.8" hidden="1">
      <c r="C71" s="1286" t="s">
        <v>336</v>
      </c>
      <c r="D71" s="1287" t="s">
        <v>1207</v>
      </c>
      <c r="E71" s="1288">
        <v>15</v>
      </c>
      <c r="F71" s="1288" t="s">
        <v>1238</v>
      </c>
      <c r="G71" s="1332" t="s">
        <v>1239</v>
      </c>
      <c r="H71" s="1262">
        <v>18.37</v>
      </c>
      <c r="I71" s="1262" t="s">
        <v>1240</v>
      </c>
      <c r="J71" s="608"/>
      <c r="K71" s="606"/>
    </row>
    <row r="72" spans="3:12" ht="16.8" hidden="1">
      <c r="C72" s="1286" t="s">
        <v>337</v>
      </c>
      <c r="D72" s="1287" t="s">
        <v>1241</v>
      </c>
      <c r="E72" s="1288">
        <v>14.98</v>
      </c>
      <c r="F72" s="1288" t="s">
        <v>1242</v>
      </c>
      <c r="G72" s="1332" t="s">
        <v>785</v>
      </c>
      <c r="H72" s="1262">
        <v>15.78</v>
      </c>
      <c r="I72" s="1262" t="s">
        <v>1243</v>
      </c>
      <c r="J72" s="608"/>
      <c r="K72" s="606"/>
    </row>
    <row r="73" spans="3:12" ht="16.8" hidden="1">
      <c r="C73" s="1286" t="s">
        <v>338</v>
      </c>
      <c r="D73" s="1287" t="s">
        <v>1244</v>
      </c>
      <c r="E73" s="1339">
        <v>13.81</v>
      </c>
      <c r="F73" s="1339" t="s">
        <v>1245</v>
      </c>
      <c r="G73" s="1333" t="s">
        <v>785</v>
      </c>
      <c r="H73" s="1263">
        <v>17.86</v>
      </c>
      <c r="I73" s="1262" t="s">
        <v>1246</v>
      </c>
      <c r="J73" s="608"/>
      <c r="K73" s="606"/>
    </row>
    <row r="74" spans="3:12" ht="16.8" hidden="1">
      <c r="C74" s="1286" t="s">
        <v>339</v>
      </c>
      <c r="D74" s="1287" t="s">
        <v>1244</v>
      </c>
      <c r="E74" s="1339">
        <v>14.32</v>
      </c>
      <c r="F74" s="1339" t="s">
        <v>1247</v>
      </c>
      <c r="G74" s="1333" t="s">
        <v>785</v>
      </c>
      <c r="H74" s="1263">
        <v>17.920000000000002</v>
      </c>
      <c r="I74" s="1262" t="s">
        <v>1248</v>
      </c>
      <c r="J74" s="608"/>
      <c r="K74" s="606"/>
    </row>
    <row r="75" spans="3:12" ht="16.8" hidden="1">
      <c r="C75" s="1286" t="s">
        <v>340</v>
      </c>
      <c r="D75" s="1287" t="s">
        <v>1244</v>
      </c>
      <c r="E75" s="1339">
        <v>15.65</v>
      </c>
      <c r="F75" s="1339" t="s">
        <v>1249</v>
      </c>
      <c r="G75" s="1333" t="s">
        <v>785</v>
      </c>
      <c r="H75" s="1263">
        <v>17.940000000000001</v>
      </c>
      <c r="I75" s="1262" t="s">
        <v>1250</v>
      </c>
      <c r="J75" s="608"/>
      <c r="K75" s="606"/>
    </row>
    <row r="76" spans="3:12" ht="16.8" hidden="1">
      <c r="C76" s="1286" t="s">
        <v>341</v>
      </c>
      <c r="D76" s="1287" t="s">
        <v>1244</v>
      </c>
      <c r="E76" s="1339" t="s">
        <v>1251</v>
      </c>
      <c r="F76" s="1339" t="s">
        <v>1252</v>
      </c>
      <c r="G76" s="1333" t="s">
        <v>785</v>
      </c>
      <c r="H76" s="1263" t="s">
        <v>1253</v>
      </c>
      <c r="I76" s="1262" t="s">
        <v>1254</v>
      </c>
      <c r="J76" s="608"/>
      <c r="K76" s="606"/>
    </row>
    <row r="77" spans="3:12" ht="16.8" hidden="1">
      <c r="C77" s="1286" t="s">
        <v>342</v>
      </c>
      <c r="D77" s="1287" t="s">
        <v>1244</v>
      </c>
      <c r="E77" s="1339">
        <v>13.35</v>
      </c>
      <c r="F77" s="1339">
        <v>11.03</v>
      </c>
      <c r="G77" s="1333" t="s">
        <v>865</v>
      </c>
      <c r="H77" s="1263">
        <v>17.98</v>
      </c>
      <c r="I77" s="1262">
        <v>13.95</v>
      </c>
      <c r="J77" s="608"/>
      <c r="K77" s="606"/>
    </row>
    <row r="78" spans="3:12" ht="15" hidden="1" customHeight="1">
      <c r="C78" s="1286" t="s">
        <v>343</v>
      </c>
      <c r="D78" s="1287" t="s">
        <v>1244</v>
      </c>
      <c r="E78" s="1339">
        <v>15.25</v>
      </c>
      <c r="F78" s="1339">
        <v>10.88</v>
      </c>
      <c r="G78" s="1333" t="s">
        <v>1239</v>
      </c>
      <c r="H78" s="1263">
        <v>17.91</v>
      </c>
      <c r="I78" s="1262">
        <v>14.42</v>
      </c>
      <c r="J78" s="608"/>
      <c r="K78" s="606"/>
    </row>
    <row r="79" spans="3:12" ht="16.8" hidden="1">
      <c r="C79" s="1286" t="s">
        <v>344</v>
      </c>
      <c r="D79" s="1287" t="s">
        <v>227</v>
      </c>
      <c r="E79" s="1339">
        <v>15.08</v>
      </c>
      <c r="F79" s="1339">
        <v>10.4</v>
      </c>
      <c r="G79" s="1333" t="s">
        <v>1270</v>
      </c>
      <c r="H79" s="1263">
        <v>17.93</v>
      </c>
      <c r="I79" s="1262">
        <v>14.43</v>
      </c>
      <c r="J79" s="608"/>
      <c r="K79" s="606"/>
    </row>
    <row r="80" spans="3:12" ht="16.8" hidden="1">
      <c r="C80" s="1286"/>
      <c r="D80" s="1287"/>
      <c r="E80" s="1339"/>
      <c r="F80" s="1339"/>
      <c r="G80" s="1333"/>
      <c r="H80" s="1263"/>
      <c r="I80" s="1262"/>
      <c r="J80" s="608"/>
      <c r="K80" s="606"/>
    </row>
    <row r="81" spans="3:11" ht="16.8" hidden="1">
      <c r="C81" s="1285">
        <v>2013</v>
      </c>
      <c r="D81" s="1287"/>
      <c r="E81" s="1288"/>
      <c r="F81" s="1288"/>
      <c r="G81" s="1332"/>
      <c r="H81" s="1262"/>
      <c r="I81" s="1262"/>
      <c r="J81" s="608"/>
      <c r="K81" s="606"/>
    </row>
    <row r="82" spans="3:11" ht="16.8" hidden="1">
      <c r="C82" s="1287" t="s">
        <v>345</v>
      </c>
      <c r="D82" s="1287" t="s">
        <v>227</v>
      </c>
      <c r="E82" s="1288">
        <v>15.58</v>
      </c>
      <c r="F82" s="1288">
        <v>10.81</v>
      </c>
      <c r="G82" s="1332" t="s">
        <v>1239</v>
      </c>
      <c r="H82" s="1262">
        <v>17.96</v>
      </c>
      <c r="I82" s="1264">
        <v>14.42</v>
      </c>
      <c r="J82" s="608"/>
      <c r="K82" s="606"/>
    </row>
    <row r="83" spans="3:11" ht="16.8" hidden="1">
      <c r="C83" s="1287" t="s">
        <v>1278</v>
      </c>
      <c r="D83" s="1287" t="s">
        <v>227</v>
      </c>
      <c r="E83" s="1288">
        <v>14.83</v>
      </c>
      <c r="F83" s="1288" t="s">
        <v>1279</v>
      </c>
      <c r="G83" s="1332" t="s">
        <v>1280</v>
      </c>
      <c r="H83" s="1262" t="s">
        <v>1281</v>
      </c>
      <c r="I83" s="1264" t="s">
        <v>1282</v>
      </c>
      <c r="J83" s="608"/>
      <c r="K83" s="606"/>
    </row>
    <row r="84" spans="3:11" ht="16.8" hidden="1">
      <c r="C84" s="1287" t="s">
        <v>335</v>
      </c>
      <c r="D84" s="1287" t="s">
        <v>1244</v>
      </c>
      <c r="E84" s="1288">
        <v>14.32</v>
      </c>
      <c r="F84" s="1288">
        <v>10.19</v>
      </c>
      <c r="G84" s="1332" t="s">
        <v>1283</v>
      </c>
      <c r="H84" s="1262">
        <v>17.8</v>
      </c>
      <c r="I84" s="1264">
        <v>14.35</v>
      </c>
      <c r="J84" s="608"/>
      <c r="K84" s="606"/>
    </row>
    <row r="85" spans="3:11" ht="16.8" hidden="1">
      <c r="C85" s="1287" t="s">
        <v>336</v>
      </c>
      <c r="D85" s="1287" t="s">
        <v>240</v>
      </c>
      <c r="E85" s="1288">
        <v>14.58</v>
      </c>
      <c r="F85" s="1288">
        <v>9.66</v>
      </c>
      <c r="G85" s="1332" t="s">
        <v>1283</v>
      </c>
      <c r="H85" s="1262">
        <v>17.77</v>
      </c>
      <c r="I85" s="1264">
        <v>14.35</v>
      </c>
      <c r="J85" s="608"/>
      <c r="K85" s="606"/>
    </row>
    <row r="86" spans="3:11" ht="16.8" hidden="1">
      <c r="C86" s="1287" t="s">
        <v>337</v>
      </c>
      <c r="D86" s="1287" t="s">
        <v>1295</v>
      </c>
      <c r="E86" s="1288">
        <v>14.25</v>
      </c>
      <c r="F86" s="1288">
        <v>9.89</v>
      </c>
      <c r="G86" s="1332" t="s">
        <v>1296</v>
      </c>
      <c r="H86" s="1262">
        <v>17.66</v>
      </c>
      <c r="I86" s="1264">
        <v>17.02</v>
      </c>
      <c r="J86" s="608"/>
      <c r="K86" s="606"/>
    </row>
    <row r="87" spans="3:11" ht="16.8" hidden="1">
      <c r="C87" s="1287" t="s">
        <v>338</v>
      </c>
      <c r="D87" s="1337" t="s">
        <v>1295</v>
      </c>
      <c r="E87" s="1288">
        <v>14.29</v>
      </c>
      <c r="F87" s="1288" t="s">
        <v>1298</v>
      </c>
      <c r="G87" s="1281" t="s">
        <v>1299</v>
      </c>
      <c r="H87" s="1262">
        <v>17.78</v>
      </c>
      <c r="I87" s="1262" t="s">
        <v>1300</v>
      </c>
      <c r="J87" s="608"/>
      <c r="K87" s="606"/>
    </row>
    <row r="88" spans="3:11" ht="16.8" hidden="1">
      <c r="C88" s="1287" t="s">
        <v>339</v>
      </c>
      <c r="D88" s="1337" t="s">
        <v>1244</v>
      </c>
      <c r="E88" s="1288">
        <v>14.39</v>
      </c>
      <c r="F88" s="1288">
        <v>9.65</v>
      </c>
      <c r="G88" s="1281" t="s">
        <v>1204</v>
      </c>
      <c r="H88" s="1262">
        <v>17.7</v>
      </c>
      <c r="I88" s="1262">
        <v>16.97</v>
      </c>
      <c r="J88" s="608"/>
      <c r="K88" s="606"/>
    </row>
    <row r="89" spans="3:11" ht="16.8" hidden="1">
      <c r="C89" s="1287" t="s">
        <v>340</v>
      </c>
      <c r="D89" s="1337" t="s">
        <v>1244</v>
      </c>
      <c r="E89" s="1288">
        <v>13.82</v>
      </c>
      <c r="F89" s="1288">
        <v>9.32</v>
      </c>
      <c r="G89" s="1281" t="s">
        <v>1301</v>
      </c>
      <c r="H89" s="1262">
        <v>18.32</v>
      </c>
      <c r="I89" s="1262">
        <v>16.920000000000002</v>
      </c>
      <c r="J89" s="608"/>
      <c r="K89" s="606"/>
    </row>
    <row r="90" spans="3:11" ht="16.8" hidden="1">
      <c r="C90" s="1287" t="s">
        <v>341</v>
      </c>
      <c r="D90" s="1337" t="s">
        <v>1244</v>
      </c>
      <c r="E90" s="1288">
        <v>14.03</v>
      </c>
      <c r="F90" s="1288">
        <v>9.3699999999999992</v>
      </c>
      <c r="G90" s="1281" t="s">
        <v>1299</v>
      </c>
      <c r="H90" s="1262">
        <v>18.309999999999999</v>
      </c>
      <c r="I90" s="1262">
        <v>16.940000000000001</v>
      </c>
      <c r="J90" s="608"/>
      <c r="K90" s="606"/>
    </row>
    <row r="91" spans="3:11" ht="16.8" hidden="1">
      <c r="C91" s="1287" t="s">
        <v>342</v>
      </c>
      <c r="D91" s="1337" t="s">
        <v>1244</v>
      </c>
      <c r="E91" s="1288">
        <v>13.95</v>
      </c>
      <c r="F91" s="1288">
        <v>9.25</v>
      </c>
      <c r="G91" s="1281" t="s">
        <v>1301</v>
      </c>
      <c r="H91" s="1262">
        <v>18.670000000000002</v>
      </c>
      <c r="I91" s="1262">
        <v>17.66</v>
      </c>
      <c r="J91" s="610"/>
      <c r="K91" s="606"/>
    </row>
    <row r="92" spans="3:11" ht="16.8" hidden="1">
      <c r="C92" s="1287" t="s">
        <v>343</v>
      </c>
      <c r="D92" s="1337" t="s">
        <v>1244</v>
      </c>
      <c r="E92" s="1288">
        <v>14.18</v>
      </c>
      <c r="F92" s="1288">
        <v>9.4</v>
      </c>
      <c r="G92" s="1281" t="s">
        <v>1301</v>
      </c>
      <c r="H92" s="1262">
        <v>18.84</v>
      </c>
      <c r="I92" s="1262">
        <v>17.72</v>
      </c>
      <c r="J92" s="611"/>
      <c r="K92" s="611"/>
    </row>
    <row r="93" spans="3:11" ht="16.8" hidden="1">
      <c r="C93" s="1287" t="s">
        <v>344</v>
      </c>
      <c r="D93" s="1337" t="s">
        <v>1244</v>
      </c>
      <c r="E93" s="1288">
        <v>14.13</v>
      </c>
      <c r="F93" s="1288">
        <v>9.35</v>
      </c>
      <c r="G93" s="1281" t="s">
        <v>1301</v>
      </c>
      <c r="H93" s="1262">
        <v>18.84</v>
      </c>
      <c r="I93" s="1262">
        <v>17.760000000000002</v>
      </c>
      <c r="J93" s="611"/>
      <c r="K93" s="611"/>
    </row>
    <row r="94" spans="3:11" ht="16.8" hidden="1">
      <c r="C94" s="1287"/>
      <c r="D94" s="1337"/>
      <c r="E94" s="1337"/>
      <c r="F94" s="1337"/>
      <c r="G94" s="1281"/>
      <c r="H94" s="1265"/>
      <c r="I94" s="1265"/>
      <c r="J94" s="611"/>
      <c r="K94" s="611"/>
    </row>
    <row r="95" spans="3:11" ht="16.8" hidden="1">
      <c r="C95" s="1285">
        <v>2014</v>
      </c>
      <c r="D95" s="1337"/>
      <c r="E95" s="1337"/>
      <c r="F95" s="1337"/>
      <c r="G95" s="1281"/>
      <c r="H95" s="1265"/>
      <c r="I95" s="1265"/>
      <c r="J95" s="611"/>
      <c r="K95" s="611"/>
    </row>
    <row r="96" spans="3:11" ht="16.8" hidden="1">
      <c r="C96" s="1287" t="s">
        <v>345</v>
      </c>
      <c r="D96" s="1337" t="s">
        <v>1244</v>
      </c>
      <c r="E96" s="1288">
        <v>14.09</v>
      </c>
      <c r="F96" s="1288">
        <v>9.3000000000000007</v>
      </c>
      <c r="G96" s="1281" t="s">
        <v>1301</v>
      </c>
      <c r="H96" s="1262">
        <v>18.88</v>
      </c>
      <c r="I96" s="1262">
        <v>17.739999999999998</v>
      </c>
      <c r="J96" s="611"/>
      <c r="K96" s="611"/>
    </row>
    <row r="97" spans="2:11" ht="16.8" hidden="1">
      <c r="C97" s="1287" t="s">
        <v>1278</v>
      </c>
      <c r="D97" s="1337" t="s">
        <v>1244</v>
      </c>
      <c r="E97" s="1288">
        <v>14.08</v>
      </c>
      <c r="F97" s="1288">
        <v>9.32</v>
      </c>
      <c r="G97" s="1281" t="s">
        <v>1301</v>
      </c>
      <c r="H97" s="1262">
        <v>18.88</v>
      </c>
      <c r="I97" s="1262">
        <v>17.73</v>
      </c>
      <c r="J97" s="611"/>
      <c r="K97" s="611"/>
    </row>
    <row r="98" spans="2:11" ht="16.8" hidden="1">
      <c r="C98" s="1287" t="s">
        <v>335</v>
      </c>
      <c r="D98" s="1337" t="s">
        <v>1244</v>
      </c>
      <c r="E98" s="1288">
        <v>14.24</v>
      </c>
      <c r="F98" s="1288">
        <v>9.27</v>
      </c>
      <c r="G98" s="1281" t="s">
        <v>1301</v>
      </c>
      <c r="H98" s="1262">
        <v>18.88</v>
      </c>
      <c r="I98" s="1262">
        <v>17.73</v>
      </c>
      <c r="J98" s="611"/>
      <c r="K98" s="611"/>
    </row>
    <row r="99" spans="2:11" ht="16.8" hidden="1">
      <c r="C99" s="1287" t="s">
        <v>336</v>
      </c>
      <c r="D99" s="1337" t="s">
        <v>1244</v>
      </c>
      <c r="E99" s="1288">
        <v>14.22</v>
      </c>
      <c r="F99" s="1288">
        <v>9.1199999999999992</v>
      </c>
      <c r="G99" s="1281" t="s">
        <v>1301</v>
      </c>
      <c r="H99" s="1262">
        <v>18.88</v>
      </c>
      <c r="I99" s="1262">
        <v>17.73</v>
      </c>
      <c r="J99" s="611"/>
      <c r="K99" s="611"/>
    </row>
    <row r="100" spans="2:11" ht="16.8" hidden="1">
      <c r="C100" s="1287" t="s">
        <v>337</v>
      </c>
      <c r="D100" s="1337" t="s">
        <v>1244</v>
      </c>
      <c r="E100" s="1288">
        <v>14.39</v>
      </c>
      <c r="F100" s="1288">
        <v>9.25</v>
      </c>
      <c r="G100" s="1281" t="s">
        <v>1301</v>
      </c>
      <c r="H100" s="1262">
        <v>18.87</v>
      </c>
      <c r="I100" s="1262">
        <v>17.739999999999998</v>
      </c>
      <c r="J100" s="611"/>
      <c r="K100" s="611"/>
    </row>
    <row r="101" spans="2:11" ht="16.8" hidden="1">
      <c r="C101" s="1287" t="s">
        <v>338</v>
      </c>
      <c r="D101" s="1337" t="s">
        <v>1244</v>
      </c>
      <c r="E101" s="1288">
        <v>14.44</v>
      </c>
      <c r="F101" s="1288">
        <v>9.33</v>
      </c>
      <c r="G101" s="1281" t="s">
        <v>1301</v>
      </c>
      <c r="H101" s="1262">
        <v>19</v>
      </c>
      <c r="I101" s="1262">
        <v>18</v>
      </c>
      <c r="J101" s="611"/>
      <c r="K101" s="611"/>
    </row>
    <row r="102" spans="2:11" ht="16.8" hidden="1">
      <c r="C102" s="1287" t="s">
        <v>339</v>
      </c>
      <c r="D102" s="1337" t="s">
        <v>1244</v>
      </c>
      <c r="E102" s="1288">
        <v>14.33</v>
      </c>
      <c r="F102" s="1288">
        <v>9.4499999999999993</v>
      </c>
      <c r="G102" s="1266" t="s">
        <v>1301</v>
      </c>
      <c r="H102" s="1262">
        <v>19</v>
      </c>
      <c r="I102" s="1262">
        <v>18</v>
      </c>
      <c r="J102" s="611"/>
      <c r="K102" s="611"/>
    </row>
    <row r="103" spans="2:11" ht="16.8" hidden="1">
      <c r="C103" s="1287" t="s">
        <v>340</v>
      </c>
      <c r="D103" s="1337" t="s">
        <v>1244</v>
      </c>
      <c r="E103" s="1288">
        <v>14.28</v>
      </c>
      <c r="F103" s="1288">
        <v>9.4499999999999993</v>
      </c>
      <c r="G103" s="1266" t="s">
        <v>1301</v>
      </c>
      <c r="H103" s="1262">
        <v>19</v>
      </c>
      <c r="I103" s="1262">
        <v>18</v>
      </c>
      <c r="J103" s="611"/>
      <c r="K103" s="611"/>
    </row>
    <row r="104" spans="2:11" ht="16.8" hidden="1">
      <c r="C104" s="1287" t="s">
        <v>341</v>
      </c>
      <c r="D104" s="1337" t="s">
        <v>1244</v>
      </c>
      <c r="E104" s="1288">
        <v>14.45</v>
      </c>
      <c r="F104" s="1288">
        <v>9.57</v>
      </c>
      <c r="G104" s="1266" t="s">
        <v>1301</v>
      </c>
      <c r="H104" s="1262">
        <v>19</v>
      </c>
      <c r="I104" s="1262">
        <v>18</v>
      </c>
      <c r="J104" s="611"/>
      <c r="K104" s="611"/>
    </row>
    <row r="105" spans="2:11" ht="16.8" hidden="1">
      <c r="C105" s="1287" t="s">
        <v>342</v>
      </c>
      <c r="D105" s="1337" t="s">
        <v>1244</v>
      </c>
      <c r="E105" s="1288">
        <v>14.36</v>
      </c>
      <c r="F105" s="1288">
        <v>9.9</v>
      </c>
      <c r="G105" s="1266" t="s">
        <v>1301</v>
      </c>
      <c r="H105" s="1262">
        <v>19</v>
      </c>
      <c r="I105" s="1262">
        <v>18</v>
      </c>
      <c r="J105" s="611"/>
      <c r="K105" s="611"/>
    </row>
    <row r="106" spans="2:11" ht="16.8" hidden="1">
      <c r="C106" s="1287" t="s">
        <v>343</v>
      </c>
      <c r="D106" s="1337" t="s">
        <v>1244</v>
      </c>
      <c r="E106" s="1288">
        <v>14.26</v>
      </c>
      <c r="F106" s="1288">
        <v>9.9700000000000006</v>
      </c>
      <c r="G106" s="1266" t="s">
        <v>1301</v>
      </c>
      <c r="H106" s="1267">
        <v>19</v>
      </c>
      <c r="I106" s="1262">
        <v>18</v>
      </c>
      <c r="J106" s="611"/>
      <c r="K106" s="611"/>
    </row>
    <row r="107" spans="2:11" ht="16.8" hidden="1">
      <c r="C107" s="1287" t="s">
        <v>344</v>
      </c>
      <c r="D107" s="1337" t="s">
        <v>1244</v>
      </c>
      <c r="E107" s="1288">
        <v>14.19</v>
      </c>
      <c r="F107" s="1288">
        <v>9.68</v>
      </c>
      <c r="G107" s="1266" t="s">
        <v>1301</v>
      </c>
      <c r="H107" s="1267">
        <v>19</v>
      </c>
      <c r="I107" s="1262">
        <v>18</v>
      </c>
      <c r="J107" s="611"/>
      <c r="K107" s="611"/>
    </row>
    <row r="108" spans="2:11" ht="16.8" hidden="1">
      <c r="C108" s="1287"/>
      <c r="D108" s="1337"/>
      <c r="E108" s="1288"/>
      <c r="F108" s="1288"/>
      <c r="G108" s="1266"/>
      <c r="H108" s="1262"/>
      <c r="I108" s="1262"/>
      <c r="J108" s="611"/>
      <c r="K108" s="611"/>
    </row>
    <row r="109" spans="2:11" ht="17.399999999999999" hidden="1" thickTop="1">
      <c r="B109" s="909"/>
      <c r="C109" s="1285">
        <v>2015</v>
      </c>
      <c r="D109" s="1337"/>
      <c r="E109" s="1288"/>
      <c r="F109" s="1288"/>
      <c r="G109" s="1266"/>
      <c r="H109" s="1262"/>
      <c r="I109" s="1262"/>
      <c r="J109" s="611"/>
      <c r="K109" s="611"/>
    </row>
    <row r="110" spans="2:11" ht="16.8" hidden="1">
      <c r="B110" s="910"/>
      <c r="C110" s="1287" t="s">
        <v>345</v>
      </c>
      <c r="D110" s="1337" t="s">
        <v>1244</v>
      </c>
      <c r="E110" s="1288">
        <v>14.16</v>
      </c>
      <c r="F110" s="1288">
        <v>9.66</v>
      </c>
      <c r="G110" s="1266" t="s">
        <v>1301</v>
      </c>
      <c r="H110" s="1262">
        <v>19</v>
      </c>
      <c r="I110" s="1262">
        <v>18</v>
      </c>
      <c r="J110" s="611"/>
      <c r="K110" s="611"/>
    </row>
    <row r="111" spans="2:11" ht="16.8" hidden="1">
      <c r="B111" s="910"/>
      <c r="C111" s="1287" t="s">
        <v>334</v>
      </c>
      <c r="D111" s="1337" t="s">
        <v>1320</v>
      </c>
      <c r="E111" s="1288">
        <v>14</v>
      </c>
      <c r="F111" s="1288">
        <v>9.73</v>
      </c>
      <c r="G111" s="1266"/>
      <c r="H111" s="1262"/>
      <c r="I111" s="1262"/>
      <c r="J111" s="611"/>
      <c r="K111" s="611"/>
    </row>
    <row r="112" spans="2:11" ht="16.8" hidden="1">
      <c r="B112" s="910"/>
      <c r="C112" s="1287" t="s">
        <v>335</v>
      </c>
      <c r="D112" s="1337" t="s">
        <v>1320</v>
      </c>
      <c r="E112" s="1288">
        <v>13.24</v>
      </c>
      <c r="F112" s="1288">
        <v>8.75</v>
      </c>
      <c r="G112" s="1266"/>
      <c r="H112" s="1262"/>
      <c r="I112" s="1262"/>
      <c r="J112" s="611"/>
      <c r="K112" s="611"/>
    </row>
    <row r="113" spans="2:11" ht="17.399999999999999" hidden="1" thickBot="1">
      <c r="B113" s="911"/>
      <c r="C113" s="1287" t="s">
        <v>336</v>
      </c>
      <c r="D113" s="1337" t="s">
        <v>1323</v>
      </c>
      <c r="E113" s="1288">
        <v>12.71</v>
      </c>
      <c r="F113" s="1288">
        <v>8.84</v>
      </c>
      <c r="G113" s="1266"/>
      <c r="H113" s="1262"/>
      <c r="I113" s="1262"/>
      <c r="J113" s="611"/>
      <c r="K113" s="611"/>
    </row>
    <row r="114" spans="2:11" ht="16.8" hidden="1">
      <c r="C114" s="1287" t="s">
        <v>337</v>
      </c>
      <c r="D114" s="1337" t="s">
        <v>1325</v>
      </c>
      <c r="E114" s="1288">
        <v>12.74</v>
      </c>
      <c r="F114" s="1288">
        <v>8.7899999999999991</v>
      </c>
      <c r="G114" s="1266"/>
      <c r="H114" s="1262"/>
      <c r="I114" s="1262"/>
      <c r="J114" s="611"/>
      <c r="K114" s="611"/>
    </row>
    <row r="115" spans="2:11" ht="16.8" hidden="1">
      <c r="C115" s="1287" t="s">
        <v>338</v>
      </c>
      <c r="D115" s="1337" t="s">
        <v>1325</v>
      </c>
      <c r="E115" s="1288">
        <v>11.94</v>
      </c>
      <c r="F115" s="1288">
        <v>8.42</v>
      </c>
      <c r="G115" s="1266"/>
      <c r="H115" s="1262"/>
      <c r="I115" s="1262"/>
      <c r="J115" s="611"/>
      <c r="K115" s="611"/>
    </row>
    <row r="116" spans="2:11" ht="16.8" hidden="1">
      <c r="C116" s="1287" t="s">
        <v>339</v>
      </c>
      <c r="D116" s="1337" t="s">
        <v>1325</v>
      </c>
      <c r="E116" s="1288">
        <v>11.86</v>
      </c>
      <c r="F116" s="1288">
        <v>8.56</v>
      </c>
      <c r="G116" s="1266"/>
      <c r="H116" s="1262"/>
      <c r="I116" s="1262"/>
      <c r="J116" s="611"/>
      <c r="K116" s="611"/>
    </row>
    <row r="117" spans="2:11" ht="16.8" hidden="1">
      <c r="C117" s="1287" t="s">
        <v>340</v>
      </c>
      <c r="D117" s="1337" t="s">
        <v>1327</v>
      </c>
      <c r="E117" s="1288">
        <v>11.96</v>
      </c>
      <c r="F117" s="1288">
        <v>8.51</v>
      </c>
      <c r="G117" s="1266"/>
      <c r="H117" s="1262"/>
      <c r="I117" s="1262"/>
      <c r="J117" s="611"/>
      <c r="K117" s="611"/>
    </row>
    <row r="118" spans="2:11" ht="16.8" hidden="1">
      <c r="C118" s="1287" t="s">
        <v>341</v>
      </c>
      <c r="D118" s="1337" t="s">
        <v>1329</v>
      </c>
      <c r="E118" s="1288">
        <v>11.81</v>
      </c>
      <c r="F118" s="1288">
        <v>8.4700000000000006</v>
      </c>
      <c r="G118" s="1266"/>
      <c r="H118" s="1262"/>
      <c r="I118" s="1262"/>
      <c r="J118" s="611"/>
      <c r="K118" s="611"/>
    </row>
    <row r="119" spans="2:11" ht="16.8" hidden="1">
      <c r="C119" s="1287" t="s">
        <v>342</v>
      </c>
      <c r="D119" s="1337" t="s">
        <v>867</v>
      </c>
      <c r="E119" s="1288">
        <v>10.98</v>
      </c>
      <c r="F119" s="1288">
        <v>7.28</v>
      </c>
      <c r="G119" s="1266"/>
      <c r="H119" s="1262"/>
      <c r="I119" s="1262"/>
      <c r="J119" s="611"/>
      <c r="K119" s="611"/>
    </row>
    <row r="120" spans="2:11" ht="17.399999999999999" hidden="1" thickBot="1">
      <c r="C120" s="1288" t="s">
        <v>343</v>
      </c>
      <c r="D120" s="1337" t="s">
        <v>1332</v>
      </c>
      <c r="E120" s="1288">
        <v>12.2</v>
      </c>
      <c r="F120" s="1288">
        <v>7.67</v>
      </c>
      <c r="G120" s="1334"/>
      <c r="H120" s="1268"/>
      <c r="I120" s="1268"/>
      <c r="J120" s="611"/>
      <c r="K120" s="611"/>
    </row>
    <row r="121" spans="2:11" ht="16.8" hidden="1">
      <c r="C121" s="1287" t="s">
        <v>344</v>
      </c>
      <c r="D121" s="1337" t="s">
        <v>1334</v>
      </c>
      <c r="E121" s="1288">
        <v>11.99</v>
      </c>
      <c r="F121" s="1288">
        <v>7.57</v>
      </c>
      <c r="G121" s="1266"/>
      <c r="H121" s="1267"/>
      <c r="I121" s="1262"/>
      <c r="J121" s="611"/>
      <c r="K121" s="611"/>
    </row>
    <row r="122" spans="2:11" ht="16.8" hidden="1">
      <c r="C122" s="1287"/>
      <c r="D122" s="1337"/>
      <c r="E122" s="1288"/>
      <c r="F122" s="1288"/>
      <c r="G122" s="1269"/>
      <c r="H122" s="1267"/>
      <c r="I122" s="1267"/>
      <c r="J122" s="611"/>
      <c r="K122" s="611"/>
    </row>
    <row r="123" spans="2:11" ht="16.8" hidden="1">
      <c r="C123" s="1285">
        <v>2016</v>
      </c>
      <c r="D123" s="1337"/>
      <c r="E123" s="1288"/>
      <c r="F123" s="1288"/>
      <c r="G123" s="1269"/>
      <c r="H123" s="1267"/>
      <c r="I123" s="1267"/>
      <c r="J123" s="611"/>
      <c r="K123" s="611"/>
    </row>
    <row r="124" spans="2:11" ht="16.8" hidden="1">
      <c r="C124" s="1287" t="s">
        <v>345</v>
      </c>
      <c r="D124" s="1337" t="s">
        <v>1335</v>
      </c>
      <c r="E124" s="1288">
        <v>12.08</v>
      </c>
      <c r="F124" s="1288">
        <v>7.38</v>
      </c>
      <c r="G124" s="1269"/>
      <c r="H124" s="1267"/>
      <c r="I124" s="1267"/>
      <c r="J124" s="611"/>
      <c r="K124" s="611"/>
    </row>
    <row r="125" spans="2:11" ht="16.8" hidden="1">
      <c r="C125" s="1287" t="s">
        <v>334</v>
      </c>
      <c r="D125" s="1337" t="s">
        <v>1336</v>
      </c>
      <c r="E125" s="1288">
        <v>11.48</v>
      </c>
      <c r="F125" s="1288">
        <v>7.29</v>
      </c>
      <c r="G125" s="1269"/>
      <c r="H125" s="1267"/>
      <c r="I125" s="1267"/>
      <c r="J125" s="611"/>
      <c r="K125" s="611"/>
    </row>
    <row r="126" spans="2:11" ht="16.8" hidden="1">
      <c r="C126" s="1287" t="s">
        <v>335</v>
      </c>
      <c r="D126" s="1337" t="s">
        <v>1336</v>
      </c>
      <c r="E126" s="1288">
        <v>11.44</v>
      </c>
      <c r="F126" s="1288">
        <v>7.16</v>
      </c>
      <c r="G126" s="1269"/>
      <c r="H126" s="1267"/>
      <c r="I126" s="1267"/>
      <c r="J126" s="611"/>
      <c r="K126" s="611"/>
    </row>
    <row r="127" spans="2:11" ht="16.8" hidden="1">
      <c r="C127" s="1287" t="s">
        <v>336</v>
      </c>
      <c r="D127" s="1337" t="s">
        <v>1336</v>
      </c>
      <c r="E127" s="1288">
        <v>11.5</v>
      </c>
      <c r="F127" s="1288">
        <v>7.2</v>
      </c>
      <c r="G127" s="1269"/>
      <c r="H127" s="1267"/>
      <c r="I127" s="1267"/>
      <c r="J127" s="611"/>
      <c r="K127" s="611"/>
    </row>
    <row r="128" spans="2:11" ht="16.8" hidden="1">
      <c r="C128" s="1287" t="s">
        <v>337</v>
      </c>
      <c r="D128" s="1337" t="s">
        <v>867</v>
      </c>
      <c r="E128" s="1288">
        <v>11.43</v>
      </c>
      <c r="F128" s="1288">
        <v>7.35</v>
      </c>
      <c r="G128" s="1269"/>
      <c r="H128" s="1267"/>
      <c r="I128" s="1267"/>
      <c r="J128" s="611"/>
      <c r="K128" s="611"/>
    </row>
    <row r="129" spans="3:11" ht="16.8" hidden="1">
      <c r="C129" s="1287" t="s">
        <v>338</v>
      </c>
      <c r="D129" s="1337" t="s">
        <v>867</v>
      </c>
      <c r="E129" s="1288">
        <v>11.4</v>
      </c>
      <c r="F129" s="1288">
        <v>7.48</v>
      </c>
      <c r="G129" s="1269"/>
      <c r="H129" s="1267"/>
      <c r="I129" s="1267"/>
      <c r="J129" s="611"/>
      <c r="K129" s="611"/>
    </row>
    <row r="130" spans="3:11" ht="16.8" hidden="1">
      <c r="C130" s="1287" t="s">
        <v>339</v>
      </c>
      <c r="D130" s="1337" t="s">
        <v>867</v>
      </c>
      <c r="E130" s="1288">
        <v>10.69</v>
      </c>
      <c r="F130" s="1288">
        <v>6.79</v>
      </c>
      <c r="G130" s="1269"/>
      <c r="H130" s="1267"/>
      <c r="I130" s="1267"/>
      <c r="J130" s="611"/>
      <c r="K130" s="611"/>
    </row>
    <row r="131" spans="3:11" ht="16.8" hidden="1">
      <c r="C131" s="1287" t="s">
        <v>340</v>
      </c>
      <c r="D131" s="1337" t="s">
        <v>867</v>
      </c>
      <c r="E131" s="1288">
        <v>10.67</v>
      </c>
      <c r="F131" s="1288">
        <v>6.84</v>
      </c>
      <c r="G131" s="1269"/>
      <c r="H131" s="1267"/>
      <c r="I131" s="1267"/>
      <c r="J131" s="611"/>
      <c r="K131" s="611"/>
    </row>
    <row r="132" spans="3:11" ht="16.8" hidden="1">
      <c r="C132" s="1287" t="s">
        <v>341</v>
      </c>
      <c r="D132" s="1337" t="s">
        <v>867</v>
      </c>
      <c r="E132" s="1288">
        <v>10.66</v>
      </c>
      <c r="F132" s="1288">
        <v>6.95</v>
      </c>
      <c r="G132" s="1269"/>
      <c r="H132" s="1267"/>
      <c r="I132" s="1267"/>
      <c r="J132" s="611"/>
      <c r="K132" s="611"/>
    </row>
    <row r="133" spans="3:11" ht="16.8" hidden="1">
      <c r="C133" s="1287" t="s">
        <v>342</v>
      </c>
      <c r="D133" s="1337" t="s">
        <v>867</v>
      </c>
      <c r="E133" s="1288">
        <v>10.7</v>
      </c>
      <c r="F133" s="1288">
        <v>6.93</v>
      </c>
      <c r="G133" s="1269"/>
      <c r="H133" s="1267"/>
      <c r="I133" s="1267"/>
      <c r="J133" s="611"/>
      <c r="K133" s="611"/>
    </row>
    <row r="134" spans="3:11" ht="16.8" hidden="1">
      <c r="C134" s="1287" t="s">
        <v>343</v>
      </c>
      <c r="D134" s="1337" t="s">
        <v>867</v>
      </c>
      <c r="E134" s="1288">
        <v>10.69</v>
      </c>
      <c r="F134" s="1288">
        <v>6.99</v>
      </c>
      <c r="G134" s="1269"/>
      <c r="H134" s="1267"/>
      <c r="I134" s="1267"/>
      <c r="J134" s="611"/>
      <c r="K134" s="611"/>
    </row>
    <row r="135" spans="3:11" ht="16.8" hidden="1">
      <c r="C135" s="1287" t="s">
        <v>344</v>
      </c>
      <c r="D135" s="1337" t="s">
        <v>867</v>
      </c>
      <c r="E135" s="1288">
        <v>10.59</v>
      </c>
      <c r="F135" s="1288">
        <v>6.87</v>
      </c>
      <c r="G135" s="1269"/>
      <c r="H135" s="1267"/>
      <c r="I135" s="1267"/>
      <c r="J135" s="611"/>
      <c r="K135" s="611"/>
    </row>
    <row r="136" spans="3:11" ht="15" customHeight="1">
      <c r="C136" s="1287"/>
      <c r="D136" s="1337"/>
      <c r="E136" s="1288"/>
      <c r="F136" s="1288"/>
      <c r="G136" s="1269"/>
      <c r="H136" s="1267"/>
      <c r="I136" s="1267"/>
      <c r="J136" s="611"/>
      <c r="K136" s="611"/>
    </row>
    <row r="137" spans="3:11" ht="16.8">
      <c r="C137" s="1285">
        <v>2017</v>
      </c>
      <c r="D137" s="1337"/>
      <c r="E137" s="1288"/>
      <c r="F137" s="1288"/>
      <c r="G137" s="1269"/>
      <c r="H137" s="1267"/>
      <c r="I137" s="1267"/>
      <c r="J137" s="611"/>
      <c r="K137" s="611"/>
    </row>
    <row r="138" spans="3:11" ht="16.8">
      <c r="C138" s="1287" t="s">
        <v>345</v>
      </c>
      <c r="D138" s="1337" t="s">
        <v>867</v>
      </c>
      <c r="E138" s="1288">
        <v>10.61</v>
      </c>
      <c r="F138" s="1288">
        <v>6.68</v>
      </c>
      <c r="G138" s="1269"/>
      <c r="H138" s="1267"/>
      <c r="I138" s="1267"/>
      <c r="J138" s="611"/>
      <c r="K138" s="611"/>
    </row>
    <row r="139" spans="3:11" ht="16.8">
      <c r="C139" s="1287" t="s">
        <v>334</v>
      </c>
      <c r="D139" s="1337" t="s">
        <v>867</v>
      </c>
      <c r="E139" s="1288">
        <v>10.06</v>
      </c>
      <c r="F139" s="1288">
        <v>6.52</v>
      </c>
      <c r="G139" s="1269"/>
      <c r="H139" s="1267"/>
      <c r="I139" s="1267"/>
      <c r="J139" s="611"/>
      <c r="K139" s="611"/>
    </row>
    <row r="140" spans="3:11" ht="16.8">
      <c r="C140" s="1287" t="s">
        <v>335</v>
      </c>
      <c r="D140" s="1337" t="s">
        <v>867</v>
      </c>
      <c r="E140" s="1288">
        <v>9.1199999999999992</v>
      </c>
      <c r="F140" s="1288">
        <v>7.02</v>
      </c>
      <c r="G140" s="1269"/>
      <c r="H140" s="1267"/>
      <c r="I140" s="1267"/>
      <c r="J140" s="611"/>
      <c r="K140" s="611"/>
    </row>
    <row r="141" spans="3:11" ht="16.8">
      <c r="C141" s="1287" t="s">
        <v>336</v>
      </c>
      <c r="D141" s="1337" t="s">
        <v>867</v>
      </c>
      <c r="E141" s="1288">
        <v>9.25</v>
      </c>
      <c r="F141" s="1288">
        <v>7.02</v>
      </c>
      <c r="G141" s="1269"/>
      <c r="H141" s="1267"/>
      <c r="I141" s="1267"/>
      <c r="J141" s="611"/>
      <c r="K141" s="611"/>
    </row>
    <row r="142" spans="3:11" ht="16.8">
      <c r="C142" s="1287" t="s">
        <v>337</v>
      </c>
      <c r="D142" s="1337" t="s">
        <v>867</v>
      </c>
      <c r="E142" s="1288">
        <v>9.17</v>
      </c>
      <c r="F142" s="1288">
        <v>7.03</v>
      </c>
      <c r="G142" s="1269"/>
      <c r="H142" s="1267"/>
      <c r="I142" s="1267"/>
      <c r="J142" s="611"/>
      <c r="K142" s="611"/>
    </row>
    <row r="143" spans="3:11" ht="16.8">
      <c r="C143" s="1287" t="s">
        <v>338</v>
      </c>
      <c r="D143" s="1337" t="s">
        <v>867</v>
      </c>
      <c r="E143" s="1288">
        <v>9.01</v>
      </c>
      <c r="F143" s="1288">
        <v>7.05</v>
      </c>
      <c r="G143" s="1269"/>
      <c r="H143" s="1267"/>
      <c r="I143" s="1267"/>
      <c r="J143" s="611"/>
      <c r="K143" s="611"/>
    </row>
    <row r="144" spans="3:11" ht="16.8">
      <c r="C144" s="1287" t="s">
        <v>339</v>
      </c>
      <c r="D144" s="1337" t="s">
        <v>867</v>
      </c>
      <c r="E144" s="1288">
        <v>8.94</v>
      </c>
      <c r="F144" s="1288">
        <v>7.05</v>
      </c>
      <c r="G144" s="1269"/>
      <c r="H144" s="1267"/>
      <c r="I144" s="1267"/>
      <c r="J144" s="611"/>
      <c r="K144" s="611"/>
    </row>
    <row r="145" spans="3:11" ht="16.8">
      <c r="C145" s="1287" t="s">
        <v>340</v>
      </c>
      <c r="D145" s="1337" t="s">
        <v>867</v>
      </c>
      <c r="E145" s="1288">
        <v>8.8800000000000008</v>
      </c>
      <c r="F145" s="1288">
        <v>6.95</v>
      </c>
      <c r="G145" s="1269"/>
      <c r="H145" s="1267"/>
      <c r="I145" s="1267"/>
      <c r="J145" s="611"/>
      <c r="K145" s="611"/>
    </row>
    <row r="146" spans="3:11" ht="16.8">
      <c r="C146" s="1287" t="s">
        <v>341</v>
      </c>
      <c r="D146" s="1337" t="s">
        <v>1758</v>
      </c>
      <c r="E146" s="1288">
        <v>8.86</v>
      </c>
      <c r="F146" s="1288">
        <v>7.01</v>
      </c>
      <c r="G146" s="1269"/>
      <c r="H146" s="1267"/>
      <c r="I146" s="1267"/>
      <c r="J146" s="611"/>
      <c r="K146" s="611"/>
    </row>
    <row r="147" spans="3:11" ht="16.8">
      <c r="C147" s="1287" t="s">
        <v>342</v>
      </c>
      <c r="D147" s="1337" t="s">
        <v>1758</v>
      </c>
      <c r="E147" s="1288">
        <v>9.66</v>
      </c>
      <c r="F147" s="1288">
        <v>7.06</v>
      </c>
      <c r="G147" s="1269"/>
      <c r="H147" s="1267"/>
      <c r="I147" s="1267"/>
      <c r="J147" s="611"/>
      <c r="K147" s="611"/>
    </row>
    <row r="148" spans="3:11" ht="16.8">
      <c r="C148" s="1287" t="s">
        <v>343</v>
      </c>
      <c r="D148" s="1337" t="s">
        <v>1758</v>
      </c>
      <c r="E148" s="1288">
        <v>9.66</v>
      </c>
      <c r="F148" s="1288">
        <v>7.03</v>
      </c>
      <c r="G148" s="1269"/>
      <c r="H148" s="1267"/>
      <c r="I148" s="1267"/>
      <c r="J148" s="611"/>
      <c r="K148" s="611"/>
    </row>
    <row r="149" spans="3:11" ht="16.8">
      <c r="C149" s="1287" t="s">
        <v>344</v>
      </c>
      <c r="D149" s="1337" t="s">
        <v>1758</v>
      </c>
      <c r="E149" s="1288">
        <v>9.39</v>
      </c>
      <c r="F149" s="1288">
        <v>7</v>
      </c>
      <c r="G149" s="1269"/>
      <c r="H149" s="1267"/>
      <c r="I149" s="1267"/>
      <c r="J149" s="611"/>
      <c r="K149" s="611"/>
    </row>
    <row r="150" spans="3:11" ht="16.8">
      <c r="C150" s="1287"/>
      <c r="D150" s="1337"/>
      <c r="E150" s="1288"/>
      <c r="F150" s="1288"/>
      <c r="G150" s="1269"/>
      <c r="H150" s="1267"/>
      <c r="I150" s="1267"/>
      <c r="J150" s="611"/>
      <c r="K150" s="611"/>
    </row>
    <row r="151" spans="3:11" ht="16.8">
      <c r="C151" s="1289">
        <v>2018</v>
      </c>
      <c r="D151" s="1337"/>
      <c r="E151" s="1288"/>
      <c r="F151" s="1288"/>
      <c r="G151" s="1269"/>
      <c r="H151" s="1267"/>
      <c r="I151" s="1267"/>
      <c r="J151" s="611"/>
      <c r="K151" s="611"/>
    </row>
    <row r="152" spans="3:11" ht="16.8">
      <c r="C152" s="1290" t="s">
        <v>345</v>
      </c>
      <c r="D152" s="1337" t="s">
        <v>1758</v>
      </c>
      <c r="E152" s="1288">
        <v>9.33</v>
      </c>
      <c r="F152" s="1288">
        <v>6.99</v>
      </c>
      <c r="G152" s="1269"/>
      <c r="H152" s="1267"/>
      <c r="I152" s="1267"/>
      <c r="J152" s="611"/>
      <c r="K152" s="611"/>
    </row>
    <row r="153" spans="3:11" ht="16.8">
      <c r="C153" s="1290" t="s">
        <v>334</v>
      </c>
      <c r="D153" s="1337" t="s">
        <v>1758</v>
      </c>
      <c r="E153" s="1288">
        <v>9.57</v>
      </c>
      <c r="F153" s="1288">
        <v>6.93</v>
      </c>
      <c r="G153" s="1269"/>
      <c r="H153" s="1267"/>
      <c r="I153" s="1267"/>
      <c r="J153" s="611"/>
      <c r="K153" s="611"/>
    </row>
    <row r="154" spans="3:11" ht="16.8">
      <c r="C154" s="1290" t="s">
        <v>335</v>
      </c>
      <c r="D154" s="1337" t="s">
        <v>1758</v>
      </c>
      <c r="E154" s="1288">
        <v>9.64</v>
      </c>
      <c r="F154" s="1288">
        <v>6.98</v>
      </c>
      <c r="G154" s="1269"/>
      <c r="H154" s="1267"/>
      <c r="I154" s="1267"/>
      <c r="J154" s="611"/>
      <c r="K154" s="611"/>
    </row>
    <row r="155" spans="3:11" ht="16.8">
      <c r="C155" s="1290" t="s">
        <v>336</v>
      </c>
      <c r="D155" s="1337" t="s">
        <v>867</v>
      </c>
      <c r="E155" s="1288">
        <v>9.32</v>
      </c>
      <c r="F155" s="1288">
        <v>7.08</v>
      </c>
      <c r="G155" s="1269"/>
      <c r="H155" s="1267"/>
      <c r="I155" s="1267"/>
      <c r="J155" s="611"/>
      <c r="K155" s="611"/>
    </row>
    <row r="156" spans="3:11" ht="16.8">
      <c r="C156" s="1290" t="s">
        <v>337</v>
      </c>
      <c r="D156" s="1337" t="s">
        <v>867</v>
      </c>
      <c r="E156" s="1288">
        <v>9.2799999999999994</v>
      </c>
      <c r="F156" s="1288">
        <v>7.09</v>
      </c>
      <c r="G156" s="1269"/>
      <c r="H156" s="1267"/>
      <c r="I156" s="1267"/>
      <c r="J156" s="611"/>
      <c r="K156" s="611"/>
    </row>
    <row r="157" spans="3:11" ht="16.8">
      <c r="C157" s="1290" t="s">
        <v>338</v>
      </c>
      <c r="D157" s="1337" t="s">
        <v>867</v>
      </c>
      <c r="E157" s="1288">
        <v>9.32</v>
      </c>
      <c r="F157" s="1288">
        <v>7.14</v>
      </c>
      <c r="G157" s="1269"/>
      <c r="H157" s="1267"/>
      <c r="I157" s="1267"/>
      <c r="J157" s="611"/>
      <c r="K157" s="611"/>
    </row>
    <row r="158" spans="3:11" ht="16.8">
      <c r="C158" s="1290" t="s">
        <v>339</v>
      </c>
      <c r="D158" s="1337" t="s">
        <v>867</v>
      </c>
      <c r="E158" s="1288">
        <v>9.75</v>
      </c>
      <c r="F158" s="1288">
        <v>6.97</v>
      </c>
      <c r="G158" s="1269"/>
      <c r="H158" s="1267"/>
      <c r="I158" s="1267"/>
      <c r="J158" s="611"/>
      <c r="K158" s="611"/>
    </row>
    <row r="159" spans="3:11" ht="16.8">
      <c r="C159" s="1290" t="s">
        <v>340</v>
      </c>
      <c r="D159" s="1337" t="s">
        <v>867</v>
      </c>
      <c r="E159" s="1288">
        <v>9.8699999999999992</v>
      </c>
      <c r="F159" s="1288">
        <v>7.1</v>
      </c>
      <c r="G159" s="1269"/>
      <c r="H159" s="1267"/>
      <c r="I159" s="1267"/>
      <c r="J159" s="611"/>
      <c r="K159" s="611"/>
    </row>
    <row r="160" spans="3:11" ht="16.8">
      <c r="C160" s="1290" t="s">
        <v>341</v>
      </c>
      <c r="D160" s="1337" t="s">
        <v>867</v>
      </c>
      <c r="E160" s="1288">
        <v>9.56</v>
      </c>
      <c r="F160" s="1288">
        <v>7.11</v>
      </c>
      <c r="G160" s="1269"/>
      <c r="H160" s="1267"/>
      <c r="I160" s="1267"/>
      <c r="J160" s="611"/>
      <c r="K160" s="611"/>
    </row>
    <row r="161" spans="3:11" ht="16.8">
      <c r="C161" s="1290" t="s">
        <v>342</v>
      </c>
      <c r="D161" s="1337" t="s">
        <v>867</v>
      </c>
      <c r="E161" s="1288">
        <v>9.4700000000000006</v>
      </c>
      <c r="F161" s="1288">
        <v>7.38</v>
      </c>
      <c r="G161" s="1269"/>
      <c r="H161" s="1267"/>
      <c r="I161" s="1267"/>
      <c r="J161" s="611"/>
      <c r="K161" s="611"/>
    </row>
    <row r="162" spans="3:11" ht="16.8">
      <c r="C162" s="1290" t="s">
        <v>343</v>
      </c>
      <c r="D162" s="1337" t="s">
        <v>867</v>
      </c>
      <c r="E162" s="1288">
        <v>9.49</v>
      </c>
      <c r="F162" s="1288">
        <v>7.38</v>
      </c>
      <c r="G162" s="1269"/>
      <c r="H162" s="1267"/>
      <c r="I162" s="1267"/>
      <c r="J162" s="611"/>
      <c r="K162" s="611"/>
    </row>
    <row r="163" spans="3:11" ht="16.8">
      <c r="C163" s="1290" t="s">
        <v>344</v>
      </c>
      <c r="D163" s="1337" t="s">
        <v>867</v>
      </c>
      <c r="E163" s="1288">
        <v>9.48</v>
      </c>
      <c r="F163" s="1288">
        <v>7.39</v>
      </c>
      <c r="G163" s="1269"/>
      <c r="H163" s="1267"/>
      <c r="I163" s="1267"/>
      <c r="J163" s="611"/>
      <c r="K163" s="611"/>
    </row>
    <row r="164" spans="3:11" ht="16.8">
      <c r="C164" s="1290"/>
      <c r="D164" s="1337"/>
      <c r="E164" s="1288"/>
      <c r="F164" s="1288"/>
      <c r="G164" s="1269"/>
      <c r="H164" s="1267"/>
      <c r="I164" s="1267"/>
      <c r="J164" s="611"/>
      <c r="K164" s="611"/>
    </row>
    <row r="165" spans="3:11" ht="16.8">
      <c r="C165" s="1289">
        <v>2019</v>
      </c>
      <c r="D165" s="1337"/>
      <c r="E165" s="1288"/>
      <c r="F165" s="1288"/>
      <c r="G165" s="1269"/>
      <c r="H165" s="1267"/>
      <c r="I165" s="1267"/>
      <c r="J165" s="611"/>
      <c r="K165" s="611"/>
    </row>
    <row r="166" spans="3:11" ht="16.8">
      <c r="C166" s="1289" t="s">
        <v>345</v>
      </c>
      <c r="D166" s="1337" t="s">
        <v>867</v>
      </c>
      <c r="E166" s="1288">
        <v>9.4700000000000006</v>
      </c>
      <c r="F166" s="1288">
        <v>7.4</v>
      </c>
      <c r="G166" s="1269"/>
      <c r="H166" s="1267"/>
      <c r="I166" s="1267"/>
      <c r="J166" s="611"/>
      <c r="K166" s="611"/>
    </row>
    <row r="167" spans="3:11" ht="16.8">
      <c r="C167" s="1289" t="s">
        <v>334</v>
      </c>
      <c r="D167" s="1337" t="s">
        <v>867</v>
      </c>
      <c r="E167" s="1288">
        <v>9.23</v>
      </c>
      <c r="F167" s="1288">
        <v>7.3</v>
      </c>
      <c r="G167" s="1269"/>
      <c r="H167" s="1267"/>
      <c r="I167" s="1267"/>
      <c r="J167" s="611"/>
      <c r="K167" s="611"/>
    </row>
    <row r="168" spans="3:11" ht="16.8">
      <c r="C168" s="1289" t="s">
        <v>335</v>
      </c>
      <c r="D168" s="1337" t="s">
        <v>867</v>
      </c>
      <c r="E168" s="1288">
        <v>9.23</v>
      </c>
      <c r="F168" s="1288">
        <v>7.31</v>
      </c>
      <c r="G168" s="1269"/>
      <c r="H168" s="1267"/>
      <c r="I168" s="1267"/>
      <c r="J168" s="611"/>
      <c r="K168" s="611"/>
    </row>
    <row r="169" spans="3:11" ht="16.8">
      <c r="C169" s="1289" t="s">
        <v>336</v>
      </c>
      <c r="D169" s="1337" t="s">
        <v>867</v>
      </c>
      <c r="E169" s="1288">
        <v>9.3000000000000007</v>
      </c>
      <c r="F169" s="1288">
        <v>7.38</v>
      </c>
      <c r="G169" s="1269"/>
      <c r="H169" s="1267"/>
      <c r="I169" s="1267"/>
      <c r="J169" s="611"/>
      <c r="K169" s="611"/>
    </row>
    <row r="170" spans="3:11" ht="16.8">
      <c r="C170" s="1289" t="s">
        <v>337</v>
      </c>
      <c r="D170" s="1337" t="s">
        <v>1336</v>
      </c>
      <c r="E170" s="1288">
        <v>9.31</v>
      </c>
      <c r="F170" s="1288">
        <v>7.33</v>
      </c>
      <c r="G170" s="1269"/>
      <c r="H170" s="1267"/>
      <c r="I170" s="1267"/>
      <c r="J170" s="611"/>
      <c r="K170" s="611"/>
    </row>
    <row r="171" spans="3:11" ht="16.8">
      <c r="C171" s="1289" t="s">
        <v>338</v>
      </c>
      <c r="D171" s="1337" t="s">
        <v>1336</v>
      </c>
      <c r="E171" s="1288">
        <v>9.15</v>
      </c>
      <c r="F171" s="1288">
        <v>7.67</v>
      </c>
      <c r="G171" s="1269"/>
      <c r="H171" s="1267"/>
      <c r="I171" s="1267"/>
      <c r="J171" s="611"/>
      <c r="K171" s="611"/>
    </row>
    <row r="172" spans="3:11" ht="16.8">
      <c r="C172" s="1289" t="s">
        <v>339</v>
      </c>
      <c r="D172" s="1337" t="s">
        <v>946</v>
      </c>
      <c r="E172" s="1288">
        <v>9.5399999999999991</v>
      </c>
      <c r="F172" s="1288">
        <v>8.4</v>
      </c>
      <c r="G172" s="1269"/>
      <c r="H172" s="1267"/>
      <c r="I172" s="1267"/>
      <c r="J172" s="611"/>
      <c r="K172" s="611"/>
    </row>
    <row r="173" spans="3:11" ht="16.8">
      <c r="C173" s="1289" t="s">
        <v>340</v>
      </c>
      <c r="D173" s="1337" t="s">
        <v>946</v>
      </c>
      <c r="E173" s="1288">
        <v>14.37</v>
      </c>
      <c r="F173" s="1288">
        <v>18.43</v>
      </c>
      <c r="G173" s="1269"/>
      <c r="H173" s="1267"/>
      <c r="I173" s="1267"/>
      <c r="J173" s="611"/>
      <c r="K173" s="611"/>
    </row>
    <row r="174" spans="3:11" ht="17.399999999999999" thickBot="1">
      <c r="C174" s="1728" t="s">
        <v>341</v>
      </c>
      <c r="D174" s="1729" t="s">
        <v>946</v>
      </c>
      <c r="E174" s="1730">
        <v>14.64</v>
      </c>
      <c r="F174" s="1730">
        <v>19.809999999999999</v>
      </c>
      <c r="G174" s="1269"/>
      <c r="H174" s="1267"/>
      <c r="I174" s="1267"/>
      <c r="J174" s="611"/>
      <c r="K174" s="611"/>
    </row>
    <row r="175" spans="3:11" ht="21">
      <c r="C175" s="935" t="s">
        <v>1772</v>
      </c>
      <c r="D175" s="1419"/>
      <c r="E175" s="1267"/>
      <c r="F175" s="1267"/>
      <c r="G175" s="1269"/>
      <c r="H175" s="1267"/>
      <c r="I175" s="1267"/>
      <c r="J175" s="611"/>
      <c r="K175" s="611"/>
    </row>
    <row r="176" spans="3:11" ht="16.8">
      <c r="C176" s="1270" t="s">
        <v>998</v>
      </c>
      <c r="D176" s="1270"/>
      <c r="E176" s="1271"/>
      <c r="F176" s="1271"/>
      <c r="G176" s="1271"/>
      <c r="H176" s="1271"/>
      <c r="I176" s="1271"/>
      <c r="J176" s="611"/>
      <c r="K176" s="611"/>
    </row>
    <row r="177" spans="3:11" ht="15.75" customHeight="1">
      <c r="C177" s="1858" t="s">
        <v>1750</v>
      </c>
      <c r="D177" s="1858"/>
      <c r="E177" s="1858"/>
      <c r="F177" s="1858"/>
      <c r="G177" s="1271"/>
      <c r="H177" s="1271"/>
      <c r="I177" s="1271"/>
      <c r="J177" s="611"/>
      <c r="K177" s="611"/>
    </row>
    <row r="178" spans="3:11" ht="15.75" customHeight="1">
      <c r="C178" s="1216"/>
      <c r="D178" s="1216"/>
      <c r="E178" s="1216"/>
      <c r="F178" s="1216"/>
      <c r="G178" s="1272"/>
      <c r="H178" s="1272"/>
      <c r="I178" s="1272"/>
      <c r="J178" s="758"/>
      <c r="K178" s="758"/>
    </row>
    <row r="179" spans="3:11" ht="15.75" customHeight="1">
      <c r="C179" s="1853"/>
      <c r="D179" s="1853"/>
      <c r="E179" s="1853"/>
      <c r="F179" s="1853"/>
      <c r="G179" s="1853"/>
      <c r="H179" s="611"/>
      <c r="I179" s="611"/>
      <c r="J179" s="611"/>
      <c r="K179" s="611"/>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6" customWidth="1"/>
    <col min="2" max="2" width="18.1796875" style="26" customWidth="1"/>
    <col min="3" max="3" width="17.453125" style="26" customWidth="1"/>
    <col min="4" max="5" width="17.453125" style="26" hidden="1" customWidth="1"/>
    <col min="6" max="6" width="29.453125" style="26" hidden="1" customWidth="1"/>
    <col min="7" max="7" width="17.453125" style="26" hidden="1" customWidth="1"/>
    <col min="8" max="8" width="17.81640625" style="26" hidden="1" customWidth="1"/>
    <col min="9" max="11" width="17.453125" style="26" customWidth="1"/>
    <col min="12" max="12" width="1.81640625" style="26" customWidth="1"/>
    <col min="13" max="16384" width="9.81640625" style="26"/>
  </cols>
  <sheetData>
    <row r="1" spans="1:11" ht="18.75" customHeight="1">
      <c r="A1" s="1866" t="s">
        <v>1752</v>
      </c>
      <c r="B1" s="1866"/>
      <c r="C1" s="1866"/>
      <c r="D1" s="1866"/>
      <c r="E1" s="1866"/>
      <c r="F1" s="1866"/>
      <c r="G1" s="1866"/>
      <c r="H1" s="1866"/>
      <c r="I1" s="25"/>
      <c r="J1" s="25"/>
      <c r="K1" s="25"/>
    </row>
    <row r="2" spans="1:11" ht="18" customHeight="1" thickBot="1">
      <c r="A2" s="972"/>
      <c r="B2" s="972"/>
      <c r="C2" s="972"/>
      <c r="D2" s="972"/>
      <c r="E2" s="972"/>
      <c r="F2" s="972" t="s">
        <v>296</v>
      </c>
      <c r="G2" s="972"/>
      <c r="H2" s="972"/>
      <c r="I2" s="25"/>
      <c r="J2" s="25"/>
      <c r="K2" s="25"/>
    </row>
    <row r="3" spans="1:11" ht="12.75" customHeight="1" thickTop="1">
      <c r="A3" s="1449"/>
      <c r="B3" s="1449"/>
      <c r="C3" s="1439"/>
      <c r="D3" s="1439"/>
      <c r="E3" s="1440"/>
      <c r="F3" s="1432"/>
      <c r="G3" s="973"/>
      <c r="H3" s="975"/>
      <c r="I3" s="27"/>
      <c r="J3" s="25"/>
      <c r="K3" s="25"/>
    </row>
    <row r="4" spans="1:11" ht="12.75" customHeight="1">
      <c r="A4" s="1450"/>
      <c r="B4" s="1867" t="s">
        <v>1158</v>
      </c>
      <c r="C4" s="1866"/>
      <c r="D4" s="1866"/>
      <c r="E4" s="1868"/>
      <c r="F4" s="977" t="s">
        <v>1157</v>
      </c>
      <c r="G4" s="976"/>
      <c r="H4" s="977"/>
      <c r="I4" s="27"/>
      <c r="J4" s="25"/>
      <c r="K4" s="25"/>
    </row>
    <row r="5" spans="1:11" ht="12.75" customHeight="1">
      <c r="A5" s="1450"/>
      <c r="B5" s="1450"/>
      <c r="C5" s="972"/>
      <c r="D5" s="972"/>
      <c r="E5" s="1441"/>
      <c r="F5" s="979"/>
      <c r="G5" s="972"/>
      <c r="H5" s="979"/>
      <c r="I5" s="27"/>
      <c r="J5" s="25"/>
      <c r="K5" s="25"/>
    </row>
    <row r="6" spans="1:11" ht="12.75" customHeight="1" thickBot="1">
      <c r="A6" s="1450"/>
      <c r="B6" s="1450"/>
      <c r="C6" s="972"/>
      <c r="D6" s="972"/>
      <c r="E6" s="1441"/>
      <c r="F6" s="979"/>
      <c r="G6" s="972"/>
      <c r="H6" s="979"/>
      <c r="I6" s="27"/>
      <c r="J6" s="25"/>
      <c r="K6" s="25"/>
    </row>
    <row r="7" spans="1:11" ht="12.75" customHeight="1" thickTop="1" thickBot="1">
      <c r="A7" s="1705"/>
      <c r="B7" s="973"/>
      <c r="C7" s="1451"/>
      <c r="D7" s="1451"/>
      <c r="E7" s="1452"/>
      <c r="F7" s="1432"/>
      <c r="G7" s="973"/>
      <c r="H7" s="974"/>
      <c r="I7" s="27"/>
      <c r="J7" s="25"/>
      <c r="K7" s="25"/>
    </row>
    <row r="8" spans="1:11" ht="12.75" customHeight="1">
      <c r="A8" s="1706" t="s">
        <v>263</v>
      </c>
      <c r="B8" s="1717" t="s">
        <v>786</v>
      </c>
      <c r="C8" s="1717" t="s">
        <v>787</v>
      </c>
      <c r="D8" s="981" t="s">
        <v>421</v>
      </c>
      <c r="E8" s="1442" t="s">
        <v>422</v>
      </c>
      <c r="F8" s="1418" t="s">
        <v>787</v>
      </c>
      <c r="G8" s="981" t="s">
        <v>421</v>
      </c>
      <c r="H8" s="980" t="s">
        <v>422</v>
      </c>
      <c r="I8" s="27"/>
      <c r="J8" s="25"/>
      <c r="K8" s="25"/>
    </row>
    <row r="9" spans="1:11" ht="12.75" customHeight="1" thickBot="1">
      <c r="A9" s="1707"/>
      <c r="B9" s="1707"/>
      <c r="C9" s="1707"/>
      <c r="D9" s="972"/>
      <c r="E9" s="1453"/>
      <c r="F9" s="979"/>
      <c r="G9" s="972"/>
      <c r="H9" s="978"/>
      <c r="I9" s="27"/>
      <c r="J9" s="25"/>
      <c r="K9" s="25"/>
    </row>
    <row r="10" spans="1:11" ht="18" customHeight="1" thickTop="1">
      <c r="A10" s="1708"/>
      <c r="B10" s="1718"/>
      <c r="C10" s="1718"/>
      <c r="D10" s="973"/>
      <c r="E10" s="1452"/>
      <c r="F10" s="1432"/>
      <c r="G10" s="973"/>
      <c r="H10" s="974"/>
      <c r="I10" s="27"/>
      <c r="J10" s="25"/>
      <c r="K10" s="25"/>
    </row>
    <row r="11" spans="1:11" ht="12.75" hidden="1" customHeight="1">
      <c r="A11" s="1706">
        <v>1999</v>
      </c>
      <c r="B11" s="1707"/>
      <c r="C11" s="1707"/>
      <c r="D11" s="972"/>
      <c r="E11" s="1453"/>
      <c r="F11" s="979"/>
      <c r="G11" s="972"/>
      <c r="H11" s="978"/>
      <c r="I11" s="27"/>
      <c r="J11" s="25"/>
      <c r="K11" s="25"/>
    </row>
    <row r="12" spans="1:11" ht="12.75" hidden="1" customHeight="1">
      <c r="A12" s="1706"/>
      <c r="B12" s="1706"/>
      <c r="C12" s="1706"/>
      <c r="D12" s="981"/>
      <c r="E12" s="1442"/>
      <c r="F12" s="1418"/>
      <c r="G12" s="981"/>
      <c r="H12" s="980"/>
      <c r="I12" s="27"/>
      <c r="J12" s="25"/>
      <c r="K12" s="25"/>
    </row>
    <row r="13" spans="1:11" ht="12.75" hidden="1" customHeight="1">
      <c r="A13" s="1709" t="s">
        <v>307</v>
      </c>
      <c r="B13" s="1706" t="s">
        <v>788</v>
      </c>
      <c r="C13" s="1706" t="s">
        <v>789</v>
      </c>
      <c r="D13" s="981" t="s">
        <v>790</v>
      </c>
      <c r="E13" s="1442" t="s">
        <v>791</v>
      </c>
      <c r="F13" s="1418" t="s">
        <v>792</v>
      </c>
      <c r="G13" s="981" t="s">
        <v>793</v>
      </c>
      <c r="H13" s="980" t="s">
        <v>794</v>
      </c>
      <c r="I13" s="27"/>
      <c r="J13" s="25"/>
      <c r="K13" s="25"/>
    </row>
    <row r="14" spans="1:11" ht="12.75" hidden="1" customHeight="1">
      <c r="A14" s="1709" t="s">
        <v>308</v>
      </c>
      <c r="B14" s="1706" t="s">
        <v>788</v>
      </c>
      <c r="C14" s="1706" t="s">
        <v>789</v>
      </c>
      <c r="D14" s="981" t="s">
        <v>595</v>
      </c>
      <c r="E14" s="1442" t="s">
        <v>791</v>
      </c>
      <c r="F14" s="1418" t="s">
        <v>795</v>
      </c>
      <c r="G14" s="981" t="s">
        <v>612</v>
      </c>
      <c r="H14" s="980" t="s">
        <v>796</v>
      </c>
      <c r="I14" s="27"/>
      <c r="J14" s="25"/>
      <c r="K14" s="25"/>
    </row>
    <row r="15" spans="1:11" ht="12.75" hidden="1" customHeight="1">
      <c r="A15" s="1709" t="s">
        <v>311</v>
      </c>
      <c r="B15" s="1706" t="s">
        <v>788</v>
      </c>
      <c r="C15" s="1706" t="s">
        <v>797</v>
      </c>
      <c r="D15" s="981" t="s">
        <v>798</v>
      </c>
      <c r="E15" s="1442" t="s">
        <v>799</v>
      </c>
      <c r="F15" s="1418" t="s">
        <v>800</v>
      </c>
      <c r="G15" s="981" t="s">
        <v>801</v>
      </c>
      <c r="H15" s="980" t="s">
        <v>796</v>
      </c>
      <c r="I15" s="27"/>
      <c r="J15" s="25"/>
      <c r="K15" s="25"/>
    </row>
    <row r="16" spans="1:11" ht="12.75" hidden="1" customHeight="1">
      <c r="A16" s="1709"/>
      <c r="B16" s="1719"/>
      <c r="C16" s="1719"/>
      <c r="D16" s="983"/>
      <c r="E16" s="1454"/>
      <c r="F16" s="1433"/>
      <c r="G16" s="983"/>
      <c r="H16" s="982"/>
      <c r="I16" s="27"/>
      <c r="J16" s="25"/>
      <c r="K16" s="25"/>
    </row>
    <row r="17" spans="1:11" ht="12.75" hidden="1" customHeight="1">
      <c r="A17" s="1706" t="s">
        <v>710</v>
      </c>
      <c r="B17" s="1719"/>
      <c r="C17" s="1706"/>
      <c r="D17" s="983"/>
      <c r="E17" s="1454"/>
      <c r="F17" s="1433"/>
      <c r="G17" s="983"/>
      <c r="H17" s="982"/>
      <c r="I17" s="27"/>
      <c r="J17" s="25"/>
      <c r="K17" s="25"/>
    </row>
    <row r="18" spans="1:11" ht="12.75" hidden="1" customHeight="1">
      <c r="A18" s="1706"/>
      <c r="B18" s="1719"/>
      <c r="C18" s="1719"/>
      <c r="D18" s="983"/>
      <c r="E18" s="1454"/>
      <c r="F18" s="1433"/>
      <c r="G18" s="983"/>
      <c r="H18" s="982"/>
      <c r="I18" s="27"/>
      <c r="J18" s="25"/>
      <c r="K18" s="25"/>
    </row>
    <row r="19" spans="1:11" ht="12.75" hidden="1" customHeight="1">
      <c r="A19" s="1709" t="s">
        <v>298</v>
      </c>
      <c r="B19" s="1706" t="s">
        <v>788</v>
      </c>
      <c r="C19" s="1706" t="s">
        <v>803</v>
      </c>
      <c r="D19" s="981" t="s">
        <v>804</v>
      </c>
      <c r="E19" s="1442" t="s">
        <v>799</v>
      </c>
      <c r="F19" s="1418" t="s">
        <v>805</v>
      </c>
      <c r="G19" s="981" t="s">
        <v>806</v>
      </c>
      <c r="H19" s="980" t="s">
        <v>807</v>
      </c>
      <c r="I19" s="27"/>
      <c r="J19" s="25"/>
      <c r="K19" s="25"/>
    </row>
    <row r="20" spans="1:11" ht="12.75" hidden="1" customHeight="1">
      <c r="A20" s="1709" t="s">
        <v>299</v>
      </c>
      <c r="B20" s="1706" t="s">
        <v>788</v>
      </c>
      <c r="C20" s="1706" t="s">
        <v>803</v>
      </c>
      <c r="D20" s="981" t="s">
        <v>808</v>
      </c>
      <c r="E20" s="1442" t="s">
        <v>799</v>
      </c>
      <c r="F20" s="1418" t="s">
        <v>809</v>
      </c>
      <c r="G20" s="981" t="s">
        <v>810</v>
      </c>
      <c r="H20" s="980" t="s">
        <v>794</v>
      </c>
      <c r="I20" s="27"/>
      <c r="J20" s="25"/>
      <c r="K20" s="25"/>
    </row>
    <row r="21" spans="1:11" ht="12.75" hidden="1" customHeight="1">
      <c r="A21" s="1709" t="s">
        <v>300</v>
      </c>
      <c r="B21" s="1706" t="s">
        <v>788</v>
      </c>
      <c r="C21" s="1706" t="s">
        <v>811</v>
      </c>
      <c r="D21" s="981" t="s">
        <v>808</v>
      </c>
      <c r="E21" s="1442" t="s">
        <v>799</v>
      </c>
      <c r="F21" s="1418" t="s">
        <v>812</v>
      </c>
      <c r="G21" s="981" t="s">
        <v>813</v>
      </c>
      <c r="H21" s="980" t="s">
        <v>796</v>
      </c>
      <c r="I21" s="27"/>
      <c r="J21" s="25"/>
      <c r="K21" s="25"/>
    </row>
    <row r="22" spans="1:11" ht="12.75" hidden="1" customHeight="1">
      <c r="A22" s="1709" t="s">
        <v>301</v>
      </c>
      <c r="B22" s="1706" t="s">
        <v>788</v>
      </c>
      <c r="C22" s="1706" t="s">
        <v>814</v>
      </c>
      <c r="D22" s="981" t="s">
        <v>815</v>
      </c>
      <c r="E22" s="1442" t="s">
        <v>817</v>
      </c>
      <c r="F22" s="1418" t="s">
        <v>818</v>
      </c>
      <c r="G22" s="981" t="s">
        <v>819</v>
      </c>
      <c r="H22" s="980" t="s">
        <v>794</v>
      </c>
      <c r="I22" s="27"/>
      <c r="J22" s="25"/>
      <c r="K22" s="25"/>
    </row>
    <row r="23" spans="1:11" ht="12.75" hidden="1" customHeight="1">
      <c r="A23" s="1709" t="s">
        <v>302</v>
      </c>
      <c r="B23" s="1706" t="s">
        <v>788</v>
      </c>
      <c r="C23" s="1706" t="s">
        <v>820</v>
      </c>
      <c r="D23" s="981" t="s">
        <v>821</v>
      </c>
      <c r="E23" s="1442" t="s">
        <v>817</v>
      </c>
      <c r="F23" s="1418" t="s">
        <v>822</v>
      </c>
      <c r="G23" s="981" t="s">
        <v>823</v>
      </c>
      <c r="H23" s="980" t="s">
        <v>794</v>
      </c>
      <c r="I23" s="27"/>
      <c r="J23" s="25"/>
      <c r="K23" s="25"/>
    </row>
    <row r="24" spans="1:11" ht="12.75" hidden="1" customHeight="1">
      <c r="A24" s="1709" t="s">
        <v>303</v>
      </c>
      <c r="B24" s="1706" t="s">
        <v>788</v>
      </c>
      <c r="C24" s="1706" t="s">
        <v>820</v>
      </c>
      <c r="D24" s="981" t="s">
        <v>821</v>
      </c>
      <c r="E24" s="1442" t="s">
        <v>817</v>
      </c>
      <c r="F24" s="1418" t="s">
        <v>824</v>
      </c>
      <c r="G24" s="981" t="s">
        <v>825</v>
      </c>
      <c r="H24" s="980" t="s">
        <v>794</v>
      </c>
      <c r="I24" s="27"/>
      <c r="J24" s="25"/>
      <c r="K24" s="25"/>
    </row>
    <row r="25" spans="1:11" ht="12.75" hidden="1" customHeight="1">
      <c r="A25" s="1709" t="s">
        <v>304</v>
      </c>
      <c r="B25" s="1706" t="s">
        <v>788</v>
      </c>
      <c r="C25" s="1706" t="s">
        <v>826</v>
      </c>
      <c r="D25" s="981" t="s">
        <v>821</v>
      </c>
      <c r="E25" s="1442" t="s">
        <v>827</v>
      </c>
      <c r="F25" s="1418" t="s">
        <v>828</v>
      </c>
      <c r="G25" s="981" t="s">
        <v>825</v>
      </c>
      <c r="H25" s="980" t="s">
        <v>794</v>
      </c>
      <c r="I25" s="27"/>
      <c r="J25" s="25"/>
      <c r="K25" s="25"/>
    </row>
    <row r="26" spans="1:11" ht="12.75" hidden="1" customHeight="1">
      <c r="A26" s="1709" t="s">
        <v>305</v>
      </c>
      <c r="B26" s="1706" t="s">
        <v>788</v>
      </c>
      <c r="C26" s="1706" t="s">
        <v>829</v>
      </c>
      <c r="D26" s="981" t="s">
        <v>821</v>
      </c>
      <c r="E26" s="1442" t="s">
        <v>830</v>
      </c>
      <c r="F26" s="1418" t="s">
        <v>468</v>
      </c>
      <c r="G26" s="981" t="s">
        <v>582</v>
      </c>
      <c r="H26" s="980" t="s">
        <v>831</v>
      </c>
      <c r="I26" s="27"/>
      <c r="J26" s="25"/>
      <c r="K26" s="25"/>
    </row>
    <row r="27" spans="1:11" ht="12.75" hidden="1" customHeight="1">
      <c r="A27" s="1709" t="s">
        <v>306</v>
      </c>
      <c r="B27" s="1706" t="s">
        <v>832</v>
      </c>
      <c r="C27" s="1706" t="s">
        <v>833</v>
      </c>
      <c r="D27" s="981" t="s">
        <v>834</v>
      </c>
      <c r="E27" s="1442" t="s">
        <v>835</v>
      </c>
      <c r="F27" s="1418" t="s">
        <v>836</v>
      </c>
      <c r="G27" s="981" t="s">
        <v>794</v>
      </c>
      <c r="H27" s="980" t="s">
        <v>837</v>
      </c>
      <c r="I27" s="27"/>
      <c r="J27" s="25"/>
      <c r="K27" s="25"/>
    </row>
    <row r="28" spans="1:11" ht="12.75" hidden="1" customHeight="1">
      <c r="A28" s="1709" t="s">
        <v>307</v>
      </c>
      <c r="B28" s="1706" t="s">
        <v>838</v>
      </c>
      <c r="C28" s="1706" t="s">
        <v>839</v>
      </c>
      <c r="D28" s="981" t="s">
        <v>840</v>
      </c>
      <c r="E28" s="1442" t="s">
        <v>835</v>
      </c>
      <c r="F28" s="1418" t="s">
        <v>481</v>
      </c>
      <c r="G28" s="981" t="s">
        <v>841</v>
      </c>
      <c r="H28" s="980" t="s">
        <v>842</v>
      </c>
      <c r="I28" s="27"/>
      <c r="J28" s="25"/>
      <c r="K28" s="25"/>
    </row>
    <row r="29" spans="1:11" ht="12.75" hidden="1" customHeight="1">
      <c r="A29" s="1709" t="s">
        <v>308</v>
      </c>
      <c r="B29" s="1706" t="s">
        <v>843</v>
      </c>
      <c r="C29" s="1706" t="s">
        <v>839</v>
      </c>
      <c r="D29" s="981" t="s">
        <v>840</v>
      </c>
      <c r="E29" s="1442" t="s">
        <v>835</v>
      </c>
      <c r="F29" s="1418" t="s">
        <v>481</v>
      </c>
      <c r="G29" s="981" t="s">
        <v>841</v>
      </c>
      <c r="H29" s="980" t="s">
        <v>842</v>
      </c>
      <c r="I29" s="27"/>
      <c r="J29" s="25"/>
      <c r="K29" s="25"/>
    </row>
    <row r="30" spans="1:11" ht="12.75" hidden="1" customHeight="1">
      <c r="A30" s="1709" t="s">
        <v>311</v>
      </c>
      <c r="B30" s="1706" t="s">
        <v>832</v>
      </c>
      <c r="C30" s="1706" t="s">
        <v>839</v>
      </c>
      <c r="D30" s="981" t="s">
        <v>844</v>
      </c>
      <c r="E30" s="1442" t="s">
        <v>835</v>
      </c>
      <c r="F30" s="1418" t="s">
        <v>848</v>
      </c>
      <c r="G30" s="981" t="s">
        <v>841</v>
      </c>
      <c r="H30" s="980" t="s">
        <v>842</v>
      </c>
      <c r="I30" s="27"/>
      <c r="J30" s="25"/>
      <c r="K30" s="25"/>
    </row>
    <row r="31" spans="1:11" ht="12.75" hidden="1" customHeight="1">
      <c r="A31" s="1709"/>
      <c r="B31" s="1706"/>
      <c r="C31" s="1706"/>
      <c r="D31" s="981"/>
      <c r="E31" s="1442"/>
      <c r="F31" s="1418"/>
      <c r="G31" s="981"/>
      <c r="H31" s="980"/>
      <c r="I31" s="27"/>
      <c r="J31" s="25"/>
      <c r="K31" s="25"/>
    </row>
    <row r="32" spans="1:11" ht="12.75" hidden="1" customHeight="1">
      <c r="A32" s="1706">
        <v>2001</v>
      </c>
      <c r="B32" s="1706"/>
      <c r="C32" s="1706"/>
      <c r="D32" s="981"/>
      <c r="E32" s="1442"/>
      <c r="F32" s="1418"/>
      <c r="G32" s="981"/>
      <c r="H32" s="980"/>
      <c r="I32" s="27"/>
      <c r="J32" s="25"/>
      <c r="K32" s="25"/>
    </row>
    <row r="33" spans="1:11" ht="12.75" hidden="1" customHeight="1">
      <c r="A33" s="1709"/>
      <c r="B33" s="1706"/>
      <c r="C33" s="1706"/>
      <c r="D33" s="981"/>
      <c r="E33" s="1442"/>
      <c r="F33" s="1418"/>
      <c r="G33" s="981"/>
      <c r="H33" s="980"/>
      <c r="I33" s="27"/>
      <c r="J33" s="25"/>
      <c r="K33" s="25"/>
    </row>
    <row r="34" spans="1:11" ht="12.75" hidden="1" customHeight="1">
      <c r="A34" s="1709" t="s">
        <v>298</v>
      </c>
      <c r="B34" s="1706" t="s">
        <v>849</v>
      </c>
      <c r="C34" s="1706" t="s">
        <v>850</v>
      </c>
      <c r="D34" s="981" t="s">
        <v>851</v>
      </c>
      <c r="E34" s="1442" t="s">
        <v>852</v>
      </c>
      <c r="F34" s="1418" t="s">
        <v>853</v>
      </c>
      <c r="G34" s="981" t="s">
        <v>854</v>
      </c>
      <c r="H34" s="980" t="s">
        <v>785</v>
      </c>
      <c r="I34" s="27"/>
      <c r="J34" s="25"/>
      <c r="K34" s="25"/>
    </row>
    <row r="35" spans="1:11" ht="12.75" hidden="1" customHeight="1">
      <c r="A35" s="1709" t="s">
        <v>299</v>
      </c>
      <c r="B35" s="1706" t="s">
        <v>855</v>
      </c>
      <c r="C35" s="1706" t="s">
        <v>856</v>
      </c>
      <c r="D35" s="981" t="s">
        <v>857</v>
      </c>
      <c r="E35" s="1442" t="s">
        <v>858</v>
      </c>
      <c r="F35" s="1418" t="s">
        <v>859</v>
      </c>
      <c r="G35" s="981" t="s">
        <v>860</v>
      </c>
      <c r="H35" s="980" t="s">
        <v>861</v>
      </c>
      <c r="I35" s="27"/>
      <c r="J35" s="25"/>
      <c r="K35" s="25"/>
    </row>
    <row r="36" spans="1:11" ht="12.75" hidden="1" customHeight="1">
      <c r="A36" s="1709" t="s">
        <v>300</v>
      </c>
      <c r="B36" s="1706" t="s">
        <v>855</v>
      </c>
      <c r="C36" s="1706" t="s">
        <v>862</v>
      </c>
      <c r="D36" s="981" t="s">
        <v>863</v>
      </c>
      <c r="E36" s="1442" t="s">
        <v>858</v>
      </c>
      <c r="F36" s="1418" t="s">
        <v>864</v>
      </c>
      <c r="G36" s="981" t="s">
        <v>865</v>
      </c>
      <c r="H36" s="984">
        <v>15</v>
      </c>
      <c r="I36" s="27"/>
      <c r="J36" s="25"/>
      <c r="K36" s="25"/>
    </row>
    <row r="37" spans="1:11" ht="12.75" hidden="1" customHeight="1">
      <c r="A37" s="1709" t="s">
        <v>301</v>
      </c>
      <c r="B37" s="1706" t="s">
        <v>866</v>
      </c>
      <c r="C37" s="1706" t="s">
        <v>867</v>
      </c>
      <c r="D37" s="981" t="s">
        <v>868</v>
      </c>
      <c r="E37" s="1442" t="s">
        <v>869</v>
      </c>
      <c r="F37" s="1418" t="s">
        <v>870</v>
      </c>
      <c r="G37" s="981" t="s">
        <v>871</v>
      </c>
      <c r="H37" s="984" t="s">
        <v>861</v>
      </c>
      <c r="I37" s="27"/>
      <c r="J37" s="25"/>
      <c r="K37" s="25"/>
    </row>
    <row r="38" spans="1:11" ht="12.75" hidden="1" customHeight="1">
      <c r="A38" s="1709" t="s">
        <v>302</v>
      </c>
      <c r="B38" s="1706" t="s">
        <v>866</v>
      </c>
      <c r="C38" s="1706" t="s">
        <v>872</v>
      </c>
      <c r="D38" s="981" t="s">
        <v>873</v>
      </c>
      <c r="E38" s="1442" t="s">
        <v>873</v>
      </c>
      <c r="F38" s="1418" t="s">
        <v>874</v>
      </c>
      <c r="G38" s="981" t="s">
        <v>875</v>
      </c>
      <c r="H38" s="984">
        <v>15</v>
      </c>
      <c r="I38" s="27"/>
      <c r="J38" s="25"/>
      <c r="K38" s="25"/>
    </row>
    <row r="39" spans="1:11" ht="12.75" hidden="1" customHeight="1">
      <c r="A39" s="1709" t="s">
        <v>303</v>
      </c>
      <c r="B39" s="1706" t="s">
        <v>876</v>
      </c>
      <c r="C39" s="1706" t="s">
        <v>872</v>
      </c>
      <c r="D39" s="981" t="s">
        <v>873</v>
      </c>
      <c r="E39" s="1442" t="s">
        <v>873</v>
      </c>
      <c r="F39" s="1418" t="s">
        <v>877</v>
      </c>
      <c r="G39" s="981" t="s">
        <v>878</v>
      </c>
      <c r="H39" s="984" t="s">
        <v>879</v>
      </c>
      <c r="I39" s="27"/>
      <c r="J39" s="25"/>
      <c r="K39" s="25"/>
    </row>
    <row r="40" spans="1:11" ht="12.75" hidden="1" customHeight="1">
      <c r="A40" s="1709" t="s">
        <v>304</v>
      </c>
      <c r="B40" s="1706" t="s">
        <v>880</v>
      </c>
      <c r="C40" s="1706" t="s">
        <v>867</v>
      </c>
      <c r="D40" s="981" t="s">
        <v>881</v>
      </c>
      <c r="E40" s="1442" t="s">
        <v>882</v>
      </c>
      <c r="F40" s="1418" t="s">
        <v>883</v>
      </c>
      <c r="G40" s="981" t="s">
        <v>878</v>
      </c>
      <c r="H40" s="984" t="s">
        <v>879</v>
      </c>
      <c r="I40" s="27"/>
      <c r="J40" s="25"/>
      <c r="K40" s="25"/>
    </row>
    <row r="41" spans="1:11" ht="12.75" hidden="1" customHeight="1">
      <c r="A41" s="1709" t="s">
        <v>305</v>
      </c>
      <c r="B41" s="1706" t="s">
        <v>880</v>
      </c>
      <c r="C41" s="1706" t="s">
        <v>872</v>
      </c>
      <c r="D41" s="981" t="s">
        <v>881</v>
      </c>
      <c r="E41" s="1442" t="s">
        <v>882</v>
      </c>
      <c r="F41" s="1418" t="s">
        <v>884</v>
      </c>
      <c r="G41" s="981" t="s">
        <v>554</v>
      </c>
      <c r="H41" s="984" t="s">
        <v>861</v>
      </c>
      <c r="I41" s="27"/>
      <c r="J41" s="25"/>
      <c r="K41" s="25"/>
    </row>
    <row r="42" spans="1:11" ht="12.75" hidden="1" customHeight="1">
      <c r="A42" s="1709" t="s">
        <v>306</v>
      </c>
      <c r="B42" s="1706" t="s">
        <v>880</v>
      </c>
      <c r="C42" s="1706" t="s">
        <v>885</v>
      </c>
      <c r="D42" s="981" t="s">
        <v>886</v>
      </c>
      <c r="E42" s="1442" t="s">
        <v>882</v>
      </c>
      <c r="F42" s="1418" t="s">
        <v>887</v>
      </c>
      <c r="G42" s="981" t="s">
        <v>554</v>
      </c>
      <c r="H42" s="984">
        <v>15</v>
      </c>
      <c r="I42" s="27"/>
      <c r="J42" s="25"/>
      <c r="K42" s="25"/>
    </row>
    <row r="43" spans="1:11" ht="12.75" hidden="1" customHeight="1">
      <c r="A43" s="1709" t="s">
        <v>307</v>
      </c>
      <c r="B43" s="1706" t="s">
        <v>880</v>
      </c>
      <c r="C43" s="1706" t="s">
        <v>511</v>
      </c>
      <c r="D43" s="981" t="s">
        <v>888</v>
      </c>
      <c r="E43" s="1442" t="s">
        <v>882</v>
      </c>
      <c r="F43" s="1418" t="s">
        <v>889</v>
      </c>
      <c r="G43" s="981" t="s">
        <v>890</v>
      </c>
      <c r="H43" s="984">
        <v>15</v>
      </c>
      <c r="I43" s="27"/>
      <c r="J43" s="25"/>
      <c r="K43" s="25"/>
    </row>
    <row r="44" spans="1:11" ht="12.75" hidden="1" customHeight="1">
      <c r="A44" s="1709" t="s">
        <v>308</v>
      </c>
      <c r="B44" s="1706" t="s">
        <v>880</v>
      </c>
      <c r="C44" s="1706" t="s">
        <v>891</v>
      </c>
      <c r="D44" s="981" t="s">
        <v>892</v>
      </c>
      <c r="E44" s="1442" t="s">
        <v>893</v>
      </c>
      <c r="F44" s="1418" t="s">
        <v>894</v>
      </c>
      <c r="G44" s="981" t="s">
        <v>895</v>
      </c>
      <c r="H44" s="984" t="s">
        <v>896</v>
      </c>
      <c r="I44" s="27"/>
      <c r="J44" s="25"/>
      <c r="K44" s="25"/>
    </row>
    <row r="45" spans="1:11" ht="12.75" hidden="1" customHeight="1">
      <c r="A45" s="1709" t="s">
        <v>311</v>
      </c>
      <c r="B45" s="1706" t="s">
        <v>880</v>
      </c>
      <c r="C45" s="1706" t="s">
        <v>897</v>
      </c>
      <c r="D45" s="981" t="s">
        <v>898</v>
      </c>
      <c r="E45" s="1442" t="s">
        <v>924</v>
      </c>
      <c r="F45" s="1434" t="s">
        <v>925</v>
      </c>
      <c r="G45" s="981" t="s">
        <v>526</v>
      </c>
      <c r="H45" s="984" t="s">
        <v>895</v>
      </c>
      <c r="I45" s="27"/>
      <c r="J45" s="25"/>
      <c r="K45" s="25"/>
    </row>
    <row r="46" spans="1:11" ht="12.75" hidden="1" customHeight="1">
      <c r="A46" s="1709"/>
      <c r="B46" s="1706"/>
      <c r="C46" s="1706"/>
      <c r="D46" s="981"/>
      <c r="E46" s="1442"/>
      <c r="F46" s="1418"/>
      <c r="G46" s="981"/>
      <c r="H46" s="984"/>
      <c r="I46" s="27"/>
      <c r="J46" s="25"/>
      <c r="K46" s="25"/>
    </row>
    <row r="47" spans="1:11" ht="12.75" hidden="1" customHeight="1">
      <c r="A47" s="1706">
        <v>2002</v>
      </c>
      <c r="B47" s="1707"/>
      <c r="C47" s="1707"/>
      <c r="D47" s="972"/>
      <c r="E47" s="1453"/>
      <c r="F47" s="979"/>
      <c r="G47" s="972"/>
      <c r="H47" s="978"/>
      <c r="I47" s="27"/>
      <c r="J47" s="25"/>
      <c r="K47" s="25"/>
    </row>
    <row r="48" spans="1:11" ht="12.75" hidden="1" customHeight="1">
      <c r="A48" s="1709"/>
      <c r="B48" s="1707"/>
      <c r="C48" s="1707"/>
      <c r="D48" s="972"/>
      <c r="E48" s="1453"/>
      <c r="F48" s="979"/>
      <c r="G48" s="972"/>
      <c r="H48" s="978"/>
      <c r="I48" s="27"/>
      <c r="J48" s="25"/>
      <c r="K48" s="25"/>
    </row>
    <row r="49" spans="1:11" ht="12.75" hidden="1" customHeight="1">
      <c r="A49" s="1709" t="s">
        <v>298</v>
      </c>
      <c r="B49" s="1706" t="s">
        <v>880</v>
      </c>
      <c r="C49" s="1706" t="s">
        <v>926</v>
      </c>
      <c r="D49" s="981" t="s">
        <v>927</v>
      </c>
      <c r="E49" s="1442" t="s">
        <v>928</v>
      </c>
      <c r="F49" s="1418" t="s">
        <v>925</v>
      </c>
      <c r="G49" s="981" t="s">
        <v>560</v>
      </c>
      <c r="H49" s="984" t="s">
        <v>929</v>
      </c>
      <c r="I49" s="27"/>
      <c r="J49" s="25"/>
      <c r="K49" s="25"/>
    </row>
    <row r="50" spans="1:11" ht="12.75" hidden="1" customHeight="1">
      <c r="A50" s="1709" t="s">
        <v>299</v>
      </c>
      <c r="B50" s="1706" t="s">
        <v>880</v>
      </c>
      <c r="C50" s="1706" t="s">
        <v>930</v>
      </c>
      <c r="D50" s="981" t="s">
        <v>931</v>
      </c>
      <c r="E50" s="1442" t="s">
        <v>932</v>
      </c>
      <c r="F50" s="1418" t="s">
        <v>933</v>
      </c>
      <c r="G50" s="981" t="s">
        <v>605</v>
      </c>
      <c r="H50" s="984" t="s">
        <v>934</v>
      </c>
      <c r="I50" s="27"/>
      <c r="J50" s="25"/>
      <c r="K50" s="25"/>
    </row>
    <row r="51" spans="1:11" ht="12.75" hidden="1" customHeight="1">
      <c r="A51" s="1709" t="s">
        <v>300</v>
      </c>
      <c r="B51" s="1706" t="s">
        <v>880</v>
      </c>
      <c r="C51" s="1706" t="s">
        <v>935</v>
      </c>
      <c r="D51" s="981" t="s">
        <v>936</v>
      </c>
      <c r="E51" s="1442" t="s">
        <v>937</v>
      </c>
      <c r="F51" s="1418" t="s">
        <v>938</v>
      </c>
      <c r="G51" s="981" t="s">
        <v>939</v>
      </c>
      <c r="H51" s="984" t="s">
        <v>940</v>
      </c>
      <c r="I51" s="27"/>
      <c r="J51" s="25"/>
      <c r="K51" s="25"/>
    </row>
    <row r="52" spans="1:11" ht="12.75" hidden="1" customHeight="1">
      <c r="A52" s="1709" t="s">
        <v>410</v>
      </c>
      <c r="B52" s="1706" t="s">
        <v>880</v>
      </c>
      <c r="C52" s="1706" t="s">
        <v>930</v>
      </c>
      <c r="D52" s="981" t="s">
        <v>941</v>
      </c>
      <c r="E52" s="1442" t="s">
        <v>937</v>
      </c>
      <c r="F52" s="1418" t="s">
        <v>942</v>
      </c>
      <c r="G52" s="981" t="s">
        <v>605</v>
      </c>
      <c r="H52" s="984" t="s">
        <v>587</v>
      </c>
      <c r="I52" s="27"/>
      <c r="J52" s="25"/>
      <c r="K52" s="25"/>
    </row>
    <row r="53" spans="1:11" ht="12.75" hidden="1" customHeight="1">
      <c r="A53" s="1709" t="s">
        <v>411</v>
      </c>
      <c r="B53" s="1706" t="s">
        <v>880</v>
      </c>
      <c r="C53" s="1706" t="s">
        <v>930</v>
      </c>
      <c r="D53" s="981" t="s">
        <v>943</v>
      </c>
      <c r="E53" s="1442" t="s">
        <v>774</v>
      </c>
      <c r="F53" s="1418" t="s">
        <v>944</v>
      </c>
      <c r="G53" s="981" t="s">
        <v>605</v>
      </c>
      <c r="H53" s="984" t="s">
        <v>945</v>
      </c>
      <c r="I53" s="27"/>
      <c r="J53" s="25"/>
      <c r="K53" s="25"/>
    </row>
    <row r="54" spans="1:11" ht="12.75" hidden="1" customHeight="1">
      <c r="A54" s="1709" t="s">
        <v>303</v>
      </c>
      <c r="B54" s="1706" t="s">
        <v>880</v>
      </c>
      <c r="C54" s="1706" t="s">
        <v>946</v>
      </c>
      <c r="D54" s="981" t="s">
        <v>947</v>
      </c>
      <c r="E54" s="1442" t="s">
        <v>948</v>
      </c>
      <c r="F54" s="1418" t="s">
        <v>953</v>
      </c>
      <c r="G54" s="981" t="s">
        <v>605</v>
      </c>
      <c r="H54" s="984" t="s">
        <v>945</v>
      </c>
      <c r="I54" s="27"/>
      <c r="J54" s="25"/>
      <c r="K54" s="25"/>
    </row>
    <row r="55" spans="1:11" ht="12.75" hidden="1" customHeight="1">
      <c r="A55" s="1709" t="s">
        <v>304</v>
      </c>
      <c r="B55" s="1706" t="s">
        <v>880</v>
      </c>
      <c r="C55" s="1706" t="s">
        <v>954</v>
      </c>
      <c r="D55" s="981" t="s">
        <v>955</v>
      </c>
      <c r="E55" s="1442" t="s">
        <v>937</v>
      </c>
      <c r="F55" s="1418" t="s">
        <v>956</v>
      </c>
      <c r="G55" s="981" t="s">
        <v>957</v>
      </c>
      <c r="H55" s="984" t="s">
        <v>958</v>
      </c>
      <c r="I55" s="27"/>
      <c r="J55" s="25"/>
      <c r="K55" s="25"/>
    </row>
    <row r="56" spans="1:11" ht="12.75" hidden="1" customHeight="1">
      <c r="A56" s="1709" t="s">
        <v>305</v>
      </c>
      <c r="B56" s="1706" t="s">
        <v>880</v>
      </c>
      <c r="C56" s="1706" t="s">
        <v>935</v>
      </c>
      <c r="D56" s="981" t="s">
        <v>947</v>
      </c>
      <c r="E56" s="1442" t="s">
        <v>774</v>
      </c>
      <c r="F56" s="1418" t="s">
        <v>959</v>
      </c>
      <c r="G56" s="981" t="s">
        <v>960</v>
      </c>
      <c r="H56" s="984" t="s">
        <v>961</v>
      </c>
      <c r="I56" s="27"/>
      <c r="J56" s="25"/>
      <c r="K56" s="25"/>
    </row>
    <row r="57" spans="1:11" ht="12.75" hidden="1" customHeight="1">
      <c r="A57" s="1709" t="s">
        <v>306</v>
      </c>
      <c r="B57" s="1706" t="s">
        <v>880</v>
      </c>
      <c r="C57" s="1706" t="s">
        <v>946</v>
      </c>
      <c r="D57" s="981" t="s">
        <v>947</v>
      </c>
      <c r="E57" s="1442" t="s">
        <v>774</v>
      </c>
      <c r="F57" s="1435" t="s">
        <v>960</v>
      </c>
      <c r="G57" s="985" t="s">
        <v>962</v>
      </c>
      <c r="H57" s="986" t="s">
        <v>961</v>
      </c>
      <c r="I57" s="27"/>
      <c r="J57" s="25"/>
      <c r="K57" s="25"/>
    </row>
    <row r="58" spans="1:11" ht="12.75" hidden="1" customHeight="1">
      <c r="A58" s="1709" t="s">
        <v>307</v>
      </c>
      <c r="B58" s="1720" t="s">
        <v>880</v>
      </c>
      <c r="C58" s="1720" t="s">
        <v>926</v>
      </c>
      <c r="D58" s="985" t="s">
        <v>963</v>
      </c>
      <c r="E58" s="1455" t="s">
        <v>964</v>
      </c>
      <c r="F58" s="1435" t="s">
        <v>965</v>
      </c>
      <c r="G58" s="985" t="s">
        <v>598</v>
      </c>
      <c r="H58" s="986" t="s">
        <v>961</v>
      </c>
      <c r="I58" s="27"/>
      <c r="J58" s="25"/>
      <c r="K58" s="25"/>
    </row>
    <row r="59" spans="1:11" ht="12.75" hidden="1" customHeight="1">
      <c r="A59" s="1709" t="s">
        <v>308</v>
      </c>
      <c r="B59" s="1720" t="s">
        <v>880</v>
      </c>
      <c r="C59" s="1720" t="s">
        <v>966</v>
      </c>
      <c r="D59" s="985" t="s">
        <v>963</v>
      </c>
      <c r="E59" s="1455" t="s">
        <v>967</v>
      </c>
      <c r="F59" s="1435" t="s">
        <v>968</v>
      </c>
      <c r="G59" s="985" t="s">
        <v>971</v>
      </c>
      <c r="H59" s="986" t="s">
        <v>961</v>
      </c>
      <c r="I59" s="27"/>
      <c r="J59" s="25"/>
      <c r="K59" s="25"/>
    </row>
    <row r="60" spans="1:11" ht="12.75" hidden="1" customHeight="1">
      <c r="A60" s="1709" t="s">
        <v>311</v>
      </c>
      <c r="B60" s="1720" t="s">
        <v>880</v>
      </c>
      <c r="C60" s="1720" t="s">
        <v>946</v>
      </c>
      <c r="D60" s="985" t="s">
        <v>963</v>
      </c>
      <c r="E60" s="1455" t="s">
        <v>964</v>
      </c>
      <c r="F60" s="1435" t="s">
        <v>972</v>
      </c>
      <c r="G60" s="985" t="s">
        <v>598</v>
      </c>
      <c r="H60" s="986" t="s">
        <v>961</v>
      </c>
      <c r="I60" s="27"/>
      <c r="J60" s="25"/>
      <c r="K60" s="25"/>
    </row>
    <row r="61" spans="1:11" ht="12.75" hidden="1" customHeight="1">
      <c r="A61" s="1709"/>
      <c r="B61" s="1720"/>
      <c r="C61" s="1720"/>
      <c r="D61" s="985"/>
      <c r="E61" s="1455"/>
      <c r="F61" s="1435"/>
      <c r="G61" s="985"/>
      <c r="H61" s="986"/>
      <c r="I61" s="27"/>
      <c r="J61" s="25"/>
      <c r="K61" s="25"/>
    </row>
    <row r="62" spans="1:11" ht="12.75" hidden="1" customHeight="1">
      <c r="A62" s="1706">
        <v>2003</v>
      </c>
      <c r="B62" s="1720"/>
      <c r="C62" s="1720"/>
      <c r="D62" s="985"/>
      <c r="E62" s="1455"/>
      <c r="F62" s="1435"/>
      <c r="G62" s="985"/>
      <c r="H62" s="986"/>
      <c r="I62" s="27"/>
      <c r="J62" s="25"/>
      <c r="K62" s="25"/>
    </row>
    <row r="63" spans="1:11" ht="12.75" hidden="1" customHeight="1">
      <c r="A63" s="1709"/>
      <c r="B63" s="1720"/>
      <c r="C63" s="1720"/>
      <c r="D63" s="985"/>
      <c r="E63" s="1455"/>
      <c r="F63" s="1435"/>
      <c r="G63" s="985"/>
      <c r="H63" s="986"/>
      <c r="I63" s="27"/>
      <c r="J63" s="25"/>
      <c r="K63" s="25"/>
    </row>
    <row r="64" spans="1:11" ht="12.75" hidden="1" customHeight="1">
      <c r="A64" s="1709" t="s">
        <v>298</v>
      </c>
      <c r="B64" s="1720" t="s">
        <v>880</v>
      </c>
      <c r="C64" s="1720" t="s">
        <v>973</v>
      </c>
      <c r="D64" s="985" t="s">
        <v>974</v>
      </c>
      <c r="E64" s="1455" t="s">
        <v>975</v>
      </c>
      <c r="F64" s="1418" t="s">
        <v>976</v>
      </c>
      <c r="G64" s="981" t="s">
        <v>598</v>
      </c>
      <c r="H64" s="984" t="s">
        <v>961</v>
      </c>
      <c r="I64" s="27"/>
      <c r="J64" s="25"/>
      <c r="K64" s="25"/>
    </row>
    <row r="65" spans="1:11" ht="12.75" hidden="1" customHeight="1">
      <c r="A65" s="1709" t="s">
        <v>299</v>
      </c>
      <c r="B65" s="1720" t="s">
        <v>880</v>
      </c>
      <c r="C65" s="1720" t="s">
        <v>973</v>
      </c>
      <c r="D65" s="985" t="s">
        <v>977</v>
      </c>
      <c r="E65" s="1455" t="s">
        <v>932</v>
      </c>
      <c r="F65" s="1418" t="s">
        <v>976</v>
      </c>
      <c r="G65" s="981" t="s">
        <v>598</v>
      </c>
      <c r="H65" s="984" t="s">
        <v>978</v>
      </c>
      <c r="I65" s="27"/>
      <c r="J65" s="25"/>
      <c r="K65" s="25"/>
    </row>
    <row r="66" spans="1:11" s="29" customFormat="1" ht="12.75" hidden="1" customHeight="1">
      <c r="A66" s="1709" t="s">
        <v>300</v>
      </c>
      <c r="B66" s="1720" t="s">
        <v>979</v>
      </c>
      <c r="C66" s="1720" t="s">
        <v>980</v>
      </c>
      <c r="D66" s="1435" t="s">
        <v>977</v>
      </c>
      <c r="E66" s="1455" t="s">
        <v>932</v>
      </c>
      <c r="F66" s="1418" t="s">
        <v>985</v>
      </c>
      <c r="G66" s="981" t="s">
        <v>598</v>
      </c>
      <c r="H66" s="984" t="s">
        <v>978</v>
      </c>
      <c r="I66" s="28"/>
    </row>
    <row r="67" spans="1:11" ht="12.75" hidden="1" customHeight="1">
      <c r="A67" s="1709" t="s">
        <v>301</v>
      </c>
      <c r="B67" s="1706" t="s">
        <v>979</v>
      </c>
      <c r="C67" s="1706" t="s">
        <v>935</v>
      </c>
      <c r="D67" s="981" t="s">
        <v>963</v>
      </c>
      <c r="E67" s="1442" t="s">
        <v>967</v>
      </c>
      <c r="F67" s="1436" t="s">
        <v>986</v>
      </c>
      <c r="G67" s="987" t="s">
        <v>568</v>
      </c>
      <c r="H67" s="988" t="s">
        <v>987</v>
      </c>
      <c r="I67" s="27"/>
      <c r="J67" s="25"/>
      <c r="K67" s="25"/>
    </row>
    <row r="68" spans="1:11" ht="12.75" hidden="1" customHeight="1">
      <c r="A68" s="1709" t="s">
        <v>302</v>
      </c>
      <c r="B68" s="1720" t="s">
        <v>979</v>
      </c>
      <c r="C68" s="1720" t="s">
        <v>990</v>
      </c>
      <c r="D68" s="985" t="s">
        <v>991</v>
      </c>
      <c r="E68" s="1455" t="s">
        <v>992</v>
      </c>
      <c r="F68" s="1436" t="s">
        <v>792</v>
      </c>
      <c r="G68" s="987" t="s">
        <v>571</v>
      </c>
      <c r="H68" s="988" t="s">
        <v>582</v>
      </c>
      <c r="I68" s="27"/>
      <c r="J68" s="25"/>
      <c r="K68" s="25"/>
    </row>
    <row r="69" spans="1:11" ht="12.75" hidden="1" customHeight="1">
      <c r="A69" s="1709" t="s">
        <v>303</v>
      </c>
      <c r="B69" s="1720" t="s">
        <v>993</v>
      </c>
      <c r="C69" s="1720" t="s">
        <v>990</v>
      </c>
      <c r="D69" s="985" t="s">
        <v>994</v>
      </c>
      <c r="E69" s="1455" t="s">
        <v>995</v>
      </c>
      <c r="F69" s="1436" t="s">
        <v>1027</v>
      </c>
      <c r="G69" s="987" t="s">
        <v>740</v>
      </c>
      <c r="H69" s="988" t="s">
        <v>629</v>
      </c>
      <c r="I69" s="27"/>
      <c r="J69" s="25"/>
      <c r="K69" s="25"/>
    </row>
    <row r="70" spans="1:11" ht="12.75" hidden="1" customHeight="1">
      <c r="A70" s="1709" t="s">
        <v>304</v>
      </c>
      <c r="B70" s="1720" t="s">
        <v>993</v>
      </c>
      <c r="C70" s="1720" t="s">
        <v>935</v>
      </c>
      <c r="D70" s="985" t="s">
        <v>963</v>
      </c>
      <c r="E70" s="1455" t="s">
        <v>967</v>
      </c>
      <c r="F70" s="1436" t="s">
        <v>1028</v>
      </c>
      <c r="G70" s="987" t="s">
        <v>1029</v>
      </c>
      <c r="H70" s="988" t="s">
        <v>1030</v>
      </c>
      <c r="I70" s="27"/>
      <c r="J70" s="25"/>
      <c r="K70" s="25"/>
    </row>
    <row r="71" spans="1:11" ht="12.75" hidden="1" customHeight="1">
      <c r="A71" s="1709" t="s">
        <v>305</v>
      </c>
      <c r="B71" s="1720" t="s">
        <v>993</v>
      </c>
      <c r="C71" s="1706" t="s">
        <v>1031</v>
      </c>
      <c r="D71" s="981" t="s">
        <v>963</v>
      </c>
      <c r="E71" s="1442" t="s">
        <v>967</v>
      </c>
      <c r="F71" s="1436" t="s">
        <v>1032</v>
      </c>
      <c r="G71" s="987" t="s">
        <v>1033</v>
      </c>
      <c r="H71" s="988" t="s">
        <v>1034</v>
      </c>
      <c r="I71" s="27"/>
      <c r="J71" s="25"/>
      <c r="K71" s="25"/>
    </row>
    <row r="72" spans="1:11" ht="12.75" hidden="1" customHeight="1">
      <c r="A72" s="1709" t="s">
        <v>306</v>
      </c>
      <c r="B72" s="1720" t="s">
        <v>993</v>
      </c>
      <c r="C72" s="1706" t="s">
        <v>935</v>
      </c>
      <c r="D72" s="981" t="s">
        <v>963</v>
      </c>
      <c r="E72" s="1442" t="s">
        <v>967</v>
      </c>
      <c r="F72" s="1436" t="s">
        <v>1032</v>
      </c>
      <c r="G72" s="987" t="s">
        <v>1033</v>
      </c>
      <c r="H72" s="988" t="s">
        <v>1034</v>
      </c>
      <c r="I72" s="27"/>
      <c r="J72" s="25"/>
      <c r="K72" s="25"/>
    </row>
    <row r="73" spans="1:11" ht="12.75" hidden="1" customHeight="1">
      <c r="A73" s="1709" t="s">
        <v>307</v>
      </c>
      <c r="B73" s="1720" t="s">
        <v>993</v>
      </c>
      <c r="C73" s="1706" t="s">
        <v>935</v>
      </c>
      <c r="D73" s="981" t="s">
        <v>963</v>
      </c>
      <c r="E73" s="1442" t="s">
        <v>967</v>
      </c>
      <c r="F73" s="1436" t="s">
        <v>631</v>
      </c>
      <c r="G73" s="987" t="s">
        <v>1035</v>
      </c>
      <c r="H73" s="988" t="s">
        <v>1036</v>
      </c>
      <c r="I73" s="27"/>
      <c r="J73" s="25"/>
      <c r="K73" s="25"/>
    </row>
    <row r="74" spans="1:11" ht="12.75" hidden="1" customHeight="1">
      <c r="A74" s="1709" t="s">
        <v>308</v>
      </c>
      <c r="B74" s="1720" t="s">
        <v>993</v>
      </c>
      <c r="C74" s="1706" t="s">
        <v>1037</v>
      </c>
      <c r="D74" s="981" t="s">
        <v>1038</v>
      </c>
      <c r="E74" s="1442" t="s">
        <v>1040</v>
      </c>
      <c r="F74" s="1436" t="s">
        <v>1041</v>
      </c>
      <c r="G74" s="987" t="s">
        <v>1042</v>
      </c>
      <c r="H74" s="988" t="s">
        <v>1043</v>
      </c>
      <c r="I74" s="27"/>
      <c r="J74" s="25"/>
      <c r="K74" s="25"/>
    </row>
    <row r="75" spans="1:11" ht="12.75" hidden="1" customHeight="1">
      <c r="A75" s="1709" t="s">
        <v>311</v>
      </c>
      <c r="B75" s="1706" t="s">
        <v>993</v>
      </c>
      <c r="C75" s="1706" t="s">
        <v>1044</v>
      </c>
      <c r="D75" s="981" t="s">
        <v>1045</v>
      </c>
      <c r="E75" s="1442" t="s">
        <v>1046</v>
      </c>
      <c r="F75" s="1437" t="s">
        <v>1047</v>
      </c>
      <c r="G75" s="989" t="s">
        <v>1048</v>
      </c>
      <c r="H75" s="990" t="s">
        <v>1049</v>
      </c>
      <c r="I75" s="27"/>
      <c r="J75" s="25"/>
      <c r="K75" s="25"/>
    </row>
    <row r="76" spans="1:11" ht="12.75" hidden="1" customHeight="1">
      <c r="A76" s="1709"/>
      <c r="B76" s="1706"/>
      <c r="C76" s="1706"/>
      <c r="D76" s="981"/>
      <c r="E76" s="1442"/>
      <c r="F76" s="1436"/>
      <c r="G76" s="987"/>
      <c r="H76" s="988"/>
      <c r="I76" s="27"/>
      <c r="J76" s="25"/>
      <c r="K76" s="25"/>
    </row>
    <row r="77" spans="1:11" ht="12.75" hidden="1" customHeight="1">
      <c r="A77" s="1706">
        <v>2004</v>
      </c>
      <c r="B77" s="1706"/>
      <c r="C77" s="1706"/>
      <c r="D77" s="981"/>
      <c r="E77" s="1442"/>
      <c r="F77" s="1436"/>
      <c r="G77" s="987"/>
      <c r="H77" s="988"/>
      <c r="I77" s="27"/>
      <c r="J77" s="25"/>
      <c r="K77" s="25"/>
    </row>
    <row r="78" spans="1:11" ht="12.75" hidden="1" customHeight="1">
      <c r="A78" s="1709"/>
      <c r="B78" s="1706"/>
      <c r="C78" s="1706"/>
      <c r="D78" s="981"/>
      <c r="E78" s="1442"/>
      <c r="F78" s="1436"/>
      <c r="G78" s="987"/>
      <c r="H78" s="988"/>
      <c r="I78" s="27"/>
      <c r="J78" s="25"/>
      <c r="K78" s="25"/>
    </row>
    <row r="79" spans="1:11" ht="12.75" hidden="1" customHeight="1">
      <c r="A79" s="1709" t="s">
        <v>298</v>
      </c>
      <c r="B79" s="1706" t="s">
        <v>993</v>
      </c>
      <c r="C79" s="1706" t="s">
        <v>1050</v>
      </c>
      <c r="D79" s="981" t="s">
        <v>1051</v>
      </c>
      <c r="E79" s="1442" t="s">
        <v>1052</v>
      </c>
      <c r="F79" s="1437" t="s">
        <v>1053</v>
      </c>
      <c r="G79" s="989" t="s">
        <v>1054</v>
      </c>
      <c r="H79" s="990" t="s">
        <v>1054</v>
      </c>
      <c r="I79" s="27"/>
      <c r="J79" s="25"/>
      <c r="K79" s="25"/>
    </row>
    <row r="80" spans="1:11" ht="12.75" hidden="1" customHeight="1">
      <c r="A80" s="1709" t="s">
        <v>299</v>
      </c>
      <c r="B80" s="1706" t="s">
        <v>993</v>
      </c>
      <c r="C80" s="1706" t="s">
        <v>230</v>
      </c>
      <c r="D80" s="981" t="s">
        <v>1051</v>
      </c>
      <c r="E80" s="1442" t="s">
        <v>1050</v>
      </c>
      <c r="F80" s="1436" t="s">
        <v>645</v>
      </c>
      <c r="G80" s="987" t="s">
        <v>178</v>
      </c>
      <c r="H80" s="988" t="s">
        <v>181</v>
      </c>
      <c r="I80" s="27"/>
      <c r="J80" s="25"/>
      <c r="K80" s="25"/>
    </row>
    <row r="81" spans="1:11" ht="12.75" hidden="1" customHeight="1">
      <c r="A81" s="1709" t="s">
        <v>300</v>
      </c>
      <c r="B81" s="1706" t="s">
        <v>993</v>
      </c>
      <c r="C81" s="1706" t="s">
        <v>229</v>
      </c>
      <c r="D81" s="981" t="s">
        <v>231</v>
      </c>
      <c r="E81" s="1442" t="s">
        <v>1052</v>
      </c>
      <c r="F81" s="1436" t="s">
        <v>1029</v>
      </c>
      <c r="G81" s="987" t="s">
        <v>179</v>
      </c>
      <c r="H81" s="988" t="s">
        <v>179</v>
      </c>
      <c r="I81" s="27"/>
      <c r="J81" s="25"/>
      <c r="K81" s="25"/>
    </row>
    <row r="82" spans="1:11" ht="12.75" hidden="1" customHeight="1">
      <c r="A82" s="1709" t="s">
        <v>301</v>
      </c>
      <c r="B82" s="1706" t="s">
        <v>993</v>
      </c>
      <c r="C82" s="1706" t="s">
        <v>232</v>
      </c>
      <c r="D82" s="981" t="s">
        <v>229</v>
      </c>
      <c r="E82" s="1442" t="s">
        <v>233</v>
      </c>
      <c r="F82" s="1436" t="s">
        <v>642</v>
      </c>
      <c r="G82" s="987" t="s">
        <v>180</v>
      </c>
      <c r="H82" s="988" t="s">
        <v>178</v>
      </c>
      <c r="I82" s="27"/>
      <c r="J82" s="25"/>
      <c r="K82" s="25"/>
    </row>
    <row r="83" spans="1:11" ht="12.75" hidden="1" customHeight="1">
      <c r="A83" s="1709" t="s">
        <v>302</v>
      </c>
      <c r="B83" s="1706" t="s">
        <v>993</v>
      </c>
      <c r="C83" s="1706" t="s">
        <v>83</v>
      </c>
      <c r="D83" s="981" t="s">
        <v>84</v>
      </c>
      <c r="E83" s="1442" t="s">
        <v>85</v>
      </c>
      <c r="F83" s="1436" t="s">
        <v>657</v>
      </c>
      <c r="G83" s="987" t="s">
        <v>360</v>
      </c>
      <c r="H83" s="988">
        <v>55</v>
      </c>
      <c r="I83" s="27"/>
      <c r="J83" s="25"/>
      <c r="K83" s="25"/>
    </row>
    <row r="84" spans="1:11" ht="12.75" hidden="1" customHeight="1">
      <c r="A84" s="1709" t="s">
        <v>303</v>
      </c>
      <c r="B84" s="1706" t="s">
        <v>993</v>
      </c>
      <c r="C84" s="1706" t="s">
        <v>83</v>
      </c>
      <c r="D84" s="981" t="s">
        <v>84</v>
      </c>
      <c r="E84" s="1442" t="s">
        <v>85</v>
      </c>
      <c r="F84" s="1418" t="s">
        <v>642</v>
      </c>
      <c r="G84" s="981" t="s">
        <v>255</v>
      </c>
      <c r="H84" s="984">
        <v>55</v>
      </c>
      <c r="I84" s="27"/>
      <c r="J84" s="25"/>
      <c r="K84" s="25"/>
    </row>
    <row r="85" spans="1:11" ht="12.75" hidden="1" customHeight="1">
      <c r="A85" s="1709" t="s">
        <v>304</v>
      </c>
      <c r="B85" s="1706" t="s">
        <v>734</v>
      </c>
      <c r="C85" s="1706" t="s">
        <v>735</v>
      </c>
      <c r="D85" s="981" t="s">
        <v>84</v>
      </c>
      <c r="E85" s="1442" t="s">
        <v>85</v>
      </c>
      <c r="F85" s="1418" t="s">
        <v>984</v>
      </c>
      <c r="G85" s="981" t="s">
        <v>711</v>
      </c>
      <c r="H85" s="984">
        <v>75</v>
      </c>
      <c r="I85" s="27"/>
      <c r="J85" s="25"/>
      <c r="K85" s="25"/>
    </row>
    <row r="86" spans="1:11" ht="12.75" hidden="1" customHeight="1">
      <c r="A86" s="1709" t="s">
        <v>305</v>
      </c>
      <c r="B86" s="1706" t="s">
        <v>993</v>
      </c>
      <c r="C86" s="1706" t="s">
        <v>349</v>
      </c>
      <c r="D86" s="981" t="s">
        <v>350</v>
      </c>
      <c r="E86" s="1442" t="s">
        <v>351</v>
      </c>
      <c r="F86" s="1418" t="s">
        <v>630</v>
      </c>
      <c r="G86" s="981" t="s">
        <v>503</v>
      </c>
      <c r="H86" s="984" t="s">
        <v>503</v>
      </c>
      <c r="I86" s="27"/>
      <c r="J86" s="25"/>
      <c r="K86" s="25"/>
    </row>
    <row r="87" spans="1:11" ht="12.75" hidden="1" customHeight="1">
      <c r="A87" s="1709" t="s">
        <v>306</v>
      </c>
      <c r="B87" s="1706" t="s">
        <v>993</v>
      </c>
      <c r="C87" s="1706" t="s">
        <v>1092</v>
      </c>
      <c r="D87" s="981" t="s">
        <v>350</v>
      </c>
      <c r="E87" s="1442" t="s">
        <v>351</v>
      </c>
      <c r="F87" s="1418" t="s">
        <v>642</v>
      </c>
      <c r="G87" s="981" t="s">
        <v>503</v>
      </c>
      <c r="H87" s="984">
        <v>75</v>
      </c>
      <c r="I87" s="27"/>
      <c r="J87" s="25"/>
      <c r="K87" s="25"/>
    </row>
    <row r="88" spans="1:11" ht="12.75" hidden="1" customHeight="1">
      <c r="A88" s="1709" t="s">
        <v>307</v>
      </c>
      <c r="B88" s="1706" t="s">
        <v>993</v>
      </c>
      <c r="C88" s="1706" t="s">
        <v>1092</v>
      </c>
      <c r="D88" s="981" t="s">
        <v>350</v>
      </c>
      <c r="E88" s="1442" t="s">
        <v>351</v>
      </c>
      <c r="F88" s="1418" t="s">
        <v>168</v>
      </c>
      <c r="G88" s="981" t="s">
        <v>503</v>
      </c>
      <c r="H88" s="984">
        <v>75</v>
      </c>
      <c r="I88" s="27"/>
      <c r="J88" s="25"/>
      <c r="K88" s="25"/>
    </row>
    <row r="89" spans="1:11" ht="12.75" hidden="1" customHeight="1">
      <c r="A89" s="1709" t="s">
        <v>308</v>
      </c>
      <c r="B89" s="1706" t="s">
        <v>979</v>
      </c>
      <c r="C89" s="1706" t="s">
        <v>349</v>
      </c>
      <c r="D89" s="981" t="s">
        <v>350</v>
      </c>
      <c r="E89" s="1442" t="s">
        <v>351</v>
      </c>
      <c r="F89" s="1435" t="s">
        <v>167</v>
      </c>
      <c r="G89" s="985" t="s">
        <v>652</v>
      </c>
      <c r="H89" s="986" t="s">
        <v>653</v>
      </c>
      <c r="I89" s="27"/>
      <c r="J89" s="25"/>
      <c r="K89" s="25"/>
    </row>
    <row r="90" spans="1:11" ht="12.75" hidden="1" customHeight="1">
      <c r="A90" s="1709" t="s">
        <v>311</v>
      </c>
      <c r="B90" s="1706" t="s">
        <v>979</v>
      </c>
      <c r="C90" s="1706" t="s">
        <v>349</v>
      </c>
      <c r="D90" s="981" t="s">
        <v>350</v>
      </c>
      <c r="E90" s="1442" t="s">
        <v>351</v>
      </c>
      <c r="F90" s="1435" t="s">
        <v>651</v>
      </c>
      <c r="G90" s="985" t="s">
        <v>503</v>
      </c>
      <c r="H90" s="986" t="s">
        <v>653</v>
      </c>
      <c r="I90" s="27"/>
      <c r="J90" s="25"/>
      <c r="K90" s="25"/>
    </row>
    <row r="91" spans="1:11" ht="12.75" hidden="1" customHeight="1">
      <c r="A91" s="1709"/>
      <c r="B91" s="1706"/>
      <c r="C91" s="1706"/>
      <c r="D91" s="981"/>
      <c r="E91" s="1442"/>
      <c r="F91" s="1435"/>
      <c r="G91" s="985"/>
      <c r="H91" s="986"/>
      <c r="I91" s="27"/>
      <c r="J91" s="25"/>
      <c r="K91" s="25"/>
    </row>
    <row r="92" spans="1:11" ht="12.75" hidden="1" customHeight="1">
      <c r="A92" s="1706">
        <v>2005</v>
      </c>
      <c r="B92" s="1706"/>
      <c r="C92" s="1706"/>
      <c r="D92" s="981"/>
      <c r="E92" s="1442"/>
      <c r="F92" s="1435"/>
      <c r="G92" s="985"/>
      <c r="H92" s="986"/>
      <c r="I92" s="27"/>
      <c r="J92" s="25"/>
      <c r="K92" s="25"/>
    </row>
    <row r="93" spans="1:11" ht="12.75" hidden="1" customHeight="1">
      <c r="A93" s="1709"/>
      <c r="B93" s="1706"/>
      <c r="C93" s="1706"/>
      <c r="D93" s="981"/>
      <c r="E93" s="1442"/>
      <c r="F93" s="1435"/>
      <c r="G93" s="985"/>
      <c r="H93" s="986"/>
      <c r="I93" s="27"/>
      <c r="J93" s="25"/>
      <c r="K93" s="25"/>
    </row>
    <row r="94" spans="1:11" ht="12.75" hidden="1" customHeight="1">
      <c r="A94" s="1709" t="s">
        <v>298</v>
      </c>
      <c r="B94" s="1706" t="s">
        <v>223</v>
      </c>
      <c r="C94" s="1706" t="s">
        <v>755</v>
      </c>
      <c r="D94" s="981" t="s">
        <v>350</v>
      </c>
      <c r="E94" s="1442" t="s">
        <v>757</v>
      </c>
      <c r="F94" s="1435" t="s">
        <v>77</v>
      </c>
      <c r="G94" s="985" t="s">
        <v>78</v>
      </c>
      <c r="H94" s="986" t="s">
        <v>79</v>
      </c>
      <c r="I94" s="27"/>
      <c r="J94" s="25"/>
      <c r="K94" s="25"/>
    </row>
    <row r="95" spans="1:11" ht="12.75" hidden="1" customHeight="1">
      <c r="A95" s="1709" t="s">
        <v>299</v>
      </c>
      <c r="B95" s="1721" t="s">
        <v>223</v>
      </c>
      <c r="C95" s="1706" t="s">
        <v>756</v>
      </c>
      <c r="D95" s="1443" t="s">
        <v>225</v>
      </c>
      <c r="E95" s="1443" t="s">
        <v>226</v>
      </c>
      <c r="F95" s="1418" t="s">
        <v>632</v>
      </c>
      <c r="G95" s="985" t="s">
        <v>450</v>
      </c>
      <c r="H95" s="984">
        <v>40</v>
      </c>
      <c r="I95" s="27"/>
      <c r="J95" s="25"/>
      <c r="K95" s="25"/>
    </row>
    <row r="96" spans="1:11" ht="12.75" hidden="1" customHeight="1">
      <c r="A96" s="1709" t="s">
        <v>300</v>
      </c>
      <c r="B96" s="1721" t="s">
        <v>223</v>
      </c>
      <c r="C96" s="1706" t="s">
        <v>224</v>
      </c>
      <c r="D96" s="981" t="s">
        <v>225</v>
      </c>
      <c r="E96" s="1442" t="s">
        <v>226</v>
      </c>
      <c r="F96" s="1418" t="s">
        <v>712</v>
      </c>
      <c r="G96" s="981" t="s">
        <v>608</v>
      </c>
      <c r="H96" s="984" t="s">
        <v>608</v>
      </c>
      <c r="I96" s="27"/>
      <c r="J96" s="25"/>
      <c r="K96" s="25"/>
    </row>
    <row r="97" spans="1:11" ht="12.75" hidden="1" customHeight="1">
      <c r="A97" s="1709" t="s">
        <v>301</v>
      </c>
      <c r="B97" s="1706" t="s">
        <v>223</v>
      </c>
      <c r="C97" s="1706" t="s">
        <v>992</v>
      </c>
      <c r="D97" s="981" t="s">
        <v>72</v>
      </c>
      <c r="E97" s="1442" t="s">
        <v>73</v>
      </c>
      <c r="F97" s="1418" t="s">
        <v>429</v>
      </c>
      <c r="G97" s="981" t="s">
        <v>509</v>
      </c>
      <c r="H97" s="984" t="s">
        <v>608</v>
      </c>
      <c r="I97" s="27"/>
      <c r="J97" s="25"/>
      <c r="K97" s="25"/>
    </row>
    <row r="98" spans="1:11" ht="12.75" hidden="1" customHeight="1">
      <c r="A98" s="1709" t="s">
        <v>302</v>
      </c>
      <c r="B98" s="1706" t="s">
        <v>223</v>
      </c>
      <c r="C98" s="1706" t="s">
        <v>543</v>
      </c>
      <c r="D98" s="981" t="s">
        <v>544</v>
      </c>
      <c r="E98" s="1442" t="s">
        <v>757</v>
      </c>
      <c r="F98" s="1418" t="s">
        <v>3</v>
      </c>
      <c r="G98" s="981" t="s">
        <v>509</v>
      </c>
      <c r="H98" s="984" t="s">
        <v>608</v>
      </c>
      <c r="I98" s="27"/>
      <c r="J98" s="25"/>
      <c r="K98" s="25"/>
    </row>
    <row r="99" spans="1:11" ht="12.75" hidden="1" customHeight="1">
      <c r="A99" s="1709" t="s">
        <v>303</v>
      </c>
      <c r="B99" s="1706" t="s">
        <v>685</v>
      </c>
      <c r="C99" s="1706" t="s">
        <v>686</v>
      </c>
      <c r="D99" s="981" t="s">
        <v>571</v>
      </c>
      <c r="E99" s="1442" t="s">
        <v>687</v>
      </c>
      <c r="F99" s="1418" t="s">
        <v>688</v>
      </c>
      <c r="G99" s="985" t="s">
        <v>608</v>
      </c>
      <c r="H99" s="984" t="s">
        <v>608</v>
      </c>
      <c r="I99" s="27"/>
      <c r="J99" s="25"/>
      <c r="K99" s="25"/>
    </row>
    <row r="100" spans="1:11" ht="12.75" hidden="1" customHeight="1">
      <c r="A100" s="1709" t="s">
        <v>304</v>
      </c>
      <c r="B100" s="1706" t="s">
        <v>685</v>
      </c>
      <c r="C100" s="1706" t="s">
        <v>371</v>
      </c>
      <c r="D100" s="981" t="s">
        <v>372</v>
      </c>
      <c r="E100" s="1442" t="s">
        <v>373</v>
      </c>
      <c r="F100" s="1418" t="s">
        <v>4</v>
      </c>
      <c r="G100" s="985" t="s">
        <v>608</v>
      </c>
      <c r="H100" s="984" t="s">
        <v>608</v>
      </c>
      <c r="I100" s="27"/>
      <c r="J100" s="25"/>
      <c r="K100" s="25"/>
    </row>
    <row r="101" spans="1:11" ht="12.75" hidden="1" customHeight="1">
      <c r="A101" s="1709" t="s">
        <v>305</v>
      </c>
      <c r="B101" s="1706" t="s">
        <v>1076</v>
      </c>
      <c r="C101" s="1706" t="s">
        <v>1095</v>
      </c>
      <c r="D101" s="981" t="s">
        <v>1096</v>
      </c>
      <c r="E101" s="1442" t="s">
        <v>1097</v>
      </c>
      <c r="F101" s="1435" t="s">
        <v>249</v>
      </c>
      <c r="G101" s="985" t="s">
        <v>608</v>
      </c>
      <c r="H101" s="986" t="s">
        <v>608</v>
      </c>
      <c r="I101" s="27"/>
      <c r="J101" s="25"/>
      <c r="K101" s="25"/>
    </row>
    <row r="102" spans="1:11" ht="12.75" hidden="1" customHeight="1">
      <c r="A102" s="1709" t="s">
        <v>306</v>
      </c>
      <c r="B102" s="1706" t="s">
        <v>974</v>
      </c>
      <c r="C102" s="1706" t="s">
        <v>1095</v>
      </c>
      <c r="D102" s="981" t="s">
        <v>1096</v>
      </c>
      <c r="E102" s="1442" t="s">
        <v>816</v>
      </c>
      <c r="F102" s="1435" t="s">
        <v>143</v>
      </c>
      <c r="G102" s="985" t="s">
        <v>608</v>
      </c>
      <c r="H102" s="986" t="s">
        <v>608</v>
      </c>
      <c r="I102" s="27"/>
      <c r="J102" s="25"/>
      <c r="K102" s="25"/>
    </row>
    <row r="103" spans="1:11" ht="12.75" hidden="1" customHeight="1">
      <c r="A103" s="1709" t="s">
        <v>307</v>
      </c>
      <c r="B103" s="1706" t="s">
        <v>774</v>
      </c>
      <c r="C103" s="1706" t="s">
        <v>759</v>
      </c>
      <c r="D103" s="981" t="s">
        <v>1096</v>
      </c>
      <c r="E103" s="1442" t="s">
        <v>816</v>
      </c>
      <c r="F103" s="1435" t="s">
        <v>310</v>
      </c>
      <c r="G103" s="985" t="s">
        <v>608</v>
      </c>
      <c r="H103" s="986" t="s">
        <v>608</v>
      </c>
      <c r="I103" s="27"/>
      <c r="J103" s="25"/>
      <c r="K103" s="25"/>
    </row>
    <row r="104" spans="1:11" ht="12.75" hidden="1" customHeight="1">
      <c r="A104" s="1709" t="s">
        <v>308</v>
      </c>
      <c r="B104" s="1706" t="s">
        <v>774</v>
      </c>
      <c r="C104" s="1706" t="s">
        <v>759</v>
      </c>
      <c r="D104" s="1418" t="s">
        <v>969</v>
      </c>
      <c r="E104" s="1442" t="s">
        <v>970</v>
      </c>
      <c r="F104" s="1418" t="s">
        <v>95</v>
      </c>
      <c r="G104" s="981" t="s">
        <v>608</v>
      </c>
      <c r="H104" s="984" t="s">
        <v>608</v>
      </c>
      <c r="I104" s="27"/>
      <c r="J104" s="25"/>
      <c r="K104" s="25"/>
    </row>
    <row r="105" spans="1:11" ht="12.75" hidden="1" customHeight="1">
      <c r="A105" s="1709" t="s">
        <v>311</v>
      </c>
      <c r="B105" s="1706" t="s">
        <v>774</v>
      </c>
      <c r="C105" s="1706" t="s">
        <v>376</v>
      </c>
      <c r="D105" s="981" t="s">
        <v>377</v>
      </c>
      <c r="E105" s="1442" t="s">
        <v>378</v>
      </c>
      <c r="F105" s="1435" t="s">
        <v>713</v>
      </c>
      <c r="G105" s="985" t="s">
        <v>608</v>
      </c>
      <c r="H105" s="986" t="s">
        <v>608</v>
      </c>
      <c r="I105" s="27"/>
      <c r="J105" s="25"/>
      <c r="K105" s="25"/>
    </row>
    <row r="106" spans="1:11" ht="12.75" hidden="1" customHeight="1">
      <c r="A106" s="1709"/>
      <c r="B106" s="1706"/>
      <c r="C106" s="1706"/>
      <c r="D106" s="981"/>
      <c r="E106" s="1442"/>
      <c r="F106" s="1435"/>
      <c r="G106" s="985"/>
      <c r="H106" s="986"/>
      <c r="I106" s="27"/>
      <c r="J106" s="25"/>
      <c r="K106" s="25"/>
    </row>
    <row r="107" spans="1:11" ht="12.75" hidden="1" customHeight="1">
      <c r="A107" s="1706">
        <v>2006</v>
      </c>
      <c r="B107" s="1706"/>
      <c r="C107" s="1706"/>
      <c r="D107" s="981"/>
      <c r="E107" s="1442"/>
      <c r="F107" s="1435"/>
      <c r="G107" s="985"/>
      <c r="H107" s="986"/>
      <c r="I107" s="27"/>
      <c r="J107" s="25"/>
      <c r="K107" s="25"/>
    </row>
    <row r="108" spans="1:11" ht="12.75" hidden="1" customHeight="1">
      <c r="A108" s="1709"/>
      <c r="B108" s="1706"/>
      <c r="C108" s="1706"/>
      <c r="D108" s="981"/>
      <c r="E108" s="1442"/>
      <c r="F108" s="1435"/>
      <c r="G108" s="985"/>
      <c r="H108" s="986"/>
      <c r="I108" s="27"/>
      <c r="J108" s="25"/>
      <c r="K108" s="25"/>
    </row>
    <row r="109" spans="1:11" ht="12.75" hidden="1" customHeight="1">
      <c r="A109" s="1709" t="s">
        <v>298</v>
      </c>
      <c r="B109" s="1706" t="s">
        <v>774</v>
      </c>
      <c r="C109" s="1706" t="s">
        <v>379</v>
      </c>
      <c r="D109" s="981" t="s">
        <v>377</v>
      </c>
      <c r="E109" s="1442" t="s">
        <v>380</v>
      </c>
      <c r="F109" s="1435" t="s">
        <v>714</v>
      </c>
      <c r="G109" s="985" t="s">
        <v>608</v>
      </c>
      <c r="H109" s="986" t="s">
        <v>608</v>
      </c>
      <c r="I109" s="27"/>
      <c r="J109" s="25"/>
      <c r="K109" s="25"/>
    </row>
    <row r="110" spans="1:11" ht="12.75" hidden="1" customHeight="1">
      <c r="A110" s="1709" t="s">
        <v>299</v>
      </c>
      <c r="B110" s="1706" t="s">
        <v>774</v>
      </c>
      <c r="C110" s="1706" t="s">
        <v>452</v>
      </c>
      <c r="D110" s="981" t="s">
        <v>453</v>
      </c>
      <c r="E110" s="1442" t="s">
        <v>380</v>
      </c>
      <c r="F110" s="1418" t="s">
        <v>456</v>
      </c>
      <c r="G110" s="981" t="s">
        <v>608</v>
      </c>
      <c r="H110" s="984" t="s">
        <v>608</v>
      </c>
      <c r="I110" s="27"/>
      <c r="J110" s="25"/>
      <c r="K110" s="25"/>
    </row>
    <row r="111" spans="1:11" ht="12.75" hidden="1" customHeight="1">
      <c r="A111" s="1709" t="s">
        <v>300</v>
      </c>
      <c r="B111" s="1706" t="s">
        <v>774</v>
      </c>
      <c r="C111" s="1706" t="s">
        <v>454</v>
      </c>
      <c r="D111" s="981" t="s">
        <v>377</v>
      </c>
      <c r="E111" s="1442" t="s">
        <v>455</v>
      </c>
      <c r="F111" s="1418" t="s">
        <v>457</v>
      </c>
      <c r="G111" s="981" t="s">
        <v>608</v>
      </c>
      <c r="H111" s="984" t="s">
        <v>608</v>
      </c>
      <c r="I111" s="27"/>
      <c r="J111" s="25"/>
      <c r="K111" s="25"/>
    </row>
    <row r="112" spans="1:11" ht="12.75" hidden="1" customHeight="1">
      <c r="A112" s="1709" t="s">
        <v>301</v>
      </c>
      <c r="B112" s="1706" t="s">
        <v>774</v>
      </c>
      <c r="C112" s="1706" t="s">
        <v>426</v>
      </c>
      <c r="D112" s="981" t="s">
        <v>427</v>
      </c>
      <c r="E112" s="1442" t="s">
        <v>428</v>
      </c>
      <c r="F112" s="1418" t="s">
        <v>398</v>
      </c>
      <c r="G112" s="981" t="s">
        <v>608</v>
      </c>
      <c r="H112" s="984" t="s">
        <v>608</v>
      </c>
      <c r="I112" s="27"/>
      <c r="J112" s="25"/>
      <c r="K112" s="25"/>
    </row>
    <row r="113" spans="1:11" ht="12.75" hidden="1" customHeight="1">
      <c r="A113" s="1709" t="s">
        <v>302</v>
      </c>
      <c r="B113" s="1706" t="s">
        <v>774</v>
      </c>
      <c r="C113" s="1706" t="s">
        <v>426</v>
      </c>
      <c r="D113" s="981" t="s">
        <v>427</v>
      </c>
      <c r="E113" s="1442" t="s">
        <v>428</v>
      </c>
      <c r="F113" s="1418" t="s">
        <v>400</v>
      </c>
      <c r="G113" s="981" t="s">
        <v>608</v>
      </c>
      <c r="H113" s="984" t="s">
        <v>608</v>
      </c>
      <c r="I113" s="27"/>
      <c r="J113" s="25"/>
      <c r="K113" s="25"/>
    </row>
    <row r="114" spans="1:11" ht="12.75" hidden="1" customHeight="1">
      <c r="A114" s="1709" t="s">
        <v>303</v>
      </c>
      <c r="B114" s="1706" t="s">
        <v>774</v>
      </c>
      <c r="C114" s="1706" t="s">
        <v>454</v>
      </c>
      <c r="D114" s="981" t="s">
        <v>427</v>
      </c>
      <c r="E114" s="1442" t="s">
        <v>428</v>
      </c>
      <c r="F114" s="1418" t="s">
        <v>399</v>
      </c>
      <c r="G114" s="981" t="s">
        <v>608</v>
      </c>
      <c r="H114" s="984" t="s">
        <v>608</v>
      </c>
      <c r="I114" s="27"/>
      <c r="J114" s="25"/>
      <c r="K114" s="25"/>
    </row>
    <row r="115" spans="1:11" ht="12.75" hidden="1" customHeight="1">
      <c r="A115" s="1709" t="s">
        <v>304</v>
      </c>
      <c r="B115" s="1706" t="s">
        <v>774</v>
      </c>
      <c r="C115" s="1706" t="s">
        <v>1093</v>
      </c>
      <c r="D115" s="981" t="s">
        <v>1094</v>
      </c>
      <c r="E115" s="1442" t="s">
        <v>428</v>
      </c>
      <c r="F115" s="1418" t="s">
        <v>456</v>
      </c>
      <c r="G115" s="981" t="s">
        <v>608</v>
      </c>
      <c r="H115" s="984" t="s">
        <v>608</v>
      </c>
      <c r="I115" s="27"/>
      <c r="J115" s="25"/>
      <c r="K115" s="25"/>
    </row>
    <row r="116" spans="1:11" ht="12.75" hidden="1" customHeight="1">
      <c r="A116" s="1709" t="s">
        <v>305</v>
      </c>
      <c r="B116" s="1706" t="s">
        <v>774</v>
      </c>
      <c r="C116" s="1706" t="s">
        <v>382</v>
      </c>
      <c r="D116" s="981" t="s">
        <v>383</v>
      </c>
      <c r="E116" s="1442" t="s">
        <v>384</v>
      </c>
      <c r="F116" s="1418" t="s">
        <v>222</v>
      </c>
      <c r="G116" s="981" t="s">
        <v>608</v>
      </c>
      <c r="H116" s="984" t="s">
        <v>608</v>
      </c>
      <c r="I116" s="27"/>
      <c r="J116" s="25"/>
      <c r="K116" s="25"/>
    </row>
    <row r="117" spans="1:11" ht="12.75" hidden="1" customHeight="1">
      <c r="A117" s="1709" t="s">
        <v>306</v>
      </c>
      <c r="B117" s="1706" t="s">
        <v>774</v>
      </c>
      <c r="C117" s="1706" t="s">
        <v>382</v>
      </c>
      <c r="D117" s="981" t="s">
        <v>988</v>
      </c>
      <c r="E117" s="1442" t="s">
        <v>384</v>
      </c>
      <c r="F117" s="1418" t="s">
        <v>989</v>
      </c>
      <c r="G117" s="981" t="s">
        <v>608</v>
      </c>
      <c r="H117" s="984" t="s">
        <v>608</v>
      </c>
      <c r="I117" s="27"/>
      <c r="J117" s="25"/>
      <c r="K117" s="25"/>
    </row>
    <row r="118" spans="1:11" ht="12.75" hidden="1" customHeight="1">
      <c r="A118" s="1709" t="s">
        <v>307</v>
      </c>
      <c r="B118" s="1706" t="s">
        <v>774</v>
      </c>
      <c r="C118" s="1706" t="s">
        <v>90</v>
      </c>
      <c r="D118" s="981" t="s">
        <v>91</v>
      </c>
      <c r="E118" s="1442" t="s">
        <v>92</v>
      </c>
      <c r="F118" s="1418" t="s">
        <v>93</v>
      </c>
      <c r="G118" s="981" t="s">
        <v>608</v>
      </c>
      <c r="H118" s="984" t="s">
        <v>608</v>
      </c>
      <c r="I118" s="27"/>
      <c r="J118" s="25"/>
      <c r="K118" s="25"/>
    </row>
    <row r="119" spans="1:11" ht="12.75" hidden="1" customHeight="1">
      <c r="A119" s="1709" t="s">
        <v>308</v>
      </c>
      <c r="B119" s="1706" t="s">
        <v>240</v>
      </c>
      <c r="C119" s="1706" t="s">
        <v>90</v>
      </c>
      <c r="D119" s="981" t="s">
        <v>91</v>
      </c>
      <c r="E119" s="1442" t="s">
        <v>92</v>
      </c>
      <c r="F119" s="1418" t="s">
        <v>802</v>
      </c>
      <c r="G119" s="981" t="s">
        <v>608</v>
      </c>
      <c r="H119" s="984" t="s">
        <v>608</v>
      </c>
      <c r="I119" s="27"/>
      <c r="J119" s="25"/>
      <c r="K119" s="25"/>
    </row>
    <row r="120" spans="1:11" ht="12.75" hidden="1" customHeight="1">
      <c r="A120" s="1709" t="s">
        <v>311</v>
      </c>
      <c r="B120" s="1706" t="s">
        <v>240</v>
      </c>
      <c r="C120" s="1706" t="s">
        <v>426</v>
      </c>
      <c r="D120" s="981" t="s">
        <v>241</v>
      </c>
      <c r="E120" s="1442" t="s">
        <v>92</v>
      </c>
      <c r="F120" s="1418" t="s">
        <v>178</v>
      </c>
      <c r="G120" s="981" t="s">
        <v>608</v>
      </c>
      <c r="H120" s="984" t="s">
        <v>608</v>
      </c>
      <c r="I120" s="27"/>
      <c r="J120" s="25"/>
      <c r="K120" s="25"/>
    </row>
    <row r="121" spans="1:11" ht="12.75" hidden="1" customHeight="1">
      <c r="A121" s="1709"/>
      <c r="B121" s="1706"/>
      <c r="C121" s="1706"/>
      <c r="D121" s="981"/>
      <c r="E121" s="1442"/>
      <c r="F121" s="1418"/>
      <c r="G121" s="981"/>
      <c r="H121" s="984"/>
      <c r="I121" s="27"/>
      <c r="J121" s="25"/>
      <c r="K121" s="25"/>
    </row>
    <row r="122" spans="1:11" ht="12.75" hidden="1" customHeight="1">
      <c r="A122" s="1706">
        <v>2007</v>
      </c>
      <c r="B122" s="1706"/>
      <c r="C122" s="1706"/>
      <c r="D122" s="981"/>
      <c r="E122" s="1442"/>
      <c r="F122" s="1418"/>
      <c r="G122" s="981"/>
      <c r="H122" s="984"/>
      <c r="I122" s="27"/>
      <c r="J122" s="25"/>
      <c r="K122" s="25"/>
    </row>
    <row r="123" spans="1:11" ht="12.75" hidden="1" customHeight="1">
      <c r="A123" s="1709"/>
      <c r="B123" s="1706"/>
      <c r="C123" s="1706"/>
      <c r="D123" s="981"/>
      <c r="E123" s="1442"/>
      <c r="F123" s="1418"/>
      <c r="G123" s="981"/>
      <c r="H123" s="984"/>
      <c r="I123" s="27"/>
      <c r="J123" s="25"/>
      <c r="K123" s="25"/>
    </row>
    <row r="124" spans="1:11" ht="12.75" hidden="1" customHeight="1">
      <c r="A124" s="1709" t="s">
        <v>298</v>
      </c>
      <c r="B124" s="1706" t="s">
        <v>81</v>
      </c>
      <c r="C124" s="1706" t="s">
        <v>1095</v>
      </c>
      <c r="D124" s="981" t="s">
        <v>82</v>
      </c>
      <c r="E124" s="1442" t="s">
        <v>616</v>
      </c>
      <c r="F124" s="1418" t="s">
        <v>182</v>
      </c>
      <c r="G124" s="981" t="s">
        <v>608</v>
      </c>
      <c r="H124" s="984" t="s">
        <v>608</v>
      </c>
      <c r="I124" s="27"/>
      <c r="J124" s="25"/>
      <c r="K124" s="25"/>
    </row>
    <row r="125" spans="1:11" ht="12.75" hidden="1" customHeight="1">
      <c r="A125" s="1709" t="s">
        <v>299</v>
      </c>
      <c r="B125" s="1706" t="s">
        <v>81</v>
      </c>
      <c r="C125" s="1706" t="s">
        <v>217</v>
      </c>
      <c r="D125" s="981" t="s">
        <v>82</v>
      </c>
      <c r="E125" s="1442" t="s">
        <v>617</v>
      </c>
      <c r="F125" s="1418" t="s">
        <v>170</v>
      </c>
      <c r="G125" s="981" t="s">
        <v>608</v>
      </c>
      <c r="H125" s="984" t="s">
        <v>608</v>
      </c>
      <c r="I125" s="27"/>
      <c r="J125" s="25"/>
      <c r="K125" s="25"/>
    </row>
    <row r="126" spans="1:11" ht="12.75" hidden="1" customHeight="1">
      <c r="A126" s="1709" t="s">
        <v>300</v>
      </c>
      <c r="B126" s="1706" t="s">
        <v>81</v>
      </c>
      <c r="C126" s="1706" t="s">
        <v>1095</v>
      </c>
      <c r="D126" s="981" t="s">
        <v>82</v>
      </c>
      <c r="E126" s="1442" t="s">
        <v>617</v>
      </c>
      <c r="F126" s="1418" t="s">
        <v>982</v>
      </c>
      <c r="G126" s="981" t="s">
        <v>608</v>
      </c>
      <c r="H126" s="984" t="s">
        <v>608</v>
      </c>
      <c r="I126" s="27"/>
      <c r="J126" s="25"/>
      <c r="K126" s="25"/>
    </row>
    <row r="127" spans="1:11" ht="12.75" hidden="1" customHeight="1">
      <c r="A127" s="1709" t="s">
        <v>301</v>
      </c>
      <c r="B127" s="1706" t="s">
        <v>81</v>
      </c>
      <c r="C127" s="1706" t="s">
        <v>845</v>
      </c>
      <c r="D127" s="981" t="s">
        <v>846</v>
      </c>
      <c r="E127" s="1442" t="s">
        <v>617</v>
      </c>
      <c r="F127" s="1418" t="s">
        <v>847</v>
      </c>
      <c r="G127" s="981" t="s">
        <v>608</v>
      </c>
      <c r="H127" s="984" t="s">
        <v>608</v>
      </c>
      <c r="I127" s="27"/>
      <c r="J127" s="25"/>
      <c r="K127" s="25"/>
    </row>
    <row r="128" spans="1:11" ht="12.75" hidden="1" customHeight="1">
      <c r="A128" s="1709" t="s">
        <v>302</v>
      </c>
      <c r="B128" s="1706" t="s">
        <v>81</v>
      </c>
      <c r="C128" s="1706" t="s">
        <v>845</v>
      </c>
      <c r="D128" s="981" t="s">
        <v>846</v>
      </c>
      <c r="E128" s="1442" t="s">
        <v>617</v>
      </c>
      <c r="F128" s="1418" t="s">
        <v>71</v>
      </c>
      <c r="G128" s="981" t="s">
        <v>608</v>
      </c>
      <c r="H128" s="984" t="s">
        <v>608</v>
      </c>
      <c r="I128" s="27"/>
      <c r="J128" s="25"/>
      <c r="K128" s="25"/>
    </row>
    <row r="129" spans="1:11" ht="12.75" hidden="1" customHeight="1">
      <c r="A129" s="1709" t="s">
        <v>303</v>
      </c>
      <c r="B129" s="1706" t="s">
        <v>227</v>
      </c>
      <c r="C129" s="1706" t="s">
        <v>1095</v>
      </c>
      <c r="D129" s="981" t="s">
        <v>846</v>
      </c>
      <c r="E129" s="1442" t="s">
        <v>617</v>
      </c>
      <c r="F129" s="1418" t="s">
        <v>33</v>
      </c>
      <c r="G129" s="981" t="s">
        <v>608</v>
      </c>
      <c r="H129" s="984" t="s">
        <v>608</v>
      </c>
      <c r="I129" s="27"/>
      <c r="J129" s="25"/>
      <c r="K129" s="25"/>
    </row>
    <row r="130" spans="1:11" ht="12.75" hidden="1" customHeight="1">
      <c r="A130" s="1709" t="s">
        <v>304</v>
      </c>
      <c r="B130" s="1706" t="s">
        <v>227</v>
      </c>
      <c r="C130" s="1706" t="s">
        <v>1095</v>
      </c>
      <c r="D130" s="981" t="s">
        <v>846</v>
      </c>
      <c r="E130" s="1442" t="s">
        <v>617</v>
      </c>
      <c r="F130" s="1418" t="s">
        <v>1104</v>
      </c>
      <c r="G130" s="981" t="s">
        <v>608</v>
      </c>
      <c r="H130" s="984" t="s">
        <v>608</v>
      </c>
      <c r="I130" s="27"/>
      <c r="J130" s="25"/>
      <c r="K130" s="25"/>
    </row>
    <row r="131" spans="1:11" ht="12.75" hidden="1" customHeight="1">
      <c r="A131" s="1709" t="s">
        <v>305</v>
      </c>
      <c r="B131" s="1706" t="s">
        <v>227</v>
      </c>
      <c r="C131" s="1706" t="s">
        <v>1095</v>
      </c>
      <c r="D131" s="981" t="s">
        <v>846</v>
      </c>
      <c r="E131" s="1442" t="s">
        <v>617</v>
      </c>
      <c r="F131" s="1418" t="s">
        <v>177</v>
      </c>
      <c r="G131" s="981" t="s">
        <v>608</v>
      </c>
      <c r="H131" s="984" t="s">
        <v>608</v>
      </c>
      <c r="I131" s="27"/>
      <c r="J131" s="25"/>
      <c r="K131" s="25"/>
    </row>
    <row r="132" spans="1:11" ht="12.75" hidden="1" customHeight="1">
      <c r="A132" s="1709" t="s">
        <v>306</v>
      </c>
      <c r="B132" s="1706" t="s">
        <v>227</v>
      </c>
      <c r="C132" s="1706" t="s">
        <v>919</v>
      </c>
      <c r="D132" s="981" t="s">
        <v>918</v>
      </c>
      <c r="E132" s="1442" t="s">
        <v>92</v>
      </c>
      <c r="F132" s="1418" t="s">
        <v>71</v>
      </c>
      <c r="G132" s="981" t="s">
        <v>608</v>
      </c>
      <c r="H132" s="984" t="s">
        <v>608</v>
      </c>
      <c r="I132" s="27"/>
      <c r="J132" s="25"/>
      <c r="K132" s="25"/>
    </row>
    <row r="133" spans="1:11" ht="12.75" hidden="1" customHeight="1">
      <c r="A133" s="1709" t="s">
        <v>307</v>
      </c>
      <c r="B133" s="1706" t="s">
        <v>227</v>
      </c>
      <c r="C133" s="1706" t="s">
        <v>920</v>
      </c>
      <c r="D133" s="981" t="s">
        <v>921</v>
      </c>
      <c r="E133" s="1442" t="s">
        <v>617</v>
      </c>
      <c r="F133" s="1418" t="s">
        <v>922</v>
      </c>
      <c r="G133" s="981" t="s">
        <v>608</v>
      </c>
      <c r="H133" s="984" t="s">
        <v>608</v>
      </c>
      <c r="I133" s="27"/>
      <c r="J133" s="25"/>
      <c r="K133" s="25"/>
    </row>
    <row r="134" spans="1:11" ht="12.75" hidden="1" customHeight="1">
      <c r="A134" s="1709" t="s">
        <v>308</v>
      </c>
      <c r="B134" s="1706" t="s">
        <v>227</v>
      </c>
      <c r="C134" s="1706" t="s">
        <v>371</v>
      </c>
      <c r="D134" s="981" t="s">
        <v>846</v>
      </c>
      <c r="E134" s="1442" t="s">
        <v>617</v>
      </c>
      <c r="F134" s="1418" t="s">
        <v>923</v>
      </c>
      <c r="G134" s="981" t="s">
        <v>608</v>
      </c>
      <c r="H134" s="984" t="s">
        <v>608</v>
      </c>
      <c r="I134" s="27"/>
      <c r="J134" s="25"/>
      <c r="K134" s="25"/>
    </row>
    <row r="135" spans="1:11" ht="12.75" hidden="1" customHeight="1">
      <c r="A135" s="1709" t="s">
        <v>311</v>
      </c>
      <c r="B135" s="1706" t="s">
        <v>114</v>
      </c>
      <c r="C135" s="1706" t="s">
        <v>371</v>
      </c>
      <c r="D135" s="981" t="s">
        <v>846</v>
      </c>
      <c r="E135" s="1442" t="s">
        <v>617</v>
      </c>
      <c r="F135" s="1418" t="s">
        <v>922</v>
      </c>
      <c r="G135" s="981" t="s">
        <v>608</v>
      </c>
      <c r="H135" s="984" t="s">
        <v>608</v>
      </c>
      <c r="I135" s="27"/>
      <c r="J135" s="25"/>
      <c r="K135" s="25"/>
    </row>
    <row r="136" spans="1:11" ht="12.75" hidden="1" customHeight="1">
      <c r="A136" s="1709"/>
      <c r="B136" s="1706"/>
      <c r="C136" s="1706"/>
      <c r="D136" s="981"/>
      <c r="E136" s="1442"/>
      <c r="F136" s="1418"/>
      <c r="G136" s="981"/>
      <c r="H136" s="984"/>
      <c r="I136" s="27"/>
      <c r="J136" s="25"/>
      <c r="K136" s="25"/>
    </row>
    <row r="137" spans="1:11" ht="12.75" hidden="1" customHeight="1">
      <c r="A137" s="1706">
        <v>2008</v>
      </c>
      <c r="B137" s="1706"/>
      <c r="C137" s="1706"/>
      <c r="D137" s="981"/>
      <c r="E137" s="1442"/>
      <c r="F137" s="1418"/>
      <c r="G137" s="981"/>
      <c r="H137" s="984"/>
      <c r="I137" s="27"/>
      <c r="J137" s="25"/>
      <c r="K137" s="25"/>
    </row>
    <row r="138" spans="1:11" ht="12.75" hidden="1" customHeight="1">
      <c r="A138" s="1709"/>
      <c r="B138" s="1706"/>
      <c r="C138" s="1706"/>
      <c r="D138" s="981"/>
      <c r="E138" s="1442"/>
      <c r="F138" s="1418"/>
      <c r="G138" s="981"/>
      <c r="H138" s="984"/>
      <c r="I138" s="27"/>
      <c r="J138" s="25"/>
      <c r="K138" s="25"/>
    </row>
    <row r="139" spans="1:11" ht="12.75" hidden="1" customHeight="1">
      <c r="A139" s="1709" t="s">
        <v>298</v>
      </c>
      <c r="B139" s="1706" t="s">
        <v>114</v>
      </c>
      <c r="C139" s="1706" t="s">
        <v>1095</v>
      </c>
      <c r="D139" s="981" t="s">
        <v>846</v>
      </c>
      <c r="E139" s="1442" t="s">
        <v>617</v>
      </c>
      <c r="F139" s="1418" t="s">
        <v>115</v>
      </c>
      <c r="G139" s="981" t="s">
        <v>608</v>
      </c>
      <c r="H139" s="984" t="s">
        <v>608</v>
      </c>
      <c r="I139" s="27"/>
      <c r="J139" s="25"/>
      <c r="K139" s="25"/>
    </row>
    <row r="140" spans="1:11" ht="12.75" hidden="1" customHeight="1">
      <c r="A140" s="1709" t="s">
        <v>299</v>
      </c>
      <c r="B140" s="1706" t="s">
        <v>114</v>
      </c>
      <c r="C140" s="1706" t="s">
        <v>845</v>
      </c>
      <c r="D140" s="981" t="s">
        <v>93</v>
      </c>
      <c r="E140" s="1442" t="s">
        <v>617</v>
      </c>
      <c r="F140" s="1418" t="s">
        <v>394</v>
      </c>
      <c r="G140" s="981" t="s">
        <v>608</v>
      </c>
      <c r="H140" s="984" t="s">
        <v>608</v>
      </c>
      <c r="I140" s="27"/>
      <c r="J140" s="25"/>
      <c r="K140" s="25"/>
    </row>
    <row r="141" spans="1:11" ht="12.75" hidden="1" customHeight="1">
      <c r="A141" s="1709" t="s">
        <v>300</v>
      </c>
      <c r="B141" s="1706" t="s">
        <v>114</v>
      </c>
      <c r="C141" s="1706" t="s">
        <v>845</v>
      </c>
      <c r="D141" s="981" t="s">
        <v>918</v>
      </c>
      <c r="E141" s="1442" t="s">
        <v>617</v>
      </c>
      <c r="F141" s="1418" t="s">
        <v>71</v>
      </c>
      <c r="G141" s="981" t="s">
        <v>608</v>
      </c>
      <c r="H141" s="984" t="s">
        <v>608</v>
      </c>
      <c r="I141" s="27"/>
      <c r="J141" s="25"/>
      <c r="K141" s="25"/>
    </row>
    <row r="142" spans="1:11" ht="12.75" hidden="1" customHeight="1">
      <c r="A142" s="1709" t="s">
        <v>301</v>
      </c>
      <c r="B142" s="1706" t="s">
        <v>114</v>
      </c>
      <c r="C142" s="1706" t="s">
        <v>532</v>
      </c>
      <c r="D142" s="981" t="s">
        <v>918</v>
      </c>
      <c r="E142" s="1442" t="s">
        <v>617</v>
      </c>
      <c r="F142" s="1418" t="s">
        <v>533</v>
      </c>
      <c r="G142" s="981" t="s">
        <v>608</v>
      </c>
      <c r="H142" s="984" t="s">
        <v>608</v>
      </c>
      <c r="I142" s="27"/>
      <c r="J142" s="25"/>
      <c r="K142" s="25"/>
    </row>
    <row r="143" spans="1:11" ht="12.75" hidden="1" customHeight="1">
      <c r="A143" s="1709" t="s">
        <v>302</v>
      </c>
      <c r="B143" s="1706" t="s">
        <v>114</v>
      </c>
      <c r="C143" s="1706" t="s">
        <v>781</v>
      </c>
      <c r="D143" s="981" t="s">
        <v>918</v>
      </c>
      <c r="E143" s="1442" t="s">
        <v>617</v>
      </c>
      <c r="F143" s="1418" t="s">
        <v>776</v>
      </c>
      <c r="G143" s="981" t="s">
        <v>608</v>
      </c>
      <c r="H143" s="984" t="s">
        <v>608</v>
      </c>
      <c r="I143" s="27"/>
      <c r="J143" s="25"/>
      <c r="K143" s="25"/>
    </row>
    <row r="144" spans="1:11" ht="12.75" hidden="1" customHeight="1">
      <c r="A144" s="1709" t="s">
        <v>303</v>
      </c>
      <c r="B144" s="1706" t="s">
        <v>779</v>
      </c>
      <c r="C144" s="1706" t="s">
        <v>1095</v>
      </c>
      <c r="D144" s="981" t="s">
        <v>918</v>
      </c>
      <c r="E144" s="1442" t="s">
        <v>617</v>
      </c>
      <c r="F144" s="1418" t="s">
        <v>183</v>
      </c>
      <c r="G144" s="981" t="s">
        <v>608</v>
      </c>
      <c r="H144" s="984" t="s">
        <v>608</v>
      </c>
      <c r="I144" s="27"/>
      <c r="J144" s="25"/>
      <c r="K144" s="25"/>
    </row>
    <row r="145" spans="1:11" ht="12.75" hidden="1" customHeight="1">
      <c r="A145" s="1709" t="s">
        <v>304</v>
      </c>
      <c r="B145" s="1706" t="s">
        <v>779</v>
      </c>
      <c r="C145" s="1706" t="s">
        <v>1095</v>
      </c>
      <c r="D145" s="981" t="s">
        <v>918</v>
      </c>
      <c r="E145" s="1442" t="s">
        <v>617</v>
      </c>
      <c r="F145" s="1418" t="s">
        <v>183</v>
      </c>
      <c r="G145" s="981" t="s">
        <v>608</v>
      </c>
      <c r="H145" s="984" t="s">
        <v>608</v>
      </c>
      <c r="I145" s="27"/>
      <c r="J145" s="25"/>
      <c r="K145" s="25"/>
    </row>
    <row r="146" spans="1:11" ht="12.75" hidden="1" customHeight="1">
      <c r="A146" s="1709" t="s">
        <v>305</v>
      </c>
      <c r="B146" s="1706" t="s">
        <v>779</v>
      </c>
      <c r="C146" s="1706" t="s">
        <v>845</v>
      </c>
      <c r="D146" s="981" t="s">
        <v>780</v>
      </c>
      <c r="E146" s="1442" t="s">
        <v>617</v>
      </c>
      <c r="F146" s="1418" t="s">
        <v>777</v>
      </c>
      <c r="G146" s="981" t="s">
        <v>608</v>
      </c>
      <c r="H146" s="984" t="s">
        <v>608</v>
      </c>
      <c r="I146" s="27"/>
      <c r="J146" s="25"/>
      <c r="K146" s="25"/>
    </row>
    <row r="147" spans="1:11" ht="12.75" hidden="1" customHeight="1">
      <c r="A147" s="1709" t="s">
        <v>306</v>
      </c>
      <c r="B147" s="1706" t="s">
        <v>779</v>
      </c>
      <c r="C147" s="1706" t="s">
        <v>845</v>
      </c>
      <c r="D147" s="981" t="s">
        <v>780</v>
      </c>
      <c r="E147" s="1442" t="s">
        <v>782</v>
      </c>
      <c r="F147" s="1418" t="s">
        <v>439</v>
      </c>
      <c r="G147" s="981" t="s">
        <v>608</v>
      </c>
      <c r="H147" s="984" t="s">
        <v>608</v>
      </c>
      <c r="I147" s="27"/>
      <c r="J147" s="25"/>
      <c r="K147" s="25"/>
    </row>
    <row r="148" spans="1:11" ht="12.75" hidden="1" customHeight="1">
      <c r="A148" s="1709" t="s">
        <v>307</v>
      </c>
      <c r="B148" s="1706" t="s">
        <v>779</v>
      </c>
      <c r="C148" s="1706" t="s">
        <v>845</v>
      </c>
      <c r="D148" s="981" t="s">
        <v>780</v>
      </c>
      <c r="E148" s="1442" t="s">
        <v>617</v>
      </c>
      <c r="F148" s="1418" t="s">
        <v>778</v>
      </c>
      <c r="G148" s="981" t="s">
        <v>608</v>
      </c>
      <c r="H148" s="984" t="s">
        <v>608</v>
      </c>
      <c r="I148" s="27"/>
      <c r="J148" s="25"/>
      <c r="K148" s="25"/>
    </row>
    <row r="149" spans="1:11" ht="12.75" hidden="1" customHeight="1">
      <c r="A149" s="1709" t="s">
        <v>308</v>
      </c>
      <c r="B149" s="1706" t="s">
        <v>779</v>
      </c>
      <c r="C149" s="1706" t="s">
        <v>845</v>
      </c>
      <c r="D149" s="981" t="s">
        <v>732</v>
      </c>
      <c r="E149" s="1442" t="s">
        <v>731</v>
      </c>
      <c r="F149" s="1418" t="s">
        <v>730</v>
      </c>
      <c r="G149" s="981" t="s">
        <v>608</v>
      </c>
      <c r="H149" s="984" t="s">
        <v>608</v>
      </c>
      <c r="I149" s="27"/>
      <c r="J149" s="25"/>
      <c r="K149" s="25"/>
    </row>
    <row r="150" spans="1:11" ht="12.75" hidden="1" customHeight="1">
      <c r="A150" s="1709" t="s">
        <v>311</v>
      </c>
      <c r="B150" s="1706" t="s">
        <v>779</v>
      </c>
      <c r="C150" s="1706" t="s">
        <v>845</v>
      </c>
      <c r="D150" s="981" t="s">
        <v>732</v>
      </c>
      <c r="E150" s="1442" t="s">
        <v>733</v>
      </c>
      <c r="F150" s="1418" t="s">
        <v>730</v>
      </c>
      <c r="G150" s="981" t="s">
        <v>608</v>
      </c>
      <c r="H150" s="984" t="s">
        <v>608</v>
      </c>
      <c r="I150" s="27"/>
      <c r="J150" s="25"/>
      <c r="K150" s="25"/>
    </row>
    <row r="151" spans="1:11" ht="12.75" hidden="1" customHeight="1">
      <c r="A151" s="1709"/>
      <c r="B151" s="1706"/>
      <c r="C151" s="1706"/>
      <c r="D151" s="981"/>
      <c r="E151" s="1442"/>
      <c r="F151" s="1418"/>
      <c r="G151" s="981"/>
      <c r="H151" s="984"/>
      <c r="I151" s="27"/>
      <c r="J151" s="25"/>
      <c r="K151" s="25"/>
    </row>
    <row r="152" spans="1:11" ht="12.75" hidden="1" customHeight="1">
      <c r="A152" s="1709"/>
      <c r="B152" s="1706"/>
      <c r="C152" s="1706"/>
      <c r="D152" s="981"/>
      <c r="E152" s="1442"/>
      <c r="F152" s="1418"/>
      <c r="G152" s="981"/>
      <c r="H152" s="984"/>
      <c r="I152" s="27"/>
      <c r="J152" s="25"/>
      <c r="K152" s="25"/>
    </row>
    <row r="153" spans="1:11" ht="12.75" hidden="1" customHeight="1">
      <c r="A153" s="1709"/>
      <c r="B153" s="1706"/>
      <c r="C153" s="1706"/>
      <c r="D153" s="981"/>
      <c r="E153" s="1442"/>
      <c r="F153" s="1418"/>
      <c r="G153" s="981"/>
      <c r="H153" s="984"/>
      <c r="I153" s="27"/>
      <c r="J153" s="25"/>
      <c r="K153" s="25"/>
    </row>
    <row r="154" spans="1:11" ht="12.75" hidden="1" customHeight="1">
      <c r="A154" s="1710">
        <v>2009</v>
      </c>
      <c r="B154" s="1706"/>
      <c r="C154" s="1706"/>
      <c r="D154" s="981"/>
      <c r="E154" s="1442"/>
      <c r="F154" s="1418"/>
      <c r="G154" s="981"/>
      <c r="H154" s="984"/>
      <c r="I154" s="27"/>
      <c r="J154" s="25"/>
      <c r="K154" s="25"/>
    </row>
    <row r="155" spans="1:11" ht="12.75" hidden="1" customHeight="1">
      <c r="A155" s="1709"/>
      <c r="B155" s="1706"/>
      <c r="C155" s="1706"/>
      <c r="D155" s="981"/>
      <c r="E155" s="1442"/>
      <c r="F155" s="1418"/>
      <c r="G155" s="981"/>
      <c r="H155" s="984"/>
      <c r="I155" s="27"/>
      <c r="J155" s="25"/>
      <c r="K155" s="25"/>
    </row>
    <row r="156" spans="1:11" ht="12.75" hidden="1" customHeight="1">
      <c r="A156" s="1709"/>
      <c r="B156" s="1706"/>
      <c r="C156" s="1706"/>
      <c r="D156" s="981"/>
      <c r="E156" s="1442"/>
      <c r="F156" s="1418"/>
      <c r="G156" s="981"/>
      <c r="H156" s="984"/>
      <c r="I156" s="27"/>
      <c r="J156" s="25"/>
      <c r="K156" s="25"/>
    </row>
    <row r="157" spans="1:11" ht="12.75" hidden="1" customHeight="1">
      <c r="A157" s="1709"/>
      <c r="B157" s="1706"/>
      <c r="C157" s="1706"/>
      <c r="D157" s="981"/>
      <c r="E157" s="1442"/>
      <c r="F157" s="1418"/>
      <c r="G157" s="981"/>
      <c r="H157" s="984"/>
      <c r="I157" s="27"/>
      <c r="J157" s="25"/>
      <c r="K157" s="25"/>
    </row>
    <row r="158" spans="1:11" ht="12.75" hidden="1" customHeight="1">
      <c r="A158" s="1709" t="s">
        <v>300</v>
      </c>
      <c r="B158" s="1706" t="s">
        <v>722</v>
      </c>
      <c r="C158" s="1706" t="s">
        <v>723</v>
      </c>
      <c r="D158" s="981" t="s">
        <v>724</v>
      </c>
      <c r="E158" s="1442" t="s">
        <v>724</v>
      </c>
      <c r="F158" s="1418" t="s">
        <v>470</v>
      </c>
      <c r="G158" s="981" t="s">
        <v>724</v>
      </c>
      <c r="H158" s="980" t="s">
        <v>724</v>
      </c>
      <c r="I158" s="27"/>
      <c r="J158" s="25"/>
      <c r="K158" s="25"/>
    </row>
    <row r="159" spans="1:11" ht="12.75" hidden="1" customHeight="1">
      <c r="A159" s="1709" t="s">
        <v>301</v>
      </c>
      <c r="B159" s="1706" t="s">
        <v>722</v>
      </c>
      <c r="C159" s="1706" t="s">
        <v>725</v>
      </c>
      <c r="D159" s="981" t="s">
        <v>726</v>
      </c>
      <c r="E159" s="1442" t="s">
        <v>724</v>
      </c>
      <c r="F159" s="1418" t="s">
        <v>472</v>
      </c>
      <c r="G159" s="981" t="s">
        <v>724</v>
      </c>
      <c r="H159" s="980" t="s">
        <v>724</v>
      </c>
      <c r="I159" s="27"/>
      <c r="J159" s="25"/>
      <c r="K159" s="25"/>
    </row>
    <row r="160" spans="1:11" ht="12.75" hidden="1" customHeight="1">
      <c r="A160" s="1709" t="s">
        <v>302</v>
      </c>
      <c r="B160" s="1706" t="s">
        <v>722</v>
      </c>
      <c r="C160" s="1706" t="s">
        <v>727</v>
      </c>
      <c r="D160" s="981" t="s">
        <v>728</v>
      </c>
      <c r="E160" s="1442" t="s">
        <v>724</v>
      </c>
      <c r="F160" s="1418" t="s">
        <v>471</v>
      </c>
      <c r="G160" s="981" t="s">
        <v>724</v>
      </c>
      <c r="H160" s="980" t="s">
        <v>724</v>
      </c>
      <c r="I160" s="27"/>
      <c r="J160" s="25"/>
      <c r="K160" s="25"/>
    </row>
    <row r="161" spans="1:11" ht="12.75" hidden="1" customHeight="1">
      <c r="A161" s="1709" t="s">
        <v>303</v>
      </c>
      <c r="B161" s="1706" t="s">
        <v>722</v>
      </c>
      <c r="C161" s="1706" t="s">
        <v>729</v>
      </c>
      <c r="D161" s="981" t="s">
        <v>728</v>
      </c>
      <c r="E161" s="1442" t="s">
        <v>724</v>
      </c>
      <c r="F161" s="1418" t="s">
        <v>979</v>
      </c>
      <c r="G161" s="981" t="s">
        <v>724</v>
      </c>
      <c r="H161" s="980" t="s">
        <v>724</v>
      </c>
      <c r="I161" s="27"/>
      <c r="J161" s="25"/>
      <c r="K161" s="25"/>
    </row>
    <row r="162" spans="1:11" ht="12.75" hidden="1" customHeight="1">
      <c r="A162" s="1709" t="s">
        <v>304</v>
      </c>
      <c r="B162" s="1706" t="s">
        <v>722</v>
      </c>
      <c r="C162" s="1706" t="s">
        <v>900</v>
      </c>
      <c r="D162" s="981"/>
      <c r="E162" s="1442"/>
      <c r="F162" s="1418" t="s">
        <v>784</v>
      </c>
      <c r="G162" s="981"/>
      <c r="H162" s="984"/>
      <c r="I162" s="27"/>
      <c r="J162" s="25"/>
      <c r="K162" s="25"/>
    </row>
    <row r="163" spans="1:11" ht="12.75" hidden="1" customHeight="1" thickBot="1">
      <c r="A163" s="1709" t="s">
        <v>305</v>
      </c>
      <c r="B163" s="1706" t="s">
        <v>722</v>
      </c>
      <c r="C163" s="1706" t="s">
        <v>367</v>
      </c>
      <c r="D163" s="981"/>
      <c r="E163" s="1442"/>
      <c r="F163" s="1418" t="s">
        <v>368</v>
      </c>
      <c r="G163" s="991"/>
      <c r="H163" s="992"/>
      <c r="I163" s="27"/>
      <c r="J163" s="25"/>
      <c r="K163" s="25"/>
    </row>
    <row r="164" spans="1:11" ht="12.75" hidden="1" customHeight="1" thickTop="1">
      <c r="A164" s="1709" t="s">
        <v>306</v>
      </c>
      <c r="B164" s="1706" t="s">
        <v>722</v>
      </c>
      <c r="C164" s="1706" t="s">
        <v>367</v>
      </c>
      <c r="D164" s="981"/>
      <c r="E164" s="1442"/>
      <c r="F164" s="1418" t="s">
        <v>369</v>
      </c>
      <c r="G164" s="985"/>
      <c r="H164" s="993"/>
      <c r="I164" s="27"/>
      <c r="J164" s="25"/>
      <c r="K164" s="25"/>
    </row>
    <row r="165" spans="1:11" ht="12.75" hidden="1" customHeight="1">
      <c r="A165" s="1709" t="s">
        <v>307</v>
      </c>
      <c r="B165" s="1706" t="s">
        <v>722</v>
      </c>
      <c r="C165" s="1706" t="s">
        <v>367</v>
      </c>
      <c r="D165" s="981"/>
      <c r="E165" s="1442"/>
      <c r="F165" s="1418" t="s">
        <v>370</v>
      </c>
      <c r="G165" s="985"/>
      <c r="H165" s="993"/>
      <c r="I165" s="27"/>
      <c r="J165" s="25"/>
      <c r="K165" s="25"/>
    </row>
    <row r="166" spans="1:11" ht="12.75" hidden="1" customHeight="1">
      <c r="A166" s="1709" t="s">
        <v>308</v>
      </c>
      <c r="B166" s="1706" t="s">
        <v>722</v>
      </c>
      <c r="C166" s="1706" t="s">
        <v>367</v>
      </c>
      <c r="D166" s="981"/>
      <c r="E166" s="1442"/>
      <c r="F166" s="1418" t="s">
        <v>727</v>
      </c>
      <c r="G166" s="985"/>
      <c r="H166" s="993"/>
      <c r="I166" s="27"/>
      <c r="J166" s="25"/>
      <c r="K166" s="25"/>
    </row>
    <row r="167" spans="1:11" ht="12.75" hidden="1" customHeight="1">
      <c r="A167" s="1709" t="s">
        <v>311</v>
      </c>
      <c r="B167" s="1706" t="s">
        <v>722</v>
      </c>
      <c r="C167" s="1706" t="s">
        <v>353</v>
      </c>
      <c r="D167" s="981"/>
      <c r="E167" s="1442"/>
      <c r="F167" s="1418" t="s">
        <v>187</v>
      </c>
      <c r="G167" s="985"/>
      <c r="H167" s="993"/>
      <c r="I167" s="27"/>
      <c r="J167" s="25"/>
      <c r="K167" s="25"/>
    </row>
    <row r="168" spans="1:11" ht="12.75" hidden="1" customHeight="1">
      <c r="A168" s="1709"/>
      <c r="B168" s="1706"/>
      <c r="C168" s="1706"/>
      <c r="D168" s="981"/>
      <c r="E168" s="1442"/>
      <c r="F168" s="1418"/>
      <c r="G168" s="985"/>
      <c r="H168" s="993"/>
      <c r="I168" s="27"/>
      <c r="J168" s="25"/>
      <c r="K168" s="25"/>
    </row>
    <row r="169" spans="1:11" ht="12.75" hidden="1" customHeight="1">
      <c r="A169" s="1710">
        <v>2010</v>
      </c>
      <c r="B169" s="1706"/>
      <c r="C169" s="1706"/>
      <c r="D169" s="981"/>
      <c r="E169" s="1442"/>
      <c r="F169" s="1418"/>
      <c r="G169" s="985"/>
      <c r="H169" s="993"/>
      <c r="I169" s="27"/>
      <c r="J169" s="25"/>
      <c r="K169" s="25"/>
    </row>
    <row r="170" spans="1:11" ht="12.75" hidden="1" customHeight="1">
      <c r="A170" s="1709"/>
      <c r="B170" s="1706"/>
      <c r="C170" s="1706"/>
      <c r="D170" s="981"/>
      <c r="E170" s="1442"/>
      <c r="F170" s="1418"/>
      <c r="G170" s="985"/>
      <c r="H170" s="993"/>
      <c r="I170" s="27"/>
      <c r="J170" s="25"/>
      <c r="K170" s="25"/>
    </row>
    <row r="171" spans="1:11" ht="12.75" hidden="1" customHeight="1">
      <c r="A171" s="1709" t="s">
        <v>298</v>
      </c>
      <c r="B171" s="1706" t="s">
        <v>354</v>
      </c>
      <c r="C171" s="1706" t="s">
        <v>353</v>
      </c>
      <c r="D171" s="981"/>
      <c r="E171" s="1442"/>
      <c r="F171" s="1418" t="s">
        <v>187</v>
      </c>
      <c r="G171" s="985"/>
      <c r="H171" s="993"/>
      <c r="I171" s="27"/>
      <c r="J171" s="25"/>
      <c r="K171" s="25"/>
    </row>
    <row r="172" spans="1:11" ht="12.75" hidden="1" customHeight="1">
      <c r="A172" s="1709" t="s">
        <v>299</v>
      </c>
      <c r="B172" s="1706" t="s">
        <v>354</v>
      </c>
      <c r="C172" s="1706" t="s">
        <v>858</v>
      </c>
      <c r="D172" s="981"/>
      <c r="E172" s="1442"/>
      <c r="F172" s="1418" t="s">
        <v>924</v>
      </c>
      <c r="G172" s="985"/>
      <c r="H172" s="993"/>
      <c r="I172" s="27"/>
      <c r="J172" s="25"/>
      <c r="K172" s="25"/>
    </row>
    <row r="173" spans="1:11" ht="12.75" hidden="1" customHeight="1">
      <c r="A173" s="1709" t="s">
        <v>300</v>
      </c>
      <c r="B173" s="1706" t="s">
        <v>354</v>
      </c>
      <c r="C173" s="1706" t="s">
        <v>223</v>
      </c>
      <c r="D173" s="981"/>
      <c r="E173" s="1442"/>
      <c r="F173" s="1418" t="s">
        <v>539</v>
      </c>
      <c r="G173" s="985"/>
      <c r="H173" s="993"/>
      <c r="I173" s="27"/>
      <c r="J173" s="25"/>
      <c r="K173" s="25"/>
    </row>
    <row r="174" spans="1:11" ht="12.75" hidden="1" customHeight="1">
      <c r="A174" s="1709" t="s">
        <v>301</v>
      </c>
      <c r="B174" s="1706" t="s">
        <v>354</v>
      </c>
      <c r="C174" s="1706" t="s">
        <v>223</v>
      </c>
      <c r="D174" s="981"/>
      <c r="E174" s="1442"/>
      <c r="F174" s="1418" t="s">
        <v>539</v>
      </c>
      <c r="G174" s="985"/>
      <c r="H174" s="993"/>
      <c r="I174" s="27"/>
      <c r="J174" s="25"/>
      <c r="K174" s="25"/>
    </row>
    <row r="175" spans="1:11" ht="12.75" hidden="1" customHeight="1">
      <c r="A175" s="1709" t="s">
        <v>302</v>
      </c>
      <c r="B175" s="1706" t="s">
        <v>354</v>
      </c>
      <c r="C175" s="1706" t="s">
        <v>223</v>
      </c>
      <c r="D175" s="981"/>
      <c r="E175" s="1442"/>
      <c r="F175" s="1418" t="s">
        <v>539</v>
      </c>
      <c r="G175" s="985"/>
      <c r="H175" s="993"/>
      <c r="I175" s="27"/>
      <c r="J175" s="25"/>
      <c r="K175" s="25"/>
    </row>
    <row r="176" spans="1:11" ht="12.75" hidden="1" customHeight="1">
      <c r="A176" s="1709" t="s">
        <v>303</v>
      </c>
      <c r="B176" s="1706" t="s">
        <v>354</v>
      </c>
      <c r="C176" s="1706" t="s">
        <v>223</v>
      </c>
      <c r="D176" s="981"/>
      <c r="E176" s="1442"/>
      <c r="F176" s="1418" t="s">
        <v>539</v>
      </c>
      <c r="G176" s="985"/>
      <c r="H176" s="993"/>
      <c r="I176" s="27"/>
      <c r="J176" s="25"/>
      <c r="K176" s="25"/>
    </row>
    <row r="177" spans="1:11" ht="12.75" hidden="1" customHeight="1">
      <c r="A177" s="1709" t="s">
        <v>304</v>
      </c>
      <c r="B177" s="1706" t="s">
        <v>354</v>
      </c>
      <c r="C177" s="1706" t="s">
        <v>223</v>
      </c>
      <c r="D177" s="981"/>
      <c r="E177" s="1442"/>
      <c r="F177" s="1418" t="s">
        <v>539</v>
      </c>
      <c r="G177" s="985"/>
      <c r="H177" s="993"/>
      <c r="I177" s="27"/>
      <c r="J177" s="25"/>
      <c r="K177" s="25"/>
    </row>
    <row r="178" spans="1:11" ht="12.75" hidden="1" customHeight="1">
      <c r="A178" s="1709" t="s">
        <v>305</v>
      </c>
      <c r="B178" s="1706" t="s">
        <v>354</v>
      </c>
      <c r="C178" s="1706" t="s">
        <v>223</v>
      </c>
      <c r="D178" s="981"/>
      <c r="E178" s="1442"/>
      <c r="F178" s="1418" t="s">
        <v>539</v>
      </c>
      <c r="G178" s="985"/>
      <c r="H178" s="993"/>
      <c r="I178" s="27"/>
      <c r="J178" s="25"/>
      <c r="K178" s="25"/>
    </row>
    <row r="179" spans="1:11" ht="12.75" hidden="1" customHeight="1">
      <c r="A179" s="1709" t="s">
        <v>306</v>
      </c>
      <c r="B179" s="1706" t="s">
        <v>354</v>
      </c>
      <c r="C179" s="1706" t="s">
        <v>223</v>
      </c>
      <c r="D179" s="981"/>
      <c r="E179" s="1442"/>
      <c r="F179" s="1418" t="s">
        <v>539</v>
      </c>
      <c r="G179" s="985"/>
      <c r="H179" s="993"/>
      <c r="I179" s="27"/>
      <c r="J179" s="25"/>
      <c r="K179" s="25"/>
    </row>
    <row r="180" spans="1:11" ht="12.75" hidden="1" customHeight="1">
      <c r="A180" s="1709" t="s">
        <v>307</v>
      </c>
      <c r="B180" s="1706" t="s">
        <v>722</v>
      </c>
      <c r="C180" s="1706" t="s">
        <v>1111</v>
      </c>
      <c r="D180" s="981"/>
      <c r="E180" s="1442"/>
      <c r="F180" s="1418" t="s">
        <v>862</v>
      </c>
      <c r="G180" s="985"/>
      <c r="H180" s="993"/>
      <c r="I180" s="27"/>
      <c r="J180" s="25"/>
      <c r="K180" s="25"/>
    </row>
    <row r="181" spans="1:11" ht="12.75" hidden="1" customHeight="1">
      <c r="A181" s="1709" t="s">
        <v>308</v>
      </c>
      <c r="B181" s="1706" t="s">
        <v>722</v>
      </c>
      <c r="C181" s="1706" t="s">
        <v>1112</v>
      </c>
      <c r="D181" s="981"/>
      <c r="E181" s="1442"/>
      <c r="F181" s="1418" t="s">
        <v>1113</v>
      </c>
      <c r="G181" s="985"/>
      <c r="H181" s="993"/>
      <c r="I181" s="27"/>
      <c r="J181" s="25"/>
      <c r="K181" s="25"/>
    </row>
    <row r="182" spans="1:11" ht="12.75" hidden="1" customHeight="1">
      <c r="A182" s="1709" t="s">
        <v>311</v>
      </c>
      <c r="B182" s="1706" t="s">
        <v>722</v>
      </c>
      <c r="C182" s="1706" t="s">
        <v>1112</v>
      </c>
      <c r="D182" s="981"/>
      <c r="E182" s="1442"/>
      <c r="F182" s="1418" t="s">
        <v>869</v>
      </c>
      <c r="G182" s="985"/>
      <c r="H182" s="993"/>
      <c r="I182" s="27"/>
      <c r="J182" s="25"/>
      <c r="K182" s="25"/>
    </row>
    <row r="183" spans="1:11" ht="12.75" hidden="1" customHeight="1">
      <c r="A183" s="1709"/>
      <c r="B183" s="1706"/>
      <c r="C183" s="1706"/>
      <c r="D183" s="981"/>
      <c r="E183" s="1442"/>
      <c r="F183" s="1418"/>
      <c r="G183" s="985"/>
      <c r="H183" s="993"/>
      <c r="I183" s="27"/>
      <c r="J183" s="25"/>
      <c r="K183" s="25"/>
    </row>
    <row r="184" spans="1:11" ht="12.75" hidden="1" customHeight="1">
      <c r="A184" s="1709"/>
      <c r="B184" s="1706"/>
      <c r="C184" s="1706"/>
      <c r="D184" s="981"/>
      <c r="E184" s="1442"/>
      <c r="F184" s="1418"/>
      <c r="G184" s="985"/>
      <c r="H184" s="993"/>
      <c r="I184" s="27"/>
      <c r="J184" s="25"/>
      <c r="K184" s="25"/>
    </row>
    <row r="185" spans="1:11" ht="12.75" hidden="1" customHeight="1">
      <c r="A185" s="1710">
        <v>2011</v>
      </c>
      <c r="B185" s="1712"/>
      <c r="C185" s="1712"/>
      <c r="D185" s="981"/>
      <c r="E185" s="1442"/>
      <c r="F185" s="1418"/>
      <c r="G185" s="985"/>
      <c r="H185" s="993"/>
      <c r="I185" s="27"/>
      <c r="J185" s="25"/>
      <c r="K185" s="25"/>
    </row>
    <row r="186" spans="1:11" ht="12.75" hidden="1" customHeight="1">
      <c r="A186" s="1711"/>
      <c r="B186" s="1712"/>
      <c r="C186" s="1712"/>
      <c r="D186" s="981"/>
      <c r="E186" s="1442"/>
      <c r="F186" s="1418"/>
      <c r="G186" s="985"/>
      <c r="H186" s="993"/>
      <c r="I186" s="27"/>
      <c r="J186" s="25"/>
      <c r="K186" s="25"/>
    </row>
    <row r="187" spans="1:11" ht="12.75" hidden="1" customHeight="1">
      <c r="A187" s="1711" t="s">
        <v>298</v>
      </c>
      <c r="B187" s="1712" t="s">
        <v>722</v>
      </c>
      <c r="C187" s="1712" t="s">
        <v>1116</v>
      </c>
      <c r="D187" s="981"/>
      <c r="E187" s="1442"/>
      <c r="F187" s="1324" t="s">
        <v>1117</v>
      </c>
      <c r="G187" s="985"/>
      <c r="H187" s="993"/>
      <c r="I187" s="27"/>
      <c r="J187" s="25"/>
      <c r="K187" s="25"/>
    </row>
    <row r="188" spans="1:11" ht="12.75" hidden="1" customHeight="1">
      <c r="A188" s="1711" t="s">
        <v>299</v>
      </c>
      <c r="B188" s="1712" t="s">
        <v>722</v>
      </c>
      <c r="C188" s="1712" t="s">
        <v>1116</v>
      </c>
      <c r="D188" s="981"/>
      <c r="E188" s="1442"/>
      <c r="F188" s="1324" t="s">
        <v>1117</v>
      </c>
      <c r="G188" s="985"/>
      <c r="H188" s="993"/>
      <c r="I188" s="27"/>
      <c r="J188" s="25"/>
      <c r="K188" s="25"/>
    </row>
    <row r="189" spans="1:11" ht="12.75" hidden="1" customHeight="1">
      <c r="A189" s="1711" t="s">
        <v>300</v>
      </c>
      <c r="B189" s="1712" t="s">
        <v>722</v>
      </c>
      <c r="C189" s="1712" t="s">
        <v>1112</v>
      </c>
      <c r="D189" s="981"/>
      <c r="E189" s="1442"/>
      <c r="F189" s="1324" t="s">
        <v>1117</v>
      </c>
      <c r="G189" s="985"/>
      <c r="H189" s="993"/>
      <c r="I189" s="27"/>
      <c r="J189" s="25"/>
      <c r="K189" s="25"/>
    </row>
    <row r="190" spans="1:11" ht="12.75" hidden="1" customHeight="1">
      <c r="A190" s="1711" t="s">
        <v>301</v>
      </c>
      <c r="B190" s="1712" t="s">
        <v>1197</v>
      </c>
      <c r="C190" s="1712" t="s">
        <v>1198</v>
      </c>
      <c r="D190" s="981"/>
      <c r="E190" s="1442"/>
      <c r="F190" s="1324" t="s">
        <v>1117</v>
      </c>
      <c r="G190" s="985"/>
      <c r="H190" s="993"/>
      <c r="I190" s="27"/>
      <c r="J190" s="25"/>
      <c r="K190" s="25"/>
    </row>
    <row r="191" spans="1:11" ht="12.75" hidden="1" customHeight="1">
      <c r="A191" s="1711" t="s">
        <v>302</v>
      </c>
      <c r="B191" s="1712" t="s">
        <v>1201</v>
      </c>
      <c r="C191" s="1712" t="s">
        <v>1198</v>
      </c>
      <c r="D191" s="981"/>
      <c r="E191" s="1442"/>
      <c r="F191" s="1324" t="s">
        <v>1117</v>
      </c>
      <c r="G191" s="985"/>
      <c r="H191" s="993"/>
      <c r="I191" s="27"/>
      <c r="J191" s="25"/>
      <c r="K191" s="25"/>
    </row>
    <row r="192" spans="1:11" ht="12.75" hidden="1" customHeight="1">
      <c r="A192" s="1711" t="s">
        <v>303</v>
      </c>
      <c r="B192" s="1712" t="s">
        <v>1202</v>
      </c>
      <c r="C192" s="1712" t="s">
        <v>1198</v>
      </c>
      <c r="D192" s="981"/>
      <c r="E192" s="1442"/>
      <c r="F192" s="1324" t="s">
        <v>1117</v>
      </c>
      <c r="G192" s="985"/>
      <c r="H192" s="993"/>
      <c r="I192" s="27"/>
      <c r="J192" s="25"/>
      <c r="K192" s="25"/>
    </row>
    <row r="193" spans="1:11" ht="12.75" hidden="1" customHeight="1">
      <c r="A193" s="1711" t="s">
        <v>304</v>
      </c>
      <c r="B193" s="1712" t="s">
        <v>1202</v>
      </c>
      <c r="C193" s="1712" t="s">
        <v>1255</v>
      </c>
      <c r="D193" s="981"/>
      <c r="E193" s="1442"/>
      <c r="F193" s="1324" t="s">
        <v>1117</v>
      </c>
      <c r="G193" s="985"/>
      <c r="H193" s="993"/>
      <c r="I193" s="27"/>
      <c r="J193" s="25"/>
      <c r="K193" s="25"/>
    </row>
    <row r="194" spans="1:11" ht="12.75" hidden="1" customHeight="1">
      <c r="A194" s="1711" t="s">
        <v>305</v>
      </c>
      <c r="B194" s="1712" t="s">
        <v>1202</v>
      </c>
      <c r="C194" s="1712" t="s">
        <v>1255</v>
      </c>
      <c r="D194" s="981"/>
      <c r="E194" s="1442"/>
      <c r="F194" s="1324" t="s">
        <v>1262</v>
      </c>
      <c r="G194" s="985"/>
      <c r="H194" s="993"/>
      <c r="I194" s="27"/>
      <c r="J194" s="25"/>
      <c r="K194" s="25"/>
    </row>
    <row r="195" spans="1:11" ht="12.75" hidden="1" customHeight="1">
      <c r="A195" s="1711" t="s">
        <v>306</v>
      </c>
      <c r="B195" s="1712" t="s">
        <v>1202</v>
      </c>
      <c r="C195" s="1712" t="s">
        <v>1255</v>
      </c>
      <c r="D195" s="981"/>
      <c r="E195" s="1442"/>
      <c r="F195" s="1324" t="s">
        <v>1117</v>
      </c>
      <c r="G195" s="985"/>
      <c r="H195" s="993"/>
      <c r="I195" s="27"/>
      <c r="J195" s="25"/>
      <c r="K195" s="25"/>
    </row>
    <row r="196" spans="1:11" ht="12.75" hidden="1" customHeight="1">
      <c r="A196" s="1711" t="s">
        <v>307</v>
      </c>
      <c r="B196" s="1712" t="s">
        <v>1202</v>
      </c>
      <c r="C196" s="1712" t="s">
        <v>1255</v>
      </c>
      <c r="D196" s="981"/>
      <c r="E196" s="1442"/>
      <c r="F196" s="1324" t="s">
        <v>1117</v>
      </c>
      <c r="G196" s="985"/>
      <c r="H196" s="993"/>
      <c r="I196" s="27"/>
      <c r="J196" s="25"/>
      <c r="K196" s="25"/>
    </row>
    <row r="197" spans="1:11" ht="12.75" hidden="1" customHeight="1">
      <c r="A197" s="1711" t="s">
        <v>308</v>
      </c>
      <c r="B197" s="1712" t="s">
        <v>1202</v>
      </c>
      <c r="C197" s="1712" t="s">
        <v>1255</v>
      </c>
      <c r="D197" s="981"/>
      <c r="E197" s="1442"/>
      <c r="F197" s="1324" t="s">
        <v>1117</v>
      </c>
      <c r="G197" s="985"/>
      <c r="H197" s="993"/>
      <c r="I197" s="27"/>
      <c r="J197" s="25"/>
      <c r="K197" s="25"/>
    </row>
    <row r="198" spans="1:11" ht="12.75" hidden="1" customHeight="1">
      <c r="A198" s="1711" t="s">
        <v>311</v>
      </c>
      <c r="B198" s="1712" t="s">
        <v>1202</v>
      </c>
      <c r="C198" s="1712" t="s">
        <v>1256</v>
      </c>
      <c r="D198" s="981"/>
      <c r="E198" s="1442"/>
      <c r="F198" s="1324" t="s">
        <v>1117</v>
      </c>
      <c r="G198" s="985"/>
      <c r="H198" s="993"/>
      <c r="I198" s="27"/>
      <c r="J198" s="25"/>
      <c r="K198" s="25"/>
    </row>
    <row r="199" spans="1:11" ht="12.75" hidden="1" customHeight="1">
      <c r="A199" s="1711"/>
      <c r="B199" s="1712"/>
      <c r="C199" s="1712"/>
      <c r="D199" s="981"/>
      <c r="E199" s="1442"/>
      <c r="F199" s="1324"/>
      <c r="G199" s="985"/>
      <c r="H199" s="993"/>
      <c r="I199" s="27"/>
      <c r="J199" s="25"/>
      <c r="K199" s="25"/>
    </row>
    <row r="200" spans="1:11" ht="12.75" hidden="1" customHeight="1">
      <c r="A200" s="1710">
        <v>2012</v>
      </c>
      <c r="B200" s="1712"/>
      <c r="C200" s="1712"/>
      <c r="D200" s="981"/>
      <c r="E200" s="1442"/>
      <c r="F200" s="1324"/>
      <c r="G200" s="985"/>
      <c r="H200" s="993"/>
      <c r="I200" s="27"/>
      <c r="J200" s="25"/>
      <c r="K200" s="25"/>
    </row>
    <row r="201" spans="1:11" ht="12.75" hidden="1" customHeight="1">
      <c r="A201" s="1712"/>
      <c r="B201" s="1712"/>
      <c r="C201" s="1712"/>
      <c r="D201" s="981"/>
      <c r="E201" s="1442"/>
      <c r="F201" s="1324"/>
      <c r="G201" s="985"/>
      <c r="H201" s="993"/>
      <c r="I201" s="27"/>
      <c r="J201" s="25"/>
      <c r="K201" s="25"/>
    </row>
    <row r="202" spans="1:11" ht="12.75" hidden="1" customHeight="1">
      <c r="A202" s="1713" t="s">
        <v>298</v>
      </c>
      <c r="B202" s="1712" t="s">
        <v>1202</v>
      </c>
      <c r="C202" s="1712" t="s">
        <v>1257</v>
      </c>
      <c r="D202" s="981"/>
      <c r="E202" s="1442"/>
      <c r="F202" s="1324" t="s">
        <v>1117</v>
      </c>
      <c r="G202" s="985"/>
      <c r="H202" s="993"/>
      <c r="I202" s="27"/>
      <c r="J202" s="25"/>
      <c r="K202" s="25"/>
    </row>
    <row r="203" spans="1:11" ht="12.75" hidden="1" customHeight="1">
      <c r="A203" s="1713" t="s">
        <v>299</v>
      </c>
      <c r="B203" s="1712" t="s">
        <v>1202</v>
      </c>
      <c r="C203" s="1712" t="s">
        <v>1257</v>
      </c>
      <c r="D203" s="981"/>
      <c r="E203" s="1442"/>
      <c r="F203" s="1324" t="s">
        <v>1117</v>
      </c>
      <c r="G203" s="985"/>
      <c r="H203" s="993"/>
      <c r="I203" s="27"/>
      <c r="J203" s="25"/>
      <c r="K203" s="25"/>
    </row>
    <row r="204" spans="1:11" s="217" customFormat="1" ht="12.75" hidden="1" customHeight="1">
      <c r="A204" s="1713" t="s">
        <v>300</v>
      </c>
      <c r="B204" s="1722" t="s">
        <v>1258</v>
      </c>
      <c r="C204" s="1722" t="s">
        <v>1259</v>
      </c>
      <c r="D204" s="1704"/>
      <c r="E204" s="1445"/>
      <c r="F204" s="1325" t="s">
        <v>1263</v>
      </c>
      <c r="G204" s="994"/>
      <c r="H204" s="995"/>
      <c r="I204" s="223"/>
      <c r="J204" s="219"/>
      <c r="K204" s="219"/>
    </row>
    <row r="205" spans="1:11" ht="12.75" hidden="1" customHeight="1">
      <c r="A205" s="1713" t="s">
        <v>301</v>
      </c>
      <c r="B205" s="1712" t="s">
        <v>1260</v>
      </c>
      <c r="C205" s="1712" t="s">
        <v>1259</v>
      </c>
      <c r="D205" s="981"/>
      <c r="E205" s="1442"/>
      <c r="F205" s="1324" t="s">
        <v>1264</v>
      </c>
      <c r="G205" s="985"/>
      <c r="H205" s="993"/>
      <c r="I205" s="27"/>
      <c r="J205" s="25"/>
      <c r="K205" s="25"/>
    </row>
    <row r="206" spans="1:11" ht="12.75" hidden="1" customHeight="1">
      <c r="A206" s="1713" t="s">
        <v>302</v>
      </c>
      <c r="B206" s="1712" t="s">
        <v>1260</v>
      </c>
      <c r="C206" s="1712" t="s">
        <v>1259</v>
      </c>
      <c r="D206" s="981"/>
      <c r="E206" s="1442"/>
      <c r="F206" s="1324" t="s">
        <v>1265</v>
      </c>
      <c r="G206" s="985"/>
      <c r="H206" s="993"/>
      <c r="I206" s="27"/>
      <c r="J206" s="25"/>
      <c r="K206" s="25"/>
    </row>
    <row r="207" spans="1:11" s="217" customFormat="1" ht="12.75" hidden="1" customHeight="1">
      <c r="A207" s="1713" t="s">
        <v>303</v>
      </c>
      <c r="B207" s="1722" t="s">
        <v>1260</v>
      </c>
      <c r="C207" s="1722" t="s">
        <v>1259</v>
      </c>
      <c r="D207" s="1704"/>
      <c r="E207" s="1445"/>
      <c r="F207" s="1325" t="s">
        <v>1265</v>
      </c>
      <c r="G207" s="994"/>
      <c r="H207" s="995"/>
      <c r="I207" s="223"/>
      <c r="J207" s="219"/>
      <c r="K207" s="219"/>
    </row>
    <row r="208" spans="1:11" ht="12.75" hidden="1" customHeight="1">
      <c r="A208" s="1713" t="s">
        <v>304</v>
      </c>
      <c r="B208" s="1712" t="s">
        <v>1260</v>
      </c>
      <c r="C208" s="1712" t="s">
        <v>1259</v>
      </c>
      <c r="D208" s="981"/>
      <c r="E208" s="1442"/>
      <c r="F208" s="1324" t="s">
        <v>1265</v>
      </c>
      <c r="G208" s="985"/>
      <c r="H208" s="993"/>
      <c r="I208" s="27"/>
      <c r="J208" s="25"/>
      <c r="K208" s="25"/>
    </row>
    <row r="209" spans="1:11" ht="12.75" hidden="1" customHeight="1">
      <c r="A209" s="1713" t="s">
        <v>305</v>
      </c>
      <c r="B209" s="1712" t="s">
        <v>1260</v>
      </c>
      <c r="C209" s="1712" t="s">
        <v>1259</v>
      </c>
      <c r="D209" s="981"/>
      <c r="E209" s="1442"/>
      <c r="F209" s="1324" t="s">
        <v>1265</v>
      </c>
      <c r="G209" s="985"/>
      <c r="H209" s="993"/>
      <c r="I209" s="27"/>
      <c r="J209" s="25"/>
      <c r="K209" s="25"/>
    </row>
    <row r="210" spans="1:11" s="217" customFormat="1" ht="12.75" hidden="1" customHeight="1">
      <c r="A210" s="1713" t="s">
        <v>306</v>
      </c>
      <c r="B210" s="1722" t="s">
        <v>1260</v>
      </c>
      <c r="C210" s="1722" t="s">
        <v>1259</v>
      </c>
      <c r="D210" s="1704"/>
      <c r="E210" s="1445"/>
      <c r="F210" s="1325" t="s">
        <v>1265</v>
      </c>
      <c r="G210" s="994"/>
      <c r="H210" s="995"/>
      <c r="I210" s="223"/>
      <c r="J210" s="219"/>
      <c r="K210" s="219"/>
    </row>
    <row r="211" spans="1:11" ht="12.75" hidden="1" customHeight="1">
      <c r="A211" s="1713" t="s">
        <v>307</v>
      </c>
      <c r="B211" s="1712" t="s">
        <v>1260</v>
      </c>
      <c r="C211" s="1712" t="s">
        <v>1259</v>
      </c>
      <c r="D211" s="981"/>
      <c r="E211" s="1442"/>
      <c r="F211" s="1324" t="s">
        <v>1265</v>
      </c>
      <c r="G211" s="985"/>
      <c r="H211" s="993"/>
      <c r="I211" s="27"/>
      <c r="J211" s="25"/>
      <c r="K211" s="25"/>
    </row>
    <row r="212" spans="1:11" ht="12.75" hidden="1" customHeight="1">
      <c r="A212" s="1713" t="s">
        <v>308</v>
      </c>
      <c r="B212" s="1712" t="s">
        <v>1261</v>
      </c>
      <c r="C212" s="1712" t="s">
        <v>511</v>
      </c>
      <c r="D212" s="981"/>
      <c r="E212" s="1442"/>
      <c r="F212" s="1324" t="s">
        <v>1265</v>
      </c>
      <c r="G212" s="985"/>
      <c r="H212" s="993"/>
      <c r="I212" s="27"/>
      <c r="J212" s="25"/>
      <c r="K212" s="25"/>
    </row>
    <row r="213" spans="1:11" s="217" customFormat="1" ht="12.75" hidden="1" customHeight="1">
      <c r="A213" s="1713" t="s">
        <v>311</v>
      </c>
      <c r="B213" s="1723" t="s">
        <v>1261</v>
      </c>
      <c r="C213" s="1723" t="s">
        <v>511</v>
      </c>
      <c r="D213" s="1704"/>
      <c r="E213" s="1445"/>
      <c r="F213" s="1325" t="s">
        <v>1265</v>
      </c>
      <c r="G213" s="994"/>
      <c r="H213" s="995"/>
      <c r="I213" s="223"/>
      <c r="J213" s="219"/>
      <c r="K213" s="219"/>
    </row>
    <row r="214" spans="1:11" ht="12.75" hidden="1" customHeight="1">
      <c r="A214" s="1709"/>
      <c r="B214" s="1706"/>
      <c r="C214" s="1706"/>
      <c r="D214" s="981"/>
      <c r="E214" s="1442"/>
      <c r="F214" s="1418"/>
      <c r="G214" s="985"/>
      <c r="H214" s="993"/>
      <c r="I214" s="27"/>
      <c r="J214" s="25"/>
      <c r="K214" s="25"/>
    </row>
    <row r="215" spans="1:11" ht="12.75" hidden="1" customHeight="1">
      <c r="A215" s="1710">
        <v>2013</v>
      </c>
      <c r="B215" s="1706"/>
      <c r="C215" s="1706"/>
      <c r="D215" s="981"/>
      <c r="E215" s="1442"/>
      <c r="F215" s="1418"/>
      <c r="G215" s="985"/>
      <c r="H215" s="993"/>
      <c r="I215" s="27"/>
      <c r="J215" s="25"/>
      <c r="K215" s="25"/>
    </row>
    <row r="216" spans="1:11" ht="12.75" hidden="1" customHeight="1">
      <c r="A216" s="1713" t="s">
        <v>345</v>
      </c>
      <c r="B216" s="1715" t="s">
        <v>1261</v>
      </c>
      <c r="C216" s="1715" t="s">
        <v>511</v>
      </c>
      <c r="D216" s="981"/>
      <c r="E216" s="1442"/>
      <c r="F216" s="1326" t="s">
        <v>1265</v>
      </c>
      <c r="G216" s="985"/>
      <c r="H216" s="993"/>
      <c r="I216" s="27"/>
      <c r="J216" s="25"/>
      <c r="K216" s="25"/>
    </row>
    <row r="217" spans="1:11" ht="12.75" hidden="1" customHeight="1">
      <c r="A217" s="1713" t="s">
        <v>1278</v>
      </c>
      <c r="B217" s="1715" t="s">
        <v>1261</v>
      </c>
      <c r="C217" s="1715" t="s">
        <v>511</v>
      </c>
      <c r="D217" s="981"/>
      <c r="E217" s="1442"/>
      <c r="F217" s="1326" t="s">
        <v>1265</v>
      </c>
      <c r="G217" s="985"/>
      <c r="H217" s="993"/>
      <c r="I217" s="27"/>
      <c r="J217" s="25"/>
      <c r="K217" s="25"/>
    </row>
    <row r="218" spans="1:11" s="217" customFormat="1" ht="12.75" hidden="1" customHeight="1">
      <c r="A218" s="1713" t="s">
        <v>335</v>
      </c>
      <c r="B218" s="1715" t="s">
        <v>1261</v>
      </c>
      <c r="C218" s="1715" t="s">
        <v>511</v>
      </c>
      <c r="D218" s="1704"/>
      <c r="E218" s="1445"/>
      <c r="F218" s="1326" t="s">
        <v>1284</v>
      </c>
      <c r="G218" s="994"/>
      <c r="H218" s="995"/>
      <c r="I218" s="223"/>
      <c r="J218" s="219"/>
      <c r="K218" s="219"/>
    </row>
    <row r="219" spans="1:11" ht="12.75" hidden="1" customHeight="1">
      <c r="A219" s="1713" t="s">
        <v>336</v>
      </c>
      <c r="B219" s="1715" t="s">
        <v>1261</v>
      </c>
      <c r="C219" s="1715" t="s">
        <v>511</v>
      </c>
      <c r="D219" s="981"/>
      <c r="E219" s="1442"/>
      <c r="F219" s="1326" t="s">
        <v>1284</v>
      </c>
      <c r="G219" s="985"/>
      <c r="H219" s="993"/>
      <c r="I219" s="27"/>
      <c r="J219" s="25"/>
      <c r="K219" s="25"/>
    </row>
    <row r="220" spans="1:11" ht="12.75" hidden="1" customHeight="1">
      <c r="A220" s="1713" t="s">
        <v>337</v>
      </c>
      <c r="B220" s="1715" t="s">
        <v>1261</v>
      </c>
      <c r="C220" s="1715" t="s">
        <v>511</v>
      </c>
      <c r="D220" s="981"/>
      <c r="E220" s="1442"/>
      <c r="F220" s="1326" t="s">
        <v>1265</v>
      </c>
      <c r="G220" s="985"/>
      <c r="H220" s="993"/>
      <c r="I220" s="27"/>
      <c r="J220" s="25"/>
      <c r="K220" s="25"/>
    </row>
    <row r="221" spans="1:11" ht="12.75" hidden="1" customHeight="1">
      <c r="A221" s="1713" t="s">
        <v>338</v>
      </c>
      <c r="B221" s="1715" t="s">
        <v>1261</v>
      </c>
      <c r="C221" s="1715" t="s">
        <v>511</v>
      </c>
      <c r="D221" s="981"/>
      <c r="E221" s="1442"/>
      <c r="F221" s="1326" t="s">
        <v>1265</v>
      </c>
      <c r="G221" s="985"/>
      <c r="H221" s="993"/>
      <c r="I221" s="27"/>
      <c r="J221" s="25"/>
      <c r="K221" s="25"/>
    </row>
    <row r="222" spans="1:11" ht="12.75" hidden="1" customHeight="1">
      <c r="A222" s="1713" t="s">
        <v>339</v>
      </c>
      <c r="B222" s="1715" t="s">
        <v>1261</v>
      </c>
      <c r="C222" s="1715" t="s">
        <v>1302</v>
      </c>
      <c r="D222" s="981"/>
      <c r="E222" s="1442"/>
      <c r="F222" s="1326" t="s">
        <v>1265</v>
      </c>
      <c r="G222" s="985"/>
      <c r="H222" s="993"/>
      <c r="I222" s="27"/>
      <c r="J222" s="25"/>
      <c r="K222" s="25"/>
    </row>
    <row r="223" spans="1:11" ht="12.75" hidden="1" customHeight="1">
      <c r="A223" s="1713" t="s">
        <v>340</v>
      </c>
      <c r="B223" s="1715" t="s">
        <v>1261</v>
      </c>
      <c r="C223" s="1715" t="s">
        <v>1302</v>
      </c>
      <c r="D223" s="981"/>
      <c r="E223" s="1442"/>
      <c r="F223" s="1326" t="s">
        <v>1265</v>
      </c>
      <c r="G223" s="985"/>
      <c r="H223" s="993"/>
      <c r="I223" s="27"/>
      <c r="J223" s="25"/>
      <c r="K223" s="25"/>
    </row>
    <row r="224" spans="1:11" ht="12.75" hidden="1" customHeight="1">
      <c r="A224" s="1713" t="s">
        <v>341</v>
      </c>
      <c r="B224" s="1715" t="s">
        <v>1261</v>
      </c>
      <c r="C224" s="1715" t="s">
        <v>1302</v>
      </c>
      <c r="D224" s="981"/>
      <c r="E224" s="1442"/>
      <c r="F224" s="1326" t="s">
        <v>1303</v>
      </c>
      <c r="G224" s="985"/>
      <c r="H224" s="993"/>
      <c r="I224" s="27"/>
      <c r="J224" s="25"/>
      <c r="K224" s="25"/>
    </row>
    <row r="225" spans="1:11" ht="12.75" hidden="1" customHeight="1">
      <c r="A225" s="1713" t="s">
        <v>342</v>
      </c>
      <c r="B225" s="1715" t="s">
        <v>1261</v>
      </c>
      <c r="C225" s="1715" t="s">
        <v>1302</v>
      </c>
      <c r="D225" s="981"/>
      <c r="E225" s="1442"/>
      <c r="F225" s="1326" t="s">
        <v>1303</v>
      </c>
      <c r="G225" s="985"/>
      <c r="H225" s="993"/>
      <c r="I225" s="27"/>
      <c r="J225" s="25"/>
      <c r="K225" s="25"/>
    </row>
    <row r="226" spans="1:11" ht="12.75" hidden="1" customHeight="1">
      <c r="A226" s="1713" t="s">
        <v>343</v>
      </c>
      <c r="B226" s="1715" t="s">
        <v>1261</v>
      </c>
      <c r="C226" s="1715" t="s">
        <v>1302</v>
      </c>
      <c r="D226" s="981"/>
      <c r="E226" s="1442"/>
      <c r="F226" s="1326" t="s">
        <v>1303</v>
      </c>
      <c r="G226" s="985"/>
      <c r="H226" s="993"/>
      <c r="I226" s="27"/>
      <c r="J226" s="25"/>
      <c r="K226" s="25"/>
    </row>
    <row r="227" spans="1:11" ht="12.75" hidden="1" customHeight="1">
      <c r="A227" s="1713" t="s">
        <v>344</v>
      </c>
      <c r="B227" s="1715" t="s">
        <v>1261</v>
      </c>
      <c r="C227" s="1715" t="s">
        <v>1302</v>
      </c>
      <c r="D227" s="981"/>
      <c r="E227" s="1442"/>
      <c r="F227" s="1326" t="s">
        <v>1303</v>
      </c>
      <c r="G227" s="985"/>
      <c r="H227" s="993"/>
      <c r="I227" s="27"/>
      <c r="J227" s="25"/>
      <c r="K227" s="25"/>
    </row>
    <row r="228" spans="1:11" ht="12.75" hidden="1" customHeight="1">
      <c r="A228" s="1714"/>
      <c r="B228" s="1715"/>
      <c r="C228" s="1715"/>
      <c r="D228" s="1443"/>
      <c r="E228" s="1444"/>
      <c r="F228" s="1327"/>
      <c r="G228" s="985"/>
      <c r="H228" s="993"/>
      <c r="I228" s="27"/>
      <c r="J228" s="25"/>
      <c r="K228" s="25"/>
    </row>
    <row r="229" spans="1:11" ht="12.75" hidden="1" customHeight="1">
      <c r="A229" s="1710">
        <v>2014</v>
      </c>
      <c r="B229" s="1724"/>
      <c r="C229" s="1715"/>
      <c r="D229" s="1443"/>
      <c r="E229" s="1444"/>
      <c r="F229" s="1327"/>
      <c r="G229" s="985"/>
      <c r="H229" s="993"/>
      <c r="I229" s="27"/>
      <c r="J229" s="25"/>
      <c r="K229" s="25"/>
    </row>
    <row r="230" spans="1:11" ht="20.25" hidden="1" customHeight="1">
      <c r="A230" s="1713" t="s">
        <v>345</v>
      </c>
      <c r="B230" s="1715" t="s">
        <v>1261</v>
      </c>
      <c r="C230" s="1715" t="s">
        <v>1302</v>
      </c>
      <c r="D230" s="1443"/>
      <c r="E230" s="1444"/>
      <c r="F230" s="1327" t="s">
        <v>1303</v>
      </c>
      <c r="G230" s="985"/>
      <c r="H230" s="993"/>
      <c r="I230" s="27"/>
      <c r="J230" s="25"/>
      <c r="K230" s="25"/>
    </row>
    <row r="231" spans="1:11" ht="18.75" hidden="1" customHeight="1">
      <c r="A231" s="1713" t="s">
        <v>1278</v>
      </c>
      <c r="B231" s="1715" t="s">
        <v>1261</v>
      </c>
      <c r="C231" s="1715" t="s">
        <v>1302</v>
      </c>
      <c r="D231" s="1443"/>
      <c r="E231" s="1444"/>
      <c r="F231" s="1327" t="s">
        <v>1303</v>
      </c>
      <c r="G231" s="985"/>
      <c r="H231" s="993"/>
      <c r="I231" s="27"/>
      <c r="J231" s="25"/>
      <c r="K231" s="25"/>
    </row>
    <row r="232" spans="1:11" ht="18.75" hidden="1" customHeight="1">
      <c r="A232" s="1713" t="s">
        <v>335</v>
      </c>
      <c r="B232" s="1715" t="s">
        <v>1261</v>
      </c>
      <c r="C232" s="1715" t="s">
        <v>1302</v>
      </c>
      <c r="D232" s="1443"/>
      <c r="E232" s="1444"/>
      <c r="F232" s="1327" t="s">
        <v>1303</v>
      </c>
      <c r="G232" s="985"/>
      <c r="H232" s="993"/>
      <c r="I232" s="27"/>
      <c r="J232" s="25"/>
      <c r="K232" s="25"/>
    </row>
    <row r="233" spans="1:11" ht="19.5" hidden="1" customHeight="1" thickBot="1">
      <c r="A233" s="1713" t="s">
        <v>336</v>
      </c>
      <c r="B233" s="1715" t="s">
        <v>1261</v>
      </c>
      <c r="C233" s="1715" t="s">
        <v>1302</v>
      </c>
      <c r="D233" s="1443"/>
      <c r="E233" s="1446"/>
      <c r="F233" s="1327" t="s">
        <v>1303</v>
      </c>
      <c r="G233" s="997"/>
      <c r="H233" s="992"/>
      <c r="I233" s="27"/>
      <c r="J233" s="25"/>
      <c r="K233" s="25"/>
    </row>
    <row r="234" spans="1:11" ht="18.75" hidden="1" customHeight="1" thickTop="1">
      <c r="A234" s="1713" t="s">
        <v>337</v>
      </c>
      <c r="B234" s="1715" t="s">
        <v>1261</v>
      </c>
      <c r="C234" s="1715" t="s">
        <v>1302</v>
      </c>
      <c r="D234" s="1725"/>
      <c r="E234" s="1456"/>
      <c r="F234" s="1327" t="s">
        <v>1303</v>
      </c>
      <c r="G234" s="973"/>
      <c r="H234" s="973"/>
      <c r="I234" s="25"/>
      <c r="J234" s="25"/>
      <c r="K234" s="25"/>
    </row>
    <row r="235" spans="1:11" ht="18.75" hidden="1" customHeight="1">
      <c r="A235" s="1713" t="s">
        <v>338</v>
      </c>
      <c r="B235" s="1715" t="s">
        <v>1261</v>
      </c>
      <c r="C235" s="1715" t="s">
        <v>1302</v>
      </c>
      <c r="D235" s="1441"/>
      <c r="E235" s="1447"/>
      <c r="F235" s="1327" t="s">
        <v>1303</v>
      </c>
      <c r="G235" s="972"/>
      <c r="H235" s="972"/>
      <c r="I235" s="25"/>
      <c r="J235" s="25"/>
      <c r="K235" s="25"/>
    </row>
    <row r="236" spans="1:11" ht="18.75" hidden="1" customHeight="1">
      <c r="A236" s="1713" t="s">
        <v>339</v>
      </c>
      <c r="B236" s="1715" t="s">
        <v>1261</v>
      </c>
      <c r="C236" s="1715" t="s">
        <v>1302</v>
      </c>
      <c r="D236" s="1441"/>
      <c r="E236" s="1447"/>
      <c r="F236" s="1327" t="s">
        <v>1303</v>
      </c>
      <c r="G236" s="972"/>
      <c r="H236" s="972"/>
      <c r="I236" s="25"/>
      <c r="J236" s="25"/>
      <c r="K236" s="25"/>
    </row>
    <row r="237" spans="1:11" ht="20.25" hidden="1" customHeight="1">
      <c r="A237" s="1713" t="s">
        <v>340</v>
      </c>
      <c r="B237" s="1715" t="s">
        <v>1261</v>
      </c>
      <c r="C237" s="1715" t="s">
        <v>511</v>
      </c>
      <c r="D237" s="1441"/>
      <c r="E237" s="1447"/>
      <c r="F237" s="1327" t="s">
        <v>1303</v>
      </c>
      <c r="G237" s="972"/>
      <c r="H237" s="972"/>
      <c r="I237" s="25"/>
      <c r="J237" s="25"/>
      <c r="K237" s="25"/>
    </row>
    <row r="238" spans="1:11" ht="17.25" hidden="1" customHeight="1">
      <c r="A238" s="1713" t="s">
        <v>341</v>
      </c>
      <c r="B238" s="1715" t="s">
        <v>1261</v>
      </c>
      <c r="C238" s="1715" t="s">
        <v>511</v>
      </c>
      <c r="D238" s="1441"/>
      <c r="E238" s="1447"/>
      <c r="F238" s="1327" t="s">
        <v>1303</v>
      </c>
      <c r="G238" s="972"/>
      <c r="H238" s="972"/>
      <c r="I238" s="25"/>
      <c r="J238" s="25"/>
      <c r="K238" s="25"/>
    </row>
    <row r="239" spans="1:11" ht="19.5" hidden="1" customHeight="1">
      <c r="A239" s="1713" t="s">
        <v>342</v>
      </c>
      <c r="B239" s="1715" t="s">
        <v>1261</v>
      </c>
      <c r="C239" s="1715" t="s">
        <v>511</v>
      </c>
      <c r="D239" s="1441"/>
      <c r="E239" s="1447"/>
      <c r="F239" s="1327" t="s">
        <v>1303</v>
      </c>
      <c r="G239" s="972"/>
      <c r="H239" s="972"/>
      <c r="I239" s="25"/>
      <c r="J239" s="25"/>
      <c r="K239" s="25"/>
    </row>
    <row r="240" spans="1:11" ht="18.75" hidden="1" customHeight="1">
      <c r="A240" s="1713" t="s">
        <v>343</v>
      </c>
      <c r="B240" s="1715" t="s">
        <v>1261</v>
      </c>
      <c r="C240" s="1715" t="s">
        <v>511</v>
      </c>
      <c r="D240" s="1441"/>
      <c r="E240" s="1447"/>
      <c r="F240" s="1327" t="s">
        <v>1303</v>
      </c>
      <c r="G240" s="972"/>
      <c r="H240" s="972"/>
      <c r="I240" s="25"/>
      <c r="J240" s="25"/>
      <c r="K240" s="25"/>
    </row>
    <row r="241" spans="1:11" ht="22.5" hidden="1" customHeight="1" thickBot="1">
      <c r="A241" s="1713" t="s">
        <v>344</v>
      </c>
      <c r="B241" s="1715" t="s">
        <v>1261</v>
      </c>
      <c r="C241" s="1715" t="s">
        <v>1302</v>
      </c>
      <c r="D241" s="1703"/>
      <c r="E241" s="1448"/>
      <c r="F241" s="1327" t="s">
        <v>1316</v>
      </c>
      <c r="G241" s="972"/>
      <c r="H241" s="972"/>
      <c r="I241" s="25"/>
      <c r="J241" s="25"/>
      <c r="K241" s="25"/>
    </row>
    <row r="242" spans="1:11" ht="19.5" hidden="1" customHeight="1" thickTop="1">
      <c r="A242" s="1713"/>
      <c r="B242" s="1715"/>
      <c r="C242" s="1715"/>
      <c r="D242" s="1441"/>
      <c r="E242" s="1447"/>
      <c r="F242" s="1327"/>
      <c r="G242" s="972"/>
      <c r="H242" s="972"/>
      <c r="I242" s="25"/>
      <c r="J242" s="25"/>
      <c r="K242" s="25"/>
    </row>
    <row r="243" spans="1:11" ht="19.5" hidden="1" customHeight="1">
      <c r="A243" s="1710">
        <v>2015</v>
      </c>
      <c r="B243" s="1715"/>
      <c r="C243" s="1715"/>
      <c r="D243" s="1441"/>
      <c r="E243" s="1447"/>
      <c r="F243" s="1327"/>
      <c r="G243" s="972"/>
      <c r="H243" s="972"/>
      <c r="I243" s="25"/>
      <c r="J243" s="25"/>
      <c r="K243" s="25"/>
    </row>
    <row r="244" spans="1:11" ht="19.5" hidden="1" customHeight="1">
      <c r="A244" s="1713" t="s">
        <v>345</v>
      </c>
      <c r="B244" s="1715" t="s">
        <v>1261</v>
      </c>
      <c r="C244" s="1715" t="s">
        <v>1317</v>
      </c>
      <c r="D244" s="1441"/>
      <c r="E244" s="1447"/>
      <c r="F244" s="1327" t="s">
        <v>1316</v>
      </c>
      <c r="G244" s="972"/>
      <c r="H244" s="972"/>
      <c r="I244" s="25"/>
      <c r="J244" s="25"/>
      <c r="K244" s="25"/>
    </row>
    <row r="245" spans="1:11" ht="19.5" hidden="1" customHeight="1">
      <c r="A245" s="1713" t="s">
        <v>334</v>
      </c>
      <c r="B245" s="1715" t="s">
        <v>1321</v>
      </c>
      <c r="C245" s="1715" t="s">
        <v>1319</v>
      </c>
      <c r="D245" s="1441"/>
      <c r="E245" s="1447"/>
      <c r="F245" s="1327"/>
      <c r="G245" s="972"/>
      <c r="H245" s="972"/>
      <c r="I245" s="25"/>
      <c r="J245" s="25"/>
      <c r="K245" s="25"/>
    </row>
    <row r="246" spans="1:11" ht="19.5" hidden="1" customHeight="1">
      <c r="A246" s="1713" t="s">
        <v>335</v>
      </c>
      <c r="B246" s="1715" t="s">
        <v>1321</v>
      </c>
      <c r="C246" s="1715" t="s">
        <v>1319</v>
      </c>
      <c r="D246" s="1441"/>
      <c r="E246" s="1447"/>
      <c r="F246" s="1327"/>
      <c r="G246" s="972"/>
      <c r="H246" s="972"/>
      <c r="I246" s="25"/>
      <c r="J246" s="25"/>
      <c r="K246" s="25"/>
    </row>
    <row r="247" spans="1:11" ht="19.5" hidden="1" customHeight="1">
      <c r="A247" s="1713" t="s">
        <v>336</v>
      </c>
      <c r="B247" s="1715" t="s">
        <v>1322</v>
      </c>
      <c r="C247" s="1715" t="s">
        <v>1319</v>
      </c>
      <c r="D247" s="1441"/>
      <c r="E247" s="1447"/>
      <c r="F247" s="1327"/>
      <c r="G247" s="972"/>
      <c r="H247" s="972"/>
      <c r="I247" s="25"/>
      <c r="J247" s="25"/>
      <c r="K247" s="25"/>
    </row>
    <row r="248" spans="1:11" ht="19.5" hidden="1" customHeight="1">
      <c r="A248" s="1713" t="s">
        <v>337</v>
      </c>
      <c r="B248" s="1715" t="s">
        <v>1322</v>
      </c>
      <c r="C248" s="1715" t="s">
        <v>1319</v>
      </c>
      <c r="D248" s="1441"/>
      <c r="E248" s="1447"/>
      <c r="F248" s="1327"/>
      <c r="G248" s="972"/>
      <c r="H248" s="972"/>
      <c r="I248" s="25"/>
      <c r="J248" s="25"/>
      <c r="K248" s="25"/>
    </row>
    <row r="249" spans="1:11" ht="19.5" hidden="1" customHeight="1">
      <c r="A249" s="1713" t="s">
        <v>338</v>
      </c>
      <c r="B249" s="1715" t="s">
        <v>1322</v>
      </c>
      <c r="C249" s="1715" t="s">
        <v>1319</v>
      </c>
      <c r="D249" s="1441"/>
      <c r="E249" s="1447"/>
      <c r="F249" s="1327"/>
      <c r="G249" s="972"/>
      <c r="H249" s="972"/>
      <c r="I249" s="25"/>
      <c r="J249" s="25"/>
      <c r="K249" s="25"/>
    </row>
    <row r="250" spans="1:11" ht="19.5" hidden="1" customHeight="1">
      <c r="A250" s="1713" t="s">
        <v>339</v>
      </c>
      <c r="B250" s="1715" t="s">
        <v>1322</v>
      </c>
      <c r="C250" s="1715" t="s">
        <v>729</v>
      </c>
      <c r="D250" s="1441"/>
      <c r="E250" s="1447"/>
      <c r="F250" s="1327"/>
      <c r="G250" s="972"/>
      <c r="H250" s="972"/>
      <c r="I250" s="25"/>
      <c r="J250" s="25"/>
      <c r="K250" s="25"/>
    </row>
    <row r="251" spans="1:11" ht="19.5" hidden="1" customHeight="1">
      <c r="A251" s="1713" t="s">
        <v>340</v>
      </c>
      <c r="B251" s="1715" t="s">
        <v>1322</v>
      </c>
      <c r="C251" s="1715" t="s">
        <v>729</v>
      </c>
      <c r="D251" s="1441"/>
      <c r="E251" s="1447"/>
      <c r="F251" s="1327"/>
      <c r="G251" s="972"/>
      <c r="H251" s="972"/>
      <c r="I251" s="25"/>
      <c r="J251" s="25"/>
      <c r="K251" s="25"/>
    </row>
    <row r="252" spans="1:11" ht="19.5" hidden="1" customHeight="1">
      <c r="A252" s="1713" t="s">
        <v>341</v>
      </c>
      <c r="B252" s="1715" t="s">
        <v>1322</v>
      </c>
      <c r="C252" s="1715" t="s">
        <v>1328</v>
      </c>
      <c r="D252" s="1441"/>
      <c r="E252" s="1447"/>
      <c r="F252" s="1327"/>
      <c r="G252" s="972"/>
      <c r="H252" s="972"/>
      <c r="I252" s="25"/>
      <c r="J252" s="25"/>
      <c r="K252" s="25"/>
    </row>
    <row r="253" spans="1:11" ht="19.5" hidden="1" customHeight="1">
      <c r="A253" s="1713" t="s">
        <v>342</v>
      </c>
      <c r="B253" s="1715" t="s">
        <v>1330</v>
      </c>
      <c r="C253" s="1715" t="s">
        <v>1319</v>
      </c>
      <c r="D253" s="1441"/>
      <c r="E253" s="1447"/>
      <c r="F253" s="1327"/>
      <c r="G253" s="972"/>
      <c r="H253" s="972"/>
      <c r="I253" s="25"/>
      <c r="J253" s="25"/>
      <c r="K253" s="25"/>
    </row>
    <row r="254" spans="1:11" ht="19.5" hidden="1" customHeight="1">
      <c r="A254" s="1713" t="s">
        <v>343</v>
      </c>
      <c r="B254" s="1715" t="s">
        <v>1331</v>
      </c>
      <c r="C254" s="1715" t="s">
        <v>1319</v>
      </c>
      <c r="D254" s="1441"/>
      <c r="E254" s="1447"/>
      <c r="F254" s="1327"/>
      <c r="G254" s="972"/>
      <c r="H254" s="972"/>
      <c r="I254" s="25"/>
      <c r="J254" s="25"/>
      <c r="K254" s="25"/>
    </row>
    <row r="255" spans="1:11" ht="19.5" hidden="1" customHeight="1">
      <c r="A255" s="1713" t="s">
        <v>344</v>
      </c>
      <c r="B255" s="1715" t="s">
        <v>1330</v>
      </c>
      <c r="C255" s="1715" t="s">
        <v>1333</v>
      </c>
      <c r="D255" s="1441"/>
      <c r="E255" s="1447"/>
      <c r="F255" s="1327"/>
      <c r="G255" s="972"/>
      <c r="H255" s="972"/>
      <c r="I255" s="25"/>
      <c r="J255" s="25"/>
      <c r="K255" s="25"/>
    </row>
    <row r="256" spans="1:11" ht="19.5" customHeight="1">
      <c r="A256" s="1713"/>
      <c r="B256" s="1715"/>
      <c r="C256" s="1715"/>
      <c r="D256" s="1441"/>
      <c r="E256" s="1447"/>
      <c r="F256" s="1327"/>
      <c r="G256" s="972"/>
      <c r="H256" s="972"/>
      <c r="I256" s="25"/>
      <c r="J256" s="25"/>
      <c r="K256" s="25"/>
    </row>
    <row r="257" spans="1:11" ht="19.5" hidden="1" customHeight="1">
      <c r="A257" s="1710">
        <v>2016</v>
      </c>
      <c r="B257" s="1715"/>
      <c r="C257" s="1715"/>
      <c r="D257" s="1441"/>
      <c r="E257" s="1447"/>
      <c r="F257" s="1327"/>
      <c r="G257" s="972"/>
      <c r="H257" s="972"/>
      <c r="I257" s="25"/>
      <c r="J257" s="25"/>
      <c r="K257" s="25"/>
    </row>
    <row r="258" spans="1:11" ht="19.5" hidden="1" customHeight="1">
      <c r="A258" s="1713" t="s">
        <v>345</v>
      </c>
      <c r="B258" s="1715" t="s">
        <v>1330</v>
      </c>
      <c r="C258" s="1715" t="s">
        <v>1333</v>
      </c>
      <c r="D258" s="1441"/>
      <c r="E258" s="1447"/>
      <c r="F258" s="1327"/>
      <c r="G258" s="972"/>
      <c r="H258" s="972"/>
      <c r="I258" s="25"/>
      <c r="J258" s="25"/>
      <c r="K258" s="25"/>
    </row>
    <row r="259" spans="1:11" ht="19.5" hidden="1" customHeight="1">
      <c r="A259" s="1713" t="s">
        <v>334</v>
      </c>
      <c r="B259" s="1715" t="s">
        <v>1330</v>
      </c>
      <c r="C259" s="1715" t="s">
        <v>1333</v>
      </c>
      <c r="D259" s="1441"/>
      <c r="E259" s="1447"/>
      <c r="F259" s="1327"/>
      <c r="G259" s="972"/>
      <c r="H259" s="972"/>
      <c r="I259" s="25"/>
      <c r="J259" s="25"/>
      <c r="K259" s="25"/>
    </row>
    <row r="260" spans="1:11" ht="19.5" hidden="1" customHeight="1">
      <c r="A260" s="1713" t="s">
        <v>335</v>
      </c>
      <c r="B260" s="1715" t="s">
        <v>1330</v>
      </c>
      <c r="C260" s="1715" t="s">
        <v>1333</v>
      </c>
      <c r="D260" s="1441"/>
      <c r="E260" s="1447"/>
      <c r="F260" s="1327"/>
      <c r="G260" s="972"/>
      <c r="H260" s="972"/>
      <c r="I260" s="25"/>
      <c r="J260" s="25"/>
      <c r="K260" s="25"/>
    </row>
    <row r="261" spans="1:11" ht="19.5" hidden="1" customHeight="1">
      <c r="A261" s="1713" t="s">
        <v>336</v>
      </c>
      <c r="B261" s="1715" t="s">
        <v>1330</v>
      </c>
      <c r="C261" s="1715" t="s">
        <v>1333</v>
      </c>
      <c r="D261" s="1441"/>
      <c r="E261" s="1447"/>
      <c r="F261" s="1327"/>
      <c r="G261" s="972"/>
      <c r="H261" s="972"/>
      <c r="I261" s="25"/>
      <c r="J261" s="25"/>
      <c r="K261" s="25"/>
    </row>
    <row r="262" spans="1:11" ht="19.5" hidden="1" customHeight="1">
      <c r="A262" s="1713" t="s">
        <v>337</v>
      </c>
      <c r="B262" s="1715" t="s">
        <v>1330</v>
      </c>
      <c r="C262" s="1715" t="s">
        <v>1333</v>
      </c>
      <c r="D262" s="1441"/>
      <c r="E262" s="1447"/>
      <c r="F262" s="1327"/>
      <c r="G262" s="972"/>
      <c r="H262" s="972"/>
      <c r="I262" s="25"/>
      <c r="J262" s="25"/>
      <c r="K262" s="25"/>
    </row>
    <row r="263" spans="1:11" ht="19.5" hidden="1" customHeight="1">
      <c r="A263" s="1713" t="s">
        <v>338</v>
      </c>
      <c r="B263" s="1715" t="s">
        <v>1348</v>
      </c>
      <c r="C263" s="1715" t="s">
        <v>1333</v>
      </c>
      <c r="D263" s="1441"/>
      <c r="E263" s="1447"/>
      <c r="F263" s="1327"/>
      <c r="G263" s="972"/>
      <c r="H263" s="972"/>
      <c r="I263" s="25"/>
      <c r="J263" s="25"/>
      <c r="K263" s="25"/>
    </row>
    <row r="264" spans="1:11" ht="19.5" hidden="1" customHeight="1">
      <c r="A264" s="1713" t="s">
        <v>339</v>
      </c>
      <c r="B264" s="1715" t="s">
        <v>1348</v>
      </c>
      <c r="C264" s="1715" t="s">
        <v>1333</v>
      </c>
      <c r="D264" s="1441"/>
      <c r="E264" s="1447"/>
      <c r="F264" s="1327"/>
      <c r="G264" s="972"/>
      <c r="H264" s="972"/>
      <c r="I264" s="25"/>
      <c r="J264" s="25"/>
      <c r="K264" s="25"/>
    </row>
    <row r="265" spans="1:11" ht="19.5" hidden="1" customHeight="1">
      <c r="A265" s="1713" t="s">
        <v>340</v>
      </c>
      <c r="B265" s="1715" t="s">
        <v>1348</v>
      </c>
      <c r="C265" s="1715" t="s">
        <v>1319</v>
      </c>
      <c r="D265" s="1441"/>
      <c r="E265" s="1447"/>
      <c r="F265" s="1327"/>
      <c r="G265" s="972"/>
      <c r="H265" s="972"/>
      <c r="I265" s="25"/>
      <c r="J265" s="25"/>
      <c r="K265" s="25"/>
    </row>
    <row r="266" spans="1:11" ht="19.5" hidden="1" customHeight="1">
      <c r="A266" s="1713" t="s">
        <v>341</v>
      </c>
      <c r="B266" s="1715" t="s">
        <v>1348</v>
      </c>
      <c r="C266" s="1715" t="s">
        <v>1319</v>
      </c>
      <c r="D266" s="1441"/>
      <c r="E266" s="1447"/>
      <c r="F266" s="1327"/>
      <c r="G266" s="972"/>
      <c r="H266" s="972"/>
      <c r="I266" s="25"/>
      <c r="J266" s="25"/>
      <c r="K266" s="25"/>
    </row>
    <row r="267" spans="1:11" ht="19.5" hidden="1" customHeight="1">
      <c r="A267" s="1713" t="s">
        <v>342</v>
      </c>
      <c r="B267" s="1715" t="s">
        <v>1348</v>
      </c>
      <c r="C267" s="1715" t="s">
        <v>1319</v>
      </c>
      <c r="D267" s="1441"/>
      <c r="E267" s="1447"/>
      <c r="F267" s="1327"/>
      <c r="G267" s="972"/>
      <c r="H267" s="972"/>
      <c r="I267" s="25"/>
      <c r="J267" s="25"/>
      <c r="K267" s="25"/>
    </row>
    <row r="268" spans="1:11" ht="19.5" hidden="1" customHeight="1">
      <c r="A268" s="1713" t="s">
        <v>343</v>
      </c>
      <c r="B268" s="1715" t="s">
        <v>1348</v>
      </c>
      <c r="C268" s="1715" t="s">
        <v>1319</v>
      </c>
      <c r="D268" s="1441"/>
      <c r="E268" s="1447"/>
      <c r="F268" s="1327"/>
      <c r="G268" s="972"/>
      <c r="H268" s="972"/>
      <c r="I268" s="25"/>
      <c r="J268" s="25"/>
      <c r="K268" s="25"/>
    </row>
    <row r="269" spans="1:11" ht="19.5" hidden="1" customHeight="1">
      <c r="A269" s="1713" t="s">
        <v>344</v>
      </c>
      <c r="B269" s="1715" t="s">
        <v>1348</v>
      </c>
      <c r="C269" s="1715" t="s">
        <v>1319</v>
      </c>
      <c r="D269" s="1441"/>
      <c r="E269" s="1447"/>
      <c r="F269" s="1327"/>
      <c r="G269" s="972"/>
      <c r="H269" s="972"/>
      <c r="I269" s="25"/>
      <c r="J269" s="25"/>
      <c r="K269" s="25"/>
    </row>
    <row r="270" spans="1:11" ht="19.5" hidden="1" customHeight="1">
      <c r="A270" s="1713"/>
      <c r="B270" s="1715"/>
      <c r="C270" s="1715"/>
      <c r="D270" s="1441"/>
      <c r="E270" s="1447"/>
      <c r="F270" s="1327"/>
      <c r="G270" s="972"/>
      <c r="H270" s="972"/>
      <c r="I270" s="25"/>
      <c r="J270" s="25"/>
      <c r="K270" s="25"/>
    </row>
    <row r="271" spans="1:11" ht="19.5" customHeight="1">
      <c r="A271" s="1710">
        <v>2017</v>
      </c>
      <c r="B271" s="1715"/>
      <c r="C271" s="1715"/>
      <c r="D271" s="1441"/>
      <c r="E271" s="1447"/>
      <c r="F271" s="1327"/>
      <c r="G271" s="972"/>
      <c r="H271" s="972"/>
      <c r="I271" s="25"/>
      <c r="J271" s="25"/>
      <c r="K271" s="25"/>
    </row>
    <row r="272" spans="1:11" ht="19.5" customHeight="1">
      <c r="A272" s="1713" t="s">
        <v>345</v>
      </c>
      <c r="B272" s="1715" t="s">
        <v>1348</v>
      </c>
      <c r="C272" s="1715" t="s">
        <v>1319</v>
      </c>
      <c r="D272" s="1441"/>
      <c r="E272" s="1447"/>
      <c r="F272" s="1327"/>
      <c r="G272" s="972"/>
      <c r="H272" s="972"/>
      <c r="I272" s="25"/>
      <c r="J272" s="25"/>
      <c r="K272" s="25"/>
    </row>
    <row r="273" spans="1:11" ht="19.5" customHeight="1">
      <c r="A273" s="1713" t="s">
        <v>334</v>
      </c>
      <c r="B273" s="1715" t="s">
        <v>1348</v>
      </c>
      <c r="C273" s="1715" t="s">
        <v>1319</v>
      </c>
      <c r="D273" s="1441"/>
      <c r="E273" s="1447"/>
      <c r="F273" s="1327"/>
      <c r="G273" s="972"/>
      <c r="H273" s="972"/>
      <c r="I273" s="25"/>
      <c r="J273" s="25"/>
      <c r="K273" s="25"/>
    </row>
    <row r="274" spans="1:11" ht="19.5" customHeight="1">
      <c r="A274" s="1713" t="s">
        <v>335</v>
      </c>
      <c r="B274" s="1715" t="s">
        <v>1348</v>
      </c>
      <c r="C274" s="1715" t="s">
        <v>1319</v>
      </c>
      <c r="D274" s="1441"/>
      <c r="E274" s="1447"/>
      <c r="F274" s="1327"/>
      <c r="G274" s="972"/>
      <c r="H274" s="972"/>
      <c r="I274" s="25"/>
      <c r="J274" s="25"/>
      <c r="K274" s="25"/>
    </row>
    <row r="275" spans="1:11" ht="19.5" customHeight="1">
      <c r="A275" s="1713" t="s">
        <v>336</v>
      </c>
      <c r="B275" s="1715" t="s">
        <v>1348</v>
      </c>
      <c r="C275" s="1715" t="s">
        <v>1319</v>
      </c>
      <c r="D275" s="1441"/>
      <c r="E275" s="1447"/>
      <c r="F275" s="1327"/>
      <c r="G275" s="972"/>
      <c r="H275" s="972"/>
      <c r="I275" s="25"/>
      <c r="J275" s="25"/>
      <c r="K275" s="25"/>
    </row>
    <row r="276" spans="1:11" ht="19.5" customHeight="1">
      <c r="A276" s="1713" t="s">
        <v>337</v>
      </c>
      <c r="B276" s="1715" t="s">
        <v>1348</v>
      </c>
      <c r="C276" s="1715" t="s">
        <v>1742</v>
      </c>
      <c r="D276" s="1441"/>
      <c r="E276" s="1447"/>
      <c r="F276" s="1327"/>
      <c r="G276" s="972"/>
      <c r="H276" s="972"/>
      <c r="I276" s="25"/>
      <c r="J276" s="25"/>
      <c r="K276" s="25"/>
    </row>
    <row r="277" spans="1:11" ht="19.5" customHeight="1">
      <c r="A277" s="1713" t="s">
        <v>338</v>
      </c>
      <c r="B277" s="1715" t="s">
        <v>1348</v>
      </c>
      <c r="C277" s="1715" t="s">
        <v>715</v>
      </c>
      <c r="D277" s="1441"/>
      <c r="E277" s="1447"/>
      <c r="F277" s="1327"/>
      <c r="G277" s="972"/>
      <c r="H277" s="972"/>
      <c r="I277" s="25"/>
      <c r="J277" s="25"/>
      <c r="K277" s="25"/>
    </row>
    <row r="278" spans="1:11" ht="19.5" customHeight="1">
      <c r="A278" s="1713" t="s">
        <v>339</v>
      </c>
      <c r="B278" s="1715" t="s">
        <v>1348</v>
      </c>
      <c r="C278" s="1715" t="s">
        <v>715</v>
      </c>
      <c r="D278" s="1441"/>
      <c r="E278" s="1447"/>
      <c r="F278" s="1327"/>
      <c r="G278" s="972"/>
      <c r="H278" s="972"/>
      <c r="I278" s="25"/>
      <c r="J278" s="25"/>
      <c r="K278" s="25"/>
    </row>
    <row r="279" spans="1:11" ht="19.5" customHeight="1">
      <c r="A279" s="1713" t="s">
        <v>340</v>
      </c>
      <c r="B279" s="1715" t="s">
        <v>1348</v>
      </c>
      <c r="C279" s="1715" t="s">
        <v>715</v>
      </c>
      <c r="D279" s="1441"/>
      <c r="E279" s="1447"/>
      <c r="F279" s="1327"/>
      <c r="G279" s="972"/>
      <c r="H279" s="972"/>
      <c r="I279" s="25"/>
      <c r="J279" s="25"/>
      <c r="K279" s="25"/>
    </row>
    <row r="280" spans="1:11" ht="19.5" customHeight="1">
      <c r="A280" s="1713" t="s">
        <v>341</v>
      </c>
      <c r="B280" s="1715" t="s">
        <v>1321</v>
      </c>
      <c r="C280" s="1715" t="s">
        <v>1331</v>
      </c>
      <c r="D280" s="1441"/>
      <c r="E280" s="1447"/>
      <c r="F280" s="1327"/>
      <c r="G280" s="972"/>
      <c r="H280" s="972"/>
      <c r="I280" s="25"/>
      <c r="J280" s="25"/>
      <c r="K280" s="25"/>
    </row>
    <row r="281" spans="1:11" ht="19.5" customHeight="1">
      <c r="A281" s="1713" t="s">
        <v>342</v>
      </c>
      <c r="B281" s="1715" t="s">
        <v>1321</v>
      </c>
      <c r="C281" s="1715" t="s">
        <v>1331</v>
      </c>
      <c r="D281" s="1441"/>
      <c r="E281" s="1447"/>
      <c r="F281" s="1327"/>
      <c r="G281" s="972"/>
      <c r="H281" s="972"/>
      <c r="I281" s="25"/>
      <c r="J281" s="25"/>
      <c r="K281" s="25"/>
    </row>
    <row r="282" spans="1:11" ht="19.5" customHeight="1">
      <c r="A282" s="1713" t="s">
        <v>343</v>
      </c>
      <c r="B282" s="1715" t="s">
        <v>1321</v>
      </c>
      <c r="C282" s="1715" t="s">
        <v>1331</v>
      </c>
      <c r="D282" s="1441"/>
      <c r="E282" s="1447"/>
      <c r="F282" s="1327"/>
      <c r="G282" s="972"/>
      <c r="H282" s="972"/>
      <c r="I282" s="25"/>
      <c r="J282" s="25"/>
      <c r="K282" s="25"/>
    </row>
    <row r="283" spans="1:11" ht="19.5" customHeight="1">
      <c r="A283" s="1713" t="s">
        <v>344</v>
      </c>
      <c r="B283" s="1715" t="s">
        <v>1321</v>
      </c>
      <c r="C283" s="1715" t="s">
        <v>1331</v>
      </c>
      <c r="D283" s="1441"/>
      <c r="E283" s="1447"/>
      <c r="F283" s="1327"/>
      <c r="G283" s="972"/>
      <c r="H283" s="972"/>
      <c r="I283" s="25"/>
      <c r="J283" s="25"/>
      <c r="K283" s="25"/>
    </row>
    <row r="284" spans="1:11" ht="19.5" customHeight="1">
      <c r="A284" s="1713"/>
      <c r="B284" s="1715"/>
      <c r="C284" s="1715"/>
      <c r="D284" s="1441"/>
      <c r="E284" s="1447"/>
      <c r="F284" s="1327"/>
      <c r="G284" s="972"/>
      <c r="H284" s="972"/>
      <c r="I284" s="25"/>
      <c r="J284" s="25"/>
      <c r="K284" s="25"/>
    </row>
    <row r="285" spans="1:11" ht="19.5" customHeight="1">
      <c r="A285" s="1289">
        <v>2018</v>
      </c>
      <c r="B285" s="1715"/>
      <c r="C285" s="1715"/>
      <c r="D285" s="1441"/>
      <c r="E285" s="1447"/>
      <c r="F285" s="1327"/>
      <c r="G285" s="972"/>
      <c r="H285" s="972"/>
      <c r="I285" s="25"/>
      <c r="J285" s="25"/>
      <c r="K285" s="25"/>
    </row>
    <row r="286" spans="1:11" ht="19.5" customHeight="1">
      <c r="A286" s="1290" t="s">
        <v>345</v>
      </c>
      <c r="B286" s="1715" t="s">
        <v>1763</v>
      </c>
      <c r="C286" s="1715" t="s">
        <v>1331</v>
      </c>
      <c r="D286" s="1441"/>
      <c r="E286" s="1447"/>
      <c r="F286" s="1327"/>
      <c r="G286" s="972"/>
      <c r="H286" s="972"/>
      <c r="I286" s="25"/>
      <c r="J286" s="25"/>
      <c r="K286" s="25"/>
    </row>
    <row r="287" spans="1:11" ht="19.5" customHeight="1">
      <c r="A287" s="1290" t="s">
        <v>334</v>
      </c>
      <c r="B287" s="1715" t="s">
        <v>1763</v>
      </c>
      <c r="C287" s="1715" t="s">
        <v>1331</v>
      </c>
      <c r="D287" s="1441"/>
      <c r="E287" s="1447"/>
      <c r="F287" s="1327"/>
      <c r="G287" s="972"/>
      <c r="H287" s="972"/>
      <c r="I287" s="25"/>
      <c r="J287" s="25"/>
      <c r="K287" s="25"/>
    </row>
    <row r="288" spans="1:11" ht="18.75" customHeight="1">
      <c r="A288" s="1290" t="s">
        <v>335</v>
      </c>
      <c r="B288" s="1715" t="s">
        <v>1763</v>
      </c>
      <c r="C288" s="1715" t="s">
        <v>1331</v>
      </c>
      <c r="D288" s="1441"/>
      <c r="E288" s="1447"/>
      <c r="F288" s="1327"/>
      <c r="G288" s="972"/>
      <c r="H288" s="972"/>
      <c r="I288" s="25"/>
      <c r="J288" s="25"/>
      <c r="K288" s="25"/>
    </row>
    <row r="289" spans="1:11" ht="18.75" customHeight="1">
      <c r="A289" s="1290" t="s">
        <v>336</v>
      </c>
      <c r="B289" s="1715" t="s">
        <v>1763</v>
      </c>
      <c r="C289" s="1715" t="s">
        <v>1331</v>
      </c>
      <c r="D289" s="1441"/>
      <c r="E289" s="1447"/>
      <c r="F289" s="1327"/>
      <c r="G289" s="972"/>
      <c r="H289" s="972"/>
      <c r="I289" s="25"/>
      <c r="J289" s="25"/>
      <c r="K289" s="25"/>
    </row>
    <row r="290" spans="1:11" ht="18.75" customHeight="1">
      <c r="A290" s="1290" t="s">
        <v>337</v>
      </c>
      <c r="B290" s="1715" t="s">
        <v>1763</v>
      </c>
      <c r="C290" s="1715" t="s">
        <v>1331</v>
      </c>
      <c r="D290" s="1441"/>
      <c r="E290" s="1447"/>
      <c r="F290" s="1327"/>
      <c r="G290" s="972"/>
      <c r="H290" s="972"/>
      <c r="I290" s="25"/>
      <c r="J290" s="25"/>
      <c r="K290" s="25"/>
    </row>
    <row r="291" spans="1:11" ht="18.75" customHeight="1">
      <c r="A291" s="1290" t="s">
        <v>338</v>
      </c>
      <c r="B291" s="1715" t="s">
        <v>1763</v>
      </c>
      <c r="C291" s="1715" t="s">
        <v>1331</v>
      </c>
      <c r="D291" s="1441"/>
      <c r="E291" s="1447"/>
      <c r="F291" s="1327"/>
      <c r="G291" s="972"/>
      <c r="H291" s="972"/>
      <c r="I291" s="25"/>
      <c r="J291" s="25"/>
      <c r="K291" s="25"/>
    </row>
    <row r="292" spans="1:11" ht="18.75" customHeight="1">
      <c r="A292" s="1290" t="s">
        <v>339</v>
      </c>
      <c r="B292" s="1715" t="s">
        <v>1763</v>
      </c>
      <c r="C292" s="1715" t="s">
        <v>1331</v>
      </c>
      <c r="D292" s="1441"/>
      <c r="E292" s="1447"/>
      <c r="F292" s="1327"/>
      <c r="G292" s="972"/>
      <c r="H292" s="972"/>
      <c r="I292" s="25"/>
      <c r="J292" s="25"/>
      <c r="K292" s="25"/>
    </row>
    <row r="293" spans="1:11" ht="18.75" customHeight="1">
      <c r="A293" s="1290" t="s">
        <v>340</v>
      </c>
      <c r="B293" s="1715" t="s">
        <v>1763</v>
      </c>
      <c r="C293" s="1715" t="s">
        <v>1331</v>
      </c>
      <c r="D293" s="1441"/>
      <c r="E293" s="1447"/>
      <c r="F293" s="1327"/>
      <c r="G293" s="972"/>
      <c r="H293" s="972"/>
      <c r="I293" s="25"/>
      <c r="J293" s="25"/>
      <c r="K293" s="25"/>
    </row>
    <row r="294" spans="1:11" ht="18.75" customHeight="1">
      <c r="A294" s="1290" t="s">
        <v>341</v>
      </c>
      <c r="B294" s="1715" t="s">
        <v>1763</v>
      </c>
      <c r="C294" s="1715" t="s">
        <v>1331</v>
      </c>
      <c r="D294" s="1441"/>
      <c r="E294" s="1447"/>
      <c r="F294" s="1327"/>
      <c r="G294" s="972"/>
      <c r="H294" s="972"/>
      <c r="I294" s="25"/>
      <c r="J294" s="25"/>
      <c r="K294" s="25"/>
    </row>
    <row r="295" spans="1:11" ht="18.75" customHeight="1">
      <c r="A295" s="1290" t="s">
        <v>342</v>
      </c>
      <c r="B295" s="1715" t="s">
        <v>1763</v>
      </c>
      <c r="C295" s="1715" t="s">
        <v>1331</v>
      </c>
      <c r="D295" s="1441"/>
      <c r="E295" s="1447"/>
      <c r="F295" s="1327"/>
      <c r="G295" s="972"/>
      <c r="H295" s="972"/>
      <c r="I295" s="25"/>
      <c r="J295" s="25"/>
      <c r="K295" s="25"/>
    </row>
    <row r="296" spans="1:11" ht="18.75" customHeight="1">
      <c r="A296" s="1290" t="s">
        <v>343</v>
      </c>
      <c r="B296" s="1715" t="s">
        <v>1763</v>
      </c>
      <c r="C296" s="1715" t="s">
        <v>1769</v>
      </c>
      <c r="D296" s="1441"/>
      <c r="E296" s="1447"/>
      <c r="F296" s="1327"/>
      <c r="G296" s="972"/>
      <c r="H296" s="972"/>
      <c r="I296" s="25"/>
      <c r="J296" s="25"/>
      <c r="K296" s="25"/>
    </row>
    <row r="297" spans="1:11" ht="18.75" customHeight="1">
      <c r="A297" s="1290" t="s">
        <v>344</v>
      </c>
      <c r="B297" s="1715" t="s">
        <v>1763</v>
      </c>
      <c r="C297" s="1715" t="s">
        <v>1770</v>
      </c>
      <c r="D297" s="1441"/>
      <c r="E297" s="1447"/>
      <c r="F297" s="1327"/>
      <c r="G297" s="972"/>
      <c r="H297" s="972"/>
      <c r="I297" s="25"/>
      <c r="J297" s="25"/>
      <c r="K297" s="25"/>
    </row>
    <row r="298" spans="1:11" ht="18.75" customHeight="1">
      <c r="A298" s="1290"/>
      <c r="B298" s="1715"/>
      <c r="C298" s="1715"/>
      <c r="D298" s="1441"/>
      <c r="E298" s="1447"/>
      <c r="F298" s="1327"/>
      <c r="G298" s="972"/>
      <c r="H298" s="972"/>
      <c r="I298" s="25"/>
      <c r="J298" s="25"/>
      <c r="K298" s="25"/>
    </row>
    <row r="299" spans="1:11" ht="18.75" customHeight="1">
      <c r="A299" s="1289">
        <v>2019</v>
      </c>
      <c r="B299" s="1715"/>
      <c r="C299" s="1715"/>
      <c r="D299" s="1441"/>
      <c r="E299" s="1447"/>
      <c r="F299" s="1327"/>
      <c r="G299" s="972"/>
      <c r="H299" s="972"/>
      <c r="I299" s="25"/>
      <c r="J299" s="25"/>
      <c r="K299" s="25"/>
    </row>
    <row r="300" spans="1:11" ht="18.75" customHeight="1">
      <c r="A300" s="1289" t="s">
        <v>345</v>
      </c>
      <c r="B300" s="1715" t="s">
        <v>1763</v>
      </c>
      <c r="C300" s="1715" t="s">
        <v>1769</v>
      </c>
      <c r="D300" s="1441"/>
      <c r="E300" s="1447"/>
      <c r="F300" s="1327"/>
      <c r="G300" s="972"/>
      <c r="H300" s="972"/>
      <c r="I300" s="25"/>
      <c r="J300" s="25"/>
      <c r="K300" s="25"/>
    </row>
    <row r="301" spans="1:11" ht="18.75" customHeight="1">
      <c r="A301" s="1289" t="s">
        <v>334</v>
      </c>
      <c r="B301" s="1715" t="s">
        <v>1763</v>
      </c>
      <c r="C301" s="1715" t="s">
        <v>1770</v>
      </c>
      <c r="D301" s="1441"/>
      <c r="E301" s="1447"/>
      <c r="F301" s="1327"/>
      <c r="G301" s="972"/>
      <c r="H301" s="972"/>
      <c r="I301" s="25"/>
      <c r="J301" s="25"/>
      <c r="K301" s="25"/>
    </row>
    <row r="302" spans="1:11" ht="18.75" customHeight="1">
      <c r="A302" s="1289" t="s">
        <v>335</v>
      </c>
      <c r="B302" s="1715" t="s">
        <v>1763</v>
      </c>
      <c r="C302" s="1715" t="s">
        <v>1769</v>
      </c>
      <c r="D302" s="1441"/>
      <c r="E302" s="1447"/>
      <c r="F302" s="1327"/>
      <c r="G302" s="972"/>
      <c r="H302" s="972"/>
      <c r="I302" s="25"/>
      <c r="J302" s="25"/>
      <c r="K302" s="25"/>
    </row>
    <row r="303" spans="1:11" ht="18.75" customHeight="1">
      <c r="A303" s="1289" t="s">
        <v>336</v>
      </c>
      <c r="B303" s="1715" t="s">
        <v>1763</v>
      </c>
      <c r="C303" s="1715" t="s">
        <v>1769</v>
      </c>
      <c r="D303" s="1441"/>
      <c r="E303" s="1447"/>
      <c r="F303" s="1327"/>
      <c r="G303" s="972"/>
      <c r="H303" s="972"/>
      <c r="I303" s="25"/>
      <c r="J303" s="25"/>
      <c r="K303" s="25"/>
    </row>
    <row r="304" spans="1:11" ht="18.75" customHeight="1">
      <c r="A304" s="1289" t="s">
        <v>337</v>
      </c>
      <c r="B304" s="1715" t="s">
        <v>1763</v>
      </c>
      <c r="C304" s="1715" t="s">
        <v>1769</v>
      </c>
      <c r="D304" s="1441"/>
      <c r="E304" s="1447"/>
      <c r="F304" s="1327"/>
      <c r="G304" s="972"/>
      <c r="H304" s="972"/>
      <c r="I304" s="25"/>
      <c r="J304" s="25"/>
      <c r="K304" s="25"/>
    </row>
    <row r="305" spans="1:11" ht="18.75" customHeight="1">
      <c r="A305" s="1289" t="s">
        <v>338</v>
      </c>
      <c r="B305" s="1715" t="s">
        <v>1763</v>
      </c>
      <c r="C305" s="1715" t="s">
        <v>1769</v>
      </c>
      <c r="D305" s="1441"/>
      <c r="E305" s="1447"/>
      <c r="F305" s="1327"/>
      <c r="G305" s="972"/>
      <c r="H305" s="972"/>
      <c r="I305" s="25"/>
      <c r="J305" s="25"/>
      <c r="K305" s="25"/>
    </row>
    <row r="306" spans="1:11" ht="18.75" customHeight="1">
      <c r="A306" s="1289" t="s">
        <v>339</v>
      </c>
      <c r="B306" s="1715" t="s">
        <v>1763</v>
      </c>
      <c r="C306" s="1715" t="s">
        <v>1769</v>
      </c>
      <c r="D306" s="1441"/>
      <c r="E306" s="1447"/>
      <c r="F306" s="1327"/>
      <c r="G306" s="972"/>
      <c r="H306" s="972"/>
      <c r="I306" s="25"/>
      <c r="J306" s="25"/>
      <c r="K306" s="25"/>
    </row>
    <row r="307" spans="1:11" ht="19.5" customHeight="1" thickBot="1">
      <c r="A307" s="1715" t="s">
        <v>340</v>
      </c>
      <c r="B307" s="1715" t="s">
        <v>1763</v>
      </c>
      <c r="C307" s="1715" t="s">
        <v>1769</v>
      </c>
      <c r="D307" s="1703"/>
      <c r="E307" s="1448"/>
      <c r="F307" s="1438"/>
      <c r="G307" s="972"/>
      <c r="H307" s="972"/>
      <c r="I307" s="25"/>
      <c r="J307" s="25"/>
      <c r="K307" s="25"/>
    </row>
    <row r="308" spans="1:11" ht="19.5" customHeight="1" thickTop="1" thickBot="1">
      <c r="A308" s="1716" t="s">
        <v>341</v>
      </c>
      <c r="B308" s="1716" t="s">
        <v>1763</v>
      </c>
      <c r="C308" s="1716" t="s">
        <v>1769</v>
      </c>
      <c r="D308" s="972"/>
      <c r="E308" s="972"/>
      <c r="F308" s="1000"/>
      <c r="G308" s="972"/>
      <c r="H308" s="972"/>
      <c r="I308" s="25"/>
      <c r="J308" s="25"/>
      <c r="K308" s="25"/>
    </row>
    <row r="309" spans="1:11" ht="19.5" customHeight="1" thickTop="1">
      <c r="A309" s="1328"/>
      <c r="B309" s="1000"/>
      <c r="C309" s="1000"/>
      <c r="D309" s="972"/>
      <c r="E309" s="972"/>
      <c r="F309" s="998"/>
      <c r="G309" s="972"/>
      <c r="H309" s="972"/>
      <c r="I309" s="25"/>
      <c r="J309" s="25"/>
      <c r="K309" s="25"/>
    </row>
    <row r="310" spans="1:11" ht="18.75" customHeight="1">
      <c r="A310" s="935" t="s">
        <v>1773</v>
      </c>
      <c r="B310" s="1420"/>
      <c r="C310" s="1000"/>
      <c r="D310" s="972"/>
      <c r="E310" s="972"/>
      <c r="F310" s="1000"/>
      <c r="G310" s="972"/>
      <c r="H310" s="972"/>
      <c r="I310" s="25"/>
      <c r="J310" s="25"/>
      <c r="K310" s="25"/>
    </row>
    <row r="311" spans="1:11" ht="18.75" customHeight="1">
      <c r="A311" s="972" t="s">
        <v>1751</v>
      </c>
      <c r="B311" s="996"/>
      <c r="C311" s="999"/>
      <c r="D311" s="972"/>
      <c r="E311" s="972"/>
      <c r="F311" s="1000"/>
      <c r="G311" s="972"/>
      <c r="H311" s="972"/>
      <c r="I311" s="25"/>
      <c r="J311" s="25"/>
      <c r="K311" s="25"/>
    </row>
    <row r="312" spans="1:11" s="935" customFormat="1" ht="18.75" customHeight="1">
      <c r="A312" s="972" t="s">
        <v>1744</v>
      </c>
      <c r="B312" s="968"/>
      <c r="C312" s="968"/>
      <c r="D312" s="968"/>
      <c r="E312" s="968"/>
      <c r="F312" s="968"/>
      <c r="G312" s="968"/>
      <c r="H312" s="968"/>
    </row>
    <row r="313" spans="1:11" ht="12.75" customHeight="1">
      <c r="A313" s="915"/>
      <c r="B313" s="916"/>
      <c r="C313" s="915"/>
      <c r="D313" s="915"/>
      <c r="E313" s="915"/>
      <c r="F313" s="915"/>
      <c r="G313" s="915"/>
      <c r="H313" s="915"/>
      <c r="I313" s="25"/>
      <c r="J313" s="25"/>
      <c r="K313" s="25"/>
    </row>
    <row r="314" spans="1:11" ht="12.75" customHeight="1">
      <c r="A314" s="970"/>
      <c r="B314" s="916"/>
      <c r="C314" s="915"/>
      <c r="D314" s="915"/>
      <c r="E314" s="915"/>
      <c r="F314" s="915"/>
      <c r="G314" s="915"/>
      <c r="H314" s="915"/>
      <c r="I314" s="25"/>
      <c r="J314" s="25"/>
      <c r="K314" s="25"/>
    </row>
    <row r="315" spans="1:11" ht="12.75" customHeight="1">
      <c r="A315" s="970"/>
      <c r="B315" s="916"/>
      <c r="C315" s="915"/>
      <c r="D315" s="915"/>
      <c r="E315" s="915"/>
      <c r="F315" s="915"/>
      <c r="G315" s="915"/>
      <c r="H315" s="915"/>
      <c r="I315" s="25"/>
      <c r="J315" s="25"/>
      <c r="K315" s="25"/>
    </row>
    <row r="316" spans="1:11" ht="12.75" customHeight="1">
      <c r="A316" s="970"/>
      <c r="B316" s="916"/>
      <c r="C316" s="915"/>
      <c r="D316" s="915"/>
      <c r="E316" s="915"/>
      <c r="F316" s="915"/>
      <c r="G316" s="915"/>
      <c r="H316" s="915"/>
      <c r="I316" s="25"/>
      <c r="J316" s="25"/>
      <c r="K316" s="25"/>
    </row>
    <row r="317" spans="1:11" ht="12.75" customHeight="1">
      <c r="A317" s="970"/>
      <c r="B317" s="916"/>
      <c r="C317" s="915"/>
      <c r="D317" s="915"/>
      <c r="E317" s="915"/>
      <c r="F317" s="915"/>
      <c r="G317" s="915"/>
      <c r="H317" s="915"/>
      <c r="I317" s="25"/>
      <c r="J317" s="25"/>
      <c r="K317" s="25"/>
    </row>
    <row r="318" spans="1:11" ht="12.75" customHeight="1">
      <c r="A318" s="970"/>
      <c r="B318" s="916"/>
      <c r="C318" s="915"/>
      <c r="D318" s="915"/>
      <c r="E318" s="915"/>
      <c r="F318" s="915"/>
      <c r="G318" s="915"/>
      <c r="H318" s="915"/>
      <c r="I318" s="25"/>
      <c r="J318" s="25"/>
      <c r="K318" s="25"/>
    </row>
    <row r="319" spans="1:11" ht="12.75" customHeight="1">
      <c r="A319" s="970"/>
      <c r="B319" s="916"/>
      <c r="C319" s="915"/>
      <c r="D319" s="915"/>
      <c r="E319" s="915"/>
      <c r="F319" s="915"/>
      <c r="G319" s="915"/>
      <c r="H319" s="915"/>
      <c r="I319" s="25"/>
      <c r="J319" s="25"/>
      <c r="K319" s="25"/>
    </row>
    <row r="320" spans="1:11" ht="12.75" customHeight="1">
      <c r="A320" s="970"/>
      <c r="B320" s="916"/>
      <c r="C320" s="915"/>
      <c r="D320" s="915"/>
      <c r="E320" s="915"/>
      <c r="F320" s="915"/>
      <c r="G320" s="915"/>
      <c r="H320" s="915"/>
      <c r="I320" s="25"/>
      <c r="J320" s="25"/>
      <c r="K320" s="25"/>
    </row>
    <row r="321" spans="1:11" ht="12.75" customHeight="1">
      <c r="A321" s="970"/>
      <c r="B321" s="916"/>
      <c r="C321" s="915"/>
      <c r="D321" s="915"/>
      <c r="E321" s="915"/>
      <c r="F321" s="915"/>
      <c r="G321" s="915"/>
      <c r="H321" s="915"/>
      <c r="I321" s="25"/>
      <c r="J321" s="25"/>
      <c r="K321" s="25"/>
    </row>
    <row r="322" spans="1:11" ht="12.75" customHeight="1">
      <c r="A322" s="915"/>
      <c r="B322" s="916"/>
      <c r="C322" s="915"/>
      <c r="D322" s="915"/>
      <c r="E322" s="915"/>
      <c r="F322" s="915"/>
      <c r="G322" s="915"/>
      <c r="H322" s="915"/>
      <c r="I322" s="25"/>
      <c r="J322" s="25"/>
      <c r="K322" s="25"/>
    </row>
    <row r="323" spans="1:11" ht="12.75" customHeight="1">
      <c r="A323" s="25"/>
      <c r="B323" s="25"/>
      <c r="C323" s="25"/>
      <c r="D323" s="25"/>
      <c r="E323" s="25"/>
      <c r="F323" s="25"/>
      <c r="G323" s="25"/>
      <c r="H323" s="25"/>
      <c r="I323" s="25"/>
      <c r="J323" s="25"/>
      <c r="K323" s="25"/>
    </row>
    <row r="324" spans="1:11" ht="12.75" customHeight="1">
      <c r="A324" s="30"/>
      <c r="B324" s="25"/>
      <c r="C324" s="25"/>
      <c r="D324" s="25"/>
      <c r="E324" s="25"/>
      <c r="F324" s="25"/>
      <c r="G324" s="25"/>
      <c r="H324" s="25"/>
      <c r="I324" s="25"/>
      <c r="J324" s="25"/>
      <c r="K324" s="25"/>
    </row>
    <row r="325" spans="1:11" ht="12.75" customHeight="1">
      <c r="A325" s="25"/>
      <c r="B325" s="25"/>
      <c r="C325" s="25"/>
      <c r="D325" s="25"/>
      <c r="E325" s="25"/>
      <c r="F325" s="25"/>
      <c r="G325" s="25"/>
      <c r="H325" s="25"/>
      <c r="I325" s="25"/>
      <c r="J325" s="25"/>
      <c r="K325" s="25"/>
    </row>
    <row r="326" spans="1:11" ht="12.75" customHeight="1">
      <c r="A326" s="25"/>
      <c r="B326" s="25" t="s">
        <v>250</v>
      </c>
      <c r="C326" s="25"/>
      <c r="D326" s="25"/>
      <c r="E326" s="25"/>
      <c r="F326" s="25"/>
      <c r="G326" s="25"/>
      <c r="H326" s="25"/>
      <c r="I326" s="25"/>
      <c r="J326" s="25"/>
      <c r="K326" s="25"/>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6">
        <f>4920100299/1000</f>
        <v>4920100.2989999996</v>
      </c>
      <c r="I490" s="26">
        <v>725</v>
      </c>
    </row>
    <row r="491" spans="8:9">
      <c r="H491" s="26">
        <f>4698281252/1000</f>
        <v>4698281.2520000003</v>
      </c>
      <c r="I491" s="26">
        <v>20</v>
      </c>
    </row>
    <row r="492" spans="8:9">
      <c r="H492" s="26">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8"/>
    <col min="3" max="3" width="14.08984375" style="218" customWidth="1"/>
    <col min="4" max="4" width="13.08984375" style="218" customWidth="1"/>
    <col min="5" max="5" width="11.36328125" style="218" customWidth="1"/>
    <col min="6" max="6" width="12.1796875" style="218" customWidth="1"/>
    <col min="7" max="7" width="11.36328125" style="218" customWidth="1"/>
    <col min="8" max="8" width="13.08984375" style="218" customWidth="1"/>
    <col min="9" max="9" width="13" style="218" customWidth="1"/>
    <col min="10" max="10" width="16.6328125" style="218" customWidth="1"/>
    <col min="11" max="16384" width="8.90625" style="218"/>
  </cols>
  <sheetData>
    <row r="4" spans="3:11" ht="15.6">
      <c r="C4" s="215" t="s">
        <v>1056</v>
      </c>
      <c r="D4" s="215"/>
      <c r="E4" s="215"/>
      <c r="F4" s="215"/>
      <c r="G4" s="215"/>
      <c r="H4" s="215"/>
      <c r="I4" s="215"/>
      <c r="J4" s="216"/>
      <c r="K4" s="217"/>
    </row>
    <row r="5" spans="3:11" ht="15.6">
      <c r="C5" s="215"/>
      <c r="D5" s="215"/>
      <c r="E5" s="215"/>
      <c r="F5" s="215"/>
      <c r="G5" s="215"/>
      <c r="H5" s="215"/>
      <c r="I5" s="215"/>
      <c r="J5" s="216"/>
      <c r="K5" s="217"/>
    </row>
    <row r="6" spans="3:11" ht="15.6">
      <c r="C6" s="219"/>
      <c r="D6" s="219"/>
      <c r="E6" s="219"/>
      <c r="F6" s="219"/>
      <c r="G6" s="219"/>
      <c r="H6" s="219"/>
      <c r="I6" s="219"/>
      <c r="J6" s="219"/>
      <c r="K6" s="217"/>
    </row>
    <row r="7" spans="3:11" ht="16.2" thickBot="1">
      <c r="C7" s="219"/>
      <c r="D7" s="219"/>
      <c r="E7" s="219"/>
      <c r="F7" s="219"/>
      <c r="G7" s="219"/>
      <c r="H7" s="219"/>
      <c r="I7" s="219"/>
      <c r="J7" s="219"/>
      <c r="K7" s="217"/>
    </row>
    <row r="8" spans="3:11" ht="16.2" thickTop="1">
      <c r="C8" s="220"/>
      <c r="D8" s="220"/>
      <c r="E8" s="221"/>
      <c r="F8" s="221"/>
      <c r="G8" s="221"/>
      <c r="H8" s="221"/>
      <c r="I8" s="220"/>
      <c r="J8" s="221"/>
      <c r="K8" s="222"/>
    </row>
    <row r="9" spans="3:11" ht="15.6">
      <c r="C9" s="223"/>
      <c r="D9" s="1869" t="s">
        <v>1057</v>
      </c>
      <c r="E9" s="1870"/>
      <c r="F9" s="1870"/>
      <c r="G9" s="1870"/>
      <c r="H9" s="1871"/>
      <c r="I9" s="224" t="s">
        <v>1058</v>
      </c>
      <c r="J9" s="225"/>
      <c r="K9" s="222"/>
    </row>
    <row r="10" spans="3:11" ht="16.2" thickBot="1">
      <c r="C10" s="223"/>
      <c r="D10" s="223"/>
      <c r="E10" s="219"/>
      <c r="F10" s="219"/>
      <c r="G10" s="219"/>
      <c r="H10" s="219"/>
      <c r="I10" s="223"/>
      <c r="J10" s="219"/>
      <c r="K10" s="222"/>
    </row>
    <row r="11" spans="3:11" ht="16.2" thickTop="1">
      <c r="C11" s="223"/>
      <c r="D11" s="220"/>
      <c r="E11" s="220"/>
      <c r="F11" s="220"/>
      <c r="G11" s="220"/>
      <c r="H11" s="220"/>
      <c r="I11" s="220"/>
      <c r="J11" s="220"/>
      <c r="K11" s="222"/>
    </row>
    <row r="12" spans="3:11" ht="15.6">
      <c r="C12" s="226" t="s">
        <v>263</v>
      </c>
      <c r="D12" s="224"/>
      <c r="E12" s="224"/>
      <c r="F12" s="224"/>
      <c r="G12" s="226" t="s">
        <v>294</v>
      </c>
      <c r="H12" s="224"/>
      <c r="I12" s="224"/>
      <c r="J12" s="224"/>
      <c r="K12" s="222"/>
    </row>
    <row r="13" spans="3:11" ht="15.6">
      <c r="C13" s="224"/>
      <c r="D13" s="226" t="s">
        <v>786</v>
      </c>
      <c r="E13" s="226" t="s">
        <v>421</v>
      </c>
      <c r="F13" s="226" t="s">
        <v>422</v>
      </c>
      <c r="G13" s="226" t="s">
        <v>1059</v>
      </c>
      <c r="H13" s="226" t="s">
        <v>1060</v>
      </c>
      <c r="I13" s="226" t="s">
        <v>786</v>
      </c>
      <c r="J13" s="226" t="s">
        <v>1061</v>
      </c>
      <c r="K13" s="222"/>
    </row>
    <row r="14" spans="3:11" ht="16.2" thickBot="1">
      <c r="C14" s="223"/>
      <c r="D14" s="223"/>
      <c r="E14" s="223"/>
      <c r="F14" s="223"/>
      <c r="G14" s="223"/>
      <c r="H14" s="223"/>
      <c r="I14" s="223"/>
      <c r="J14" s="223"/>
      <c r="K14" s="222"/>
    </row>
    <row r="15" spans="3:11" ht="16.2" thickTop="1">
      <c r="C15" s="227"/>
      <c r="D15" s="220"/>
      <c r="E15" s="220"/>
      <c r="F15" s="220"/>
      <c r="G15" s="220"/>
      <c r="H15" s="220"/>
      <c r="I15" s="220"/>
      <c r="J15" s="220"/>
      <c r="K15" s="222"/>
    </row>
    <row r="16" spans="3:11" ht="15.6" hidden="1">
      <c r="C16" s="228">
        <v>1999</v>
      </c>
      <c r="D16" s="223"/>
      <c r="E16" s="223"/>
      <c r="F16" s="223"/>
      <c r="G16" s="223"/>
      <c r="H16" s="223"/>
      <c r="I16" s="223"/>
      <c r="J16" s="223"/>
      <c r="K16" s="222"/>
    </row>
    <row r="17" spans="3:11" ht="15.6" hidden="1">
      <c r="C17" s="224"/>
      <c r="D17" s="229"/>
      <c r="E17" s="229"/>
      <c r="F17" s="229"/>
      <c r="G17" s="226"/>
      <c r="H17" s="226"/>
      <c r="I17" s="229"/>
      <c r="J17" s="229"/>
      <c r="K17" s="222"/>
    </row>
    <row r="18" spans="3:11" ht="15.6" hidden="1">
      <c r="C18" s="224" t="s">
        <v>307</v>
      </c>
      <c r="D18" s="229" t="s">
        <v>1062</v>
      </c>
      <c r="E18" s="229" t="s">
        <v>1063</v>
      </c>
      <c r="F18" s="229" t="s">
        <v>1064</v>
      </c>
      <c r="G18" s="226" t="s">
        <v>1065</v>
      </c>
      <c r="H18" s="226" t="s">
        <v>1066</v>
      </c>
      <c r="I18" s="229" t="s">
        <v>1067</v>
      </c>
      <c r="J18" s="229">
        <v>24</v>
      </c>
      <c r="K18" s="222"/>
    </row>
    <row r="19" spans="3:11" ht="15.6" hidden="1">
      <c r="C19" s="224" t="s">
        <v>308</v>
      </c>
      <c r="D19" s="229" t="s">
        <v>1062</v>
      </c>
      <c r="E19" s="229" t="s">
        <v>1063</v>
      </c>
      <c r="F19" s="229" t="s">
        <v>1064</v>
      </c>
      <c r="G19" s="226" t="s">
        <v>1065</v>
      </c>
      <c r="H19" s="226" t="s">
        <v>1066</v>
      </c>
      <c r="I19" s="229" t="s">
        <v>1067</v>
      </c>
      <c r="J19" s="229">
        <v>24</v>
      </c>
      <c r="K19" s="222"/>
    </row>
    <row r="20" spans="3:11" ht="15.6" hidden="1">
      <c r="C20" s="224" t="s">
        <v>311</v>
      </c>
      <c r="D20" s="229" t="s">
        <v>1062</v>
      </c>
      <c r="E20" s="229" t="s">
        <v>1063</v>
      </c>
      <c r="F20" s="229" t="s">
        <v>1064</v>
      </c>
      <c r="G20" s="226" t="s">
        <v>1065</v>
      </c>
      <c r="H20" s="226" t="s">
        <v>1066</v>
      </c>
      <c r="I20" s="229" t="s">
        <v>1067</v>
      </c>
      <c r="J20" s="229">
        <v>24</v>
      </c>
      <c r="K20" s="222"/>
    </row>
    <row r="21" spans="3:11" ht="15.6" hidden="1">
      <c r="C21" s="224"/>
      <c r="D21" s="229"/>
      <c r="E21" s="229"/>
      <c r="F21" s="229"/>
      <c r="G21" s="226"/>
      <c r="H21" s="226"/>
      <c r="I21" s="229"/>
      <c r="J21" s="229"/>
      <c r="K21" s="222"/>
    </row>
    <row r="22" spans="3:11" ht="15.6" hidden="1">
      <c r="C22" s="226" t="s">
        <v>710</v>
      </c>
      <c r="D22" s="229"/>
      <c r="E22" s="229"/>
      <c r="F22" s="229"/>
      <c r="G22" s="226"/>
      <c r="H22" s="226"/>
      <c r="I22" s="229"/>
      <c r="J22" s="229"/>
      <c r="K22" s="222"/>
    </row>
    <row r="23" spans="3:11" ht="15.6" hidden="1">
      <c r="C23" s="224"/>
      <c r="D23" s="229"/>
      <c r="E23" s="229"/>
      <c r="F23" s="229"/>
      <c r="G23" s="226"/>
      <c r="H23" s="226"/>
      <c r="I23" s="229"/>
      <c r="J23" s="229"/>
      <c r="K23" s="222"/>
    </row>
    <row r="24" spans="3:11" ht="15.6" hidden="1">
      <c r="C24" s="224" t="s">
        <v>298</v>
      </c>
      <c r="D24" s="229" t="s">
        <v>1062</v>
      </c>
      <c r="E24" s="229" t="s">
        <v>1063</v>
      </c>
      <c r="F24" s="229" t="s">
        <v>1064</v>
      </c>
      <c r="G24" s="226" t="s">
        <v>1065</v>
      </c>
      <c r="H24" s="226" t="s">
        <v>1066</v>
      </c>
      <c r="I24" s="229" t="s">
        <v>1067</v>
      </c>
      <c r="J24" s="229">
        <v>24</v>
      </c>
      <c r="K24" s="222"/>
    </row>
    <row r="25" spans="3:11" ht="15.6" hidden="1">
      <c r="C25" s="224" t="s">
        <v>299</v>
      </c>
      <c r="D25" s="229" t="s">
        <v>1062</v>
      </c>
      <c r="E25" s="229" t="s">
        <v>1063</v>
      </c>
      <c r="F25" s="229" t="s">
        <v>1064</v>
      </c>
      <c r="G25" s="226" t="s">
        <v>1065</v>
      </c>
      <c r="H25" s="226" t="s">
        <v>1066</v>
      </c>
      <c r="I25" s="229" t="s">
        <v>1067</v>
      </c>
      <c r="J25" s="229">
        <v>24</v>
      </c>
      <c r="K25" s="222"/>
    </row>
    <row r="26" spans="3:11" ht="15.6" hidden="1">
      <c r="C26" s="224" t="s">
        <v>300</v>
      </c>
      <c r="D26" s="229" t="s">
        <v>1062</v>
      </c>
      <c r="E26" s="229" t="s">
        <v>1063</v>
      </c>
      <c r="F26" s="229" t="s">
        <v>1064</v>
      </c>
      <c r="G26" s="226" t="s">
        <v>1065</v>
      </c>
      <c r="H26" s="226" t="s">
        <v>1066</v>
      </c>
      <c r="I26" s="229" t="s">
        <v>1067</v>
      </c>
      <c r="J26" s="229">
        <v>24</v>
      </c>
      <c r="K26" s="222"/>
    </row>
    <row r="27" spans="3:11" ht="15.6" hidden="1">
      <c r="C27" s="224" t="s">
        <v>301</v>
      </c>
      <c r="D27" s="229" t="s">
        <v>1062</v>
      </c>
      <c r="E27" s="229" t="s">
        <v>1063</v>
      </c>
      <c r="F27" s="229" t="s">
        <v>1064</v>
      </c>
      <c r="G27" s="226" t="s">
        <v>1065</v>
      </c>
      <c r="H27" s="226" t="s">
        <v>1066</v>
      </c>
      <c r="I27" s="229" t="s">
        <v>1067</v>
      </c>
      <c r="J27" s="229">
        <v>24</v>
      </c>
      <c r="K27" s="222"/>
    </row>
    <row r="28" spans="3:11" ht="15.6" hidden="1">
      <c r="C28" s="224" t="s">
        <v>302</v>
      </c>
      <c r="D28" s="229" t="s">
        <v>1062</v>
      </c>
      <c r="E28" s="229" t="s">
        <v>1063</v>
      </c>
      <c r="F28" s="229" t="s">
        <v>1064</v>
      </c>
      <c r="G28" s="226" t="s">
        <v>1065</v>
      </c>
      <c r="H28" s="226" t="s">
        <v>1066</v>
      </c>
      <c r="I28" s="229" t="s">
        <v>1067</v>
      </c>
      <c r="J28" s="229">
        <v>24</v>
      </c>
      <c r="K28" s="222"/>
    </row>
    <row r="29" spans="3:11" ht="15.6" hidden="1">
      <c r="C29" s="224" t="s">
        <v>303</v>
      </c>
      <c r="D29" s="229" t="s">
        <v>1062</v>
      </c>
      <c r="E29" s="229" t="s">
        <v>1063</v>
      </c>
      <c r="F29" s="229" t="s">
        <v>1064</v>
      </c>
      <c r="G29" s="226" t="s">
        <v>1065</v>
      </c>
      <c r="H29" s="226" t="s">
        <v>1066</v>
      </c>
      <c r="I29" s="229" t="s">
        <v>1067</v>
      </c>
      <c r="J29" s="229">
        <v>24</v>
      </c>
      <c r="K29" s="222"/>
    </row>
    <row r="30" spans="3:11" ht="15.6" hidden="1">
      <c r="C30" s="224" t="s">
        <v>304</v>
      </c>
      <c r="D30" s="229" t="s">
        <v>1062</v>
      </c>
      <c r="E30" s="229" t="s">
        <v>1063</v>
      </c>
      <c r="F30" s="229" t="s">
        <v>1064</v>
      </c>
      <c r="G30" s="226" t="s">
        <v>1065</v>
      </c>
      <c r="H30" s="226" t="s">
        <v>1066</v>
      </c>
      <c r="I30" s="229" t="s">
        <v>1067</v>
      </c>
      <c r="J30" s="229">
        <v>24</v>
      </c>
      <c r="K30" s="222"/>
    </row>
    <row r="31" spans="3:11" ht="15.6" hidden="1">
      <c r="C31" s="224" t="s">
        <v>305</v>
      </c>
      <c r="D31" s="229" t="s">
        <v>1062</v>
      </c>
      <c r="E31" s="229" t="s">
        <v>1063</v>
      </c>
      <c r="F31" s="229" t="s">
        <v>1064</v>
      </c>
      <c r="G31" s="226" t="s">
        <v>1065</v>
      </c>
      <c r="H31" s="226" t="s">
        <v>1066</v>
      </c>
      <c r="I31" s="229" t="s">
        <v>1067</v>
      </c>
      <c r="J31" s="229">
        <v>24</v>
      </c>
      <c r="K31" s="222"/>
    </row>
    <row r="32" spans="3:11" ht="15.6" hidden="1">
      <c r="C32" s="224" t="s">
        <v>306</v>
      </c>
      <c r="D32" s="229" t="s">
        <v>1062</v>
      </c>
      <c r="E32" s="229" t="s">
        <v>1063</v>
      </c>
      <c r="F32" s="229" t="s">
        <v>1064</v>
      </c>
      <c r="G32" s="226" t="s">
        <v>1065</v>
      </c>
      <c r="H32" s="226" t="s">
        <v>1066</v>
      </c>
      <c r="I32" s="229" t="s">
        <v>1067</v>
      </c>
      <c r="J32" s="229">
        <v>24</v>
      </c>
      <c r="K32" s="222"/>
    </row>
    <row r="33" spans="3:11" ht="15.6" hidden="1">
      <c r="C33" s="224" t="s">
        <v>1068</v>
      </c>
      <c r="D33" s="229" t="s">
        <v>1062</v>
      </c>
      <c r="E33" s="229" t="s">
        <v>1063</v>
      </c>
      <c r="F33" s="229" t="s">
        <v>1064</v>
      </c>
      <c r="G33" s="226" t="s">
        <v>1065</v>
      </c>
      <c r="H33" s="226" t="s">
        <v>1066</v>
      </c>
      <c r="I33" s="229" t="s">
        <v>1067</v>
      </c>
      <c r="J33" s="229">
        <v>24</v>
      </c>
      <c r="K33" s="222"/>
    </row>
    <row r="34" spans="3:11" ht="15.6" hidden="1">
      <c r="C34" s="224" t="s">
        <v>308</v>
      </c>
      <c r="D34" s="229" t="s">
        <v>1062</v>
      </c>
      <c r="E34" s="229" t="s">
        <v>1063</v>
      </c>
      <c r="F34" s="229" t="s">
        <v>1064</v>
      </c>
      <c r="G34" s="226" t="s">
        <v>1065</v>
      </c>
      <c r="H34" s="226" t="s">
        <v>1066</v>
      </c>
      <c r="I34" s="229" t="s">
        <v>1067</v>
      </c>
      <c r="J34" s="229">
        <v>24</v>
      </c>
      <c r="K34" s="222"/>
    </row>
    <row r="35" spans="3:11" ht="15.6" hidden="1">
      <c r="C35" s="224" t="s">
        <v>311</v>
      </c>
      <c r="D35" s="229" t="s">
        <v>1062</v>
      </c>
      <c r="E35" s="229" t="s">
        <v>1063</v>
      </c>
      <c r="F35" s="229" t="s">
        <v>1064</v>
      </c>
      <c r="G35" s="226" t="s">
        <v>1065</v>
      </c>
      <c r="H35" s="226" t="s">
        <v>1066</v>
      </c>
      <c r="I35" s="229" t="s">
        <v>1067</v>
      </c>
      <c r="J35" s="229">
        <v>24</v>
      </c>
      <c r="K35" s="222"/>
    </row>
    <row r="36" spans="3:11" ht="15.6" hidden="1">
      <c r="C36" s="224"/>
      <c r="D36" s="229"/>
      <c r="E36" s="229"/>
      <c r="F36" s="229"/>
      <c r="G36" s="226"/>
      <c r="H36" s="226"/>
      <c r="I36" s="229"/>
      <c r="J36" s="229"/>
      <c r="K36" s="222"/>
    </row>
    <row r="37" spans="3:11" ht="15.6" hidden="1">
      <c r="C37" s="226">
        <v>2001</v>
      </c>
      <c r="D37" s="229"/>
      <c r="E37" s="229"/>
      <c r="F37" s="229"/>
      <c r="G37" s="226"/>
      <c r="H37" s="226"/>
      <c r="I37" s="229"/>
      <c r="J37" s="229"/>
      <c r="K37" s="222"/>
    </row>
    <row r="38" spans="3:11" ht="15.6" hidden="1">
      <c r="C38" s="226"/>
      <c r="D38" s="229"/>
      <c r="E38" s="229"/>
      <c r="F38" s="229"/>
      <c r="G38" s="226"/>
      <c r="H38" s="226"/>
      <c r="I38" s="229"/>
      <c r="J38" s="229"/>
      <c r="K38" s="222"/>
    </row>
    <row r="39" spans="3:11" ht="15.6" hidden="1">
      <c r="C39" s="224" t="s">
        <v>298</v>
      </c>
      <c r="D39" s="229" t="s">
        <v>1062</v>
      </c>
      <c r="E39" s="229" t="s">
        <v>1063</v>
      </c>
      <c r="F39" s="229" t="s">
        <v>1064</v>
      </c>
      <c r="G39" s="226" t="s">
        <v>1065</v>
      </c>
      <c r="H39" s="226" t="s">
        <v>1066</v>
      </c>
      <c r="I39" s="229" t="s">
        <v>1067</v>
      </c>
      <c r="J39" s="229">
        <v>24</v>
      </c>
      <c r="K39" s="222"/>
    </row>
    <row r="40" spans="3:11" ht="15.6" hidden="1">
      <c r="C40" s="224" t="s">
        <v>299</v>
      </c>
      <c r="D40" s="229" t="s">
        <v>1062</v>
      </c>
      <c r="E40" s="229" t="s">
        <v>1063</v>
      </c>
      <c r="F40" s="229" t="s">
        <v>1064</v>
      </c>
      <c r="G40" s="226" t="s">
        <v>1065</v>
      </c>
      <c r="H40" s="226" t="s">
        <v>1066</v>
      </c>
      <c r="I40" s="229" t="s">
        <v>1067</v>
      </c>
      <c r="J40" s="229">
        <v>24</v>
      </c>
      <c r="K40" s="222"/>
    </row>
    <row r="41" spans="3:11" ht="15.6" hidden="1">
      <c r="C41" s="224" t="s">
        <v>300</v>
      </c>
      <c r="D41" s="229" t="s">
        <v>1062</v>
      </c>
      <c r="E41" s="229" t="s">
        <v>1063</v>
      </c>
      <c r="F41" s="229" t="s">
        <v>1064</v>
      </c>
      <c r="G41" s="226" t="s">
        <v>1065</v>
      </c>
      <c r="H41" s="226" t="s">
        <v>1066</v>
      </c>
      <c r="I41" s="229" t="s">
        <v>1067</v>
      </c>
      <c r="J41" s="229">
        <v>24</v>
      </c>
      <c r="K41" s="222"/>
    </row>
    <row r="42" spans="3:11" ht="15.6" hidden="1">
      <c r="C42" s="224" t="s">
        <v>301</v>
      </c>
      <c r="D42" s="229" t="s">
        <v>1062</v>
      </c>
      <c r="E42" s="229" t="s">
        <v>1063</v>
      </c>
      <c r="F42" s="229" t="s">
        <v>1064</v>
      </c>
      <c r="G42" s="226" t="s">
        <v>1065</v>
      </c>
      <c r="H42" s="226" t="s">
        <v>1066</v>
      </c>
      <c r="I42" s="229" t="s">
        <v>1067</v>
      </c>
      <c r="J42" s="229">
        <v>24</v>
      </c>
      <c r="K42" s="222"/>
    </row>
    <row r="43" spans="3:11" ht="15.6" hidden="1">
      <c r="C43" s="224" t="s">
        <v>302</v>
      </c>
      <c r="D43" s="229" t="s">
        <v>1062</v>
      </c>
      <c r="E43" s="229" t="s">
        <v>1063</v>
      </c>
      <c r="F43" s="229" t="s">
        <v>1064</v>
      </c>
      <c r="G43" s="226" t="s">
        <v>1065</v>
      </c>
      <c r="H43" s="226" t="s">
        <v>1066</v>
      </c>
      <c r="I43" s="229" t="s">
        <v>1067</v>
      </c>
      <c r="J43" s="229">
        <v>24</v>
      </c>
      <c r="K43" s="222"/>
    </row>
    <row r="44" spans="3:11" ht="15.6" hidden="1">
      <c r="C44" s="224" t="s">
        <v>303</v>
      </c>
      <c r="D44" s="229" t="s">
        <v>1062</v>
      </c>
      <c r="E44" s="229" t="s">
        <v>1063</v>
      </c>
      <c r="F44" s="229" t="s">
        <v>1064</v>
      </c>
      <c r="G44" s="226" t="s">
        <v>1065</v>
      </c>
      <c r="H44" s="226" t="s">
        <v>1066</v>
      </c>
      <c r="I44" s="229" t="s">
        <v>1067</v>
      </c>
      <c r="J44" s="229">
        <v>24</v>
      </c>
      <c r="K44" s="222"/>
    </row>
    <row r="45" spans="3:11" ht="15.6" hidden="1">
      <c r="C45" s="224" t="s">
        <v>304</v>
      </c>
      <c r="D45" s="229" t="s">
        <v>1062</v>
      </c>
      <c r="E45" s="229" t="s">
        <v>1063</v>
      </c>
      <c r="F45" s="229" t="s">
        <v>1064</v>
      </c>
      <c r="G45" s="226" t="s">
        <v>1065</v>
      </c>
      <c r="H45" s="226" t="s">
        <v>1066</v>
      </c>
      <c r="I45" s="229" t="s">
        <v>1069</v>
      </c>
      <c r="J45" s="229">
        <v>15</v>
      </c>
      <c r="K45" s="222"/>
    </row>
    <row r="46" spans="3:11" ht="15.6" hidden="1">
      <c r="C46" s="224" t="s">
        <v>305</v>
      </c>
      <c r="D46" s="229" t="s">
        <v>1062</v>
      </c>
      <c r="E46" s="229" t="s">
        <v>1063</v>
      </c>
      <c r="F46" s="229" t="s">
        <v>1064</v>
      </c>
      <c r="G46" s="226" t="s">
        <v>1065</v>
      </c>
      <c r="H46" s="226" t="s">
        <v>1066</v>
      </c>
      <c r="I46" s="229" t="s">
        <v>1069</v>
      </c>
      <c r="J46" s="229">
        <v>15</v>
      </c>
      <c r="K46" s="222"/>
    </row>
    <row r="47" spans="3:11" ht="15.6" hidden="1">
      <c r="C47" s="224" t="s">
        <v>306</v>
      </c>
      <c r="D47" s="229" t="s">
        <v>1062</v>
      </c>
      <c r="E47" s="229" t="s">
        <v>1063</v>
      </c>
      <c r="F47" s="229" t="s">
        <v>1064</v>
      </c>
      <c r="G47" s="226" t="s">
        <v>1065</v>
      </c>
      <c r="H47" s="226" t="s">
        <v>1066</v>
      </c>
      <c r="I47" s="229" t="s">
        <v>1069</v>
      </c>
      <c r="J47" s="229">
        <v>15</v>
      </c>
      <c r="K47" s="222"/>
    </row>
    <row r="48" spans="3:11" ht="15.6" hidden="1">
      <c r="C48" s="224" t="s">
        <v>307</v>
      </c>
      <c r="D48" s="229" t="s">
        <v>1062</v>
      </c>
      <c r="E48" s="229" t="s">
        <v>1063</v>
      </c>
      <c r="F48" s="229" t="s">
        <v>1064</v>
      </c>
      <c r="G48" s="226" t="s">
        <v>1065</v>
      </c>
      <c r="H48" s="226" t="s">
        <v>1066</v>
      </c>
      <c r="I48" s="229" t="s">
        <v>1069</v>
      </c>
      <c r="J48" s="229">
        <v>15</v>
      </c>
      <c r="K48" s="222"/>
    </row>
    <row r="49" spans="3:11" ht="15.6" hidden="1">
      <c r="C49" s="224" t="s">
        <v>308</v>
      </c>
      <c r="D49" s="229" t="s">
        <v>1062</v>
      </c>
      <c r="E49" s="229" t="s">
        <v>1063</v>
      </c>
      <c r="F49" s="229" t="s">
        <v>1064</v>
      </c>
      <c r="G49" s="226" t="s">
        <v>1065</v>
      </c>
      <c r="H49" s="226" t="s">
        <v>1066</v>
      </c>
      <c r="I49" s="229" t="s">
        <v>1069</v>
      </c>
      <c r="J49" s="229">
        <v>15</v>
      </c>
      <c r="K49" s="222"/>
    </row>
    <row r="50" spans="3:11" ht="15.6" hidden="1">
      <c r="C50" s="224" t="s">
        <v>311</v>
      </c>
      <c r="D50" s="229" t="s">
        <v>1062</v>
      </c>
      <c r="E50" s="229" t="s">
        <v>1063</v>
      </c>
      <c r="F50" s="229" t="s">
        <v>1064</v>
      </c>
      <c r="G50" s="226" t="s">
        <v>1065</v>
      </c>
      <c r="H50" s="226" t="s">
        <v>1066</v>
      </c>
      <c r="I50" s="229" t="s">
        <v>1069</v>
      </c>
      <c r="J50" s="229">
        <v>15</v>
      </c>
      <c r="K50" s="222"/>
    </row>
    <row r="51" spans="3:11" ht="15.6" hidden="1">
      <c r="C51" s="224"/>
      <c r="D51" s="229"/>
      <c r="E51" s="229"/>
      <c r="F51" s="229"/>
      <c r="G51" s="226"/>
      <c r="H51" s="226"/>
      <c r="I51" s="226"/>
      <c r="J51" s="226"/>
      <c r="K51" s="222"/>
    </row>
    <row r="52" spans="3:11" ht="15.6" hidden="1">
      <c r="C52" s="226">
        <v>2002</v>
      </c>
      <c r="D52" s="229"/>
      <c r="E52" s="229"/>
      <c r="F52" s="229"/>
      <c r="G52" s="226"/>
      <c r="H52" s="226"/>
      <c r="I52" s="226"/>
      <c r="J52" s="226"/>
      <c r="K52" s="222"/>
    </row>
    <row r="53" spans="3:11" ht="15.6" hidden="1">
      <c r="C53" s="226"/>
      <c r="D53" s="229"/>
      <c r="E53" s="229"/>
      <c r="F53" s="229"/>
      <c r="G53" s="226"/>
      <c r="H53" s="226"/>
      <c r="I53" s="226"/>
      <c r="J53" s="226"/>
      <c r="K53" s="222"/>
    </row>
    <row r="54" spans="3:11" ht="15.6" hidden="1">
      <c r="C54" s="224" t="s">
        <v>298</v>
      </c>
      <c r="D54" s="230" t="s">
        <v>1070</v>
      </c>
      <c r="E54" s="231" t="s">
        <v>1071</v>
      </c>
      <c r="F54" s="232" t="s">
        <v>1072</v>
      </c>
      <c r="G54" s="233" t="s">
        <v>1073</v>
      </c>
      <c r="H54" s="233" t="s">
        <v>1074</v>
      </c>
      <c r="I54" s="229" t="s">
        <v>1069</v>
      </c>
      <c r="J54" s="229">
        <v>15</v>
      </c>
      <c r="K54" s="222"/>
    </row>
    <row r="55" spans="3:11" ht="15.6" hidden="1">
      <c r="C55" s="224" t="s">
        <v>299</v>
      </c>
      <c r="D55" s="230" t="s">
        <v>1075</v>
      </c>
      <c r="E55" s="231" t="s">
        <v>1071</v>
      </c>
      <c r="F55" s="232" t="s">
        <v>1072</v>
      </c>
      <c r="G55" s="233" t="s">
        <v>1073</v>
      </c>
      <c r="H55" s="233" t="s">
        <v>1074</v>
      </c>
      <c r="I55" s="229" t="s">
        <v>1069</v>
      </c>
      <c r="J55" s="229">
        <v>15</v>
      </c>
      <c r="K55" s="222"/>
    </row>
    <row r="56" spans="3:11" ht="15.6" hidden="1">
      <c r="C56" s="224" t="s">
        <v>300</v>
      </c>
      <c r="D56" s="230" t="s">
        <v>1075</v>
      </c>
      <c r="E56" s="231" t="s">
        <v>1071</v>
      </c>
      <c r="F56" s="232" t="s">
        <v>1072</v>
      </c>
      <c r="G56" s="233" t="s">
        <v>1073</v>
      </c>
      <c r="H56" s="233" t="s">
        <v>1074</v>
      </c>
      <c r="I56" s="229" t="s">
        <v>1069</v>
      </c>
      <c r="J56" s="229">
        <v>15</v>
      </c>
      <c r="K56" s="222"/>
    </row>
    <row r="57" spans="3:11" ht="15.6" hidden="1">
      <c r="C57" s="224" t="s">
        <v>301</v>
      </c>
      <c r="D57" s="230" t="s">
        <v>1075</v>
      </c>
      <c r="E57" s="231" t="s">
        <v>1071</v>
      </c>
      <c r="F57" s="232" t="s">
        <v>1072</v>
      </c>
      <c r="G57" s="233" t="s">
        <v>1073</v>
      </c>
      <c r="H57" s="233" t="s">
        <v>1074</v>
      </c>
      <c r="I57" s="229" t="s">
        <v>1069</v>
      </c>
      <c r="J57" s="229">
        <v>15</v>
      </c>
      <c r="K57" s="222"/>
    </row>
    <row r="58" spans="3:11" ht="15.6" hidden="1">
      <c r="C58" s="224" t="s">
        <v>302</v>
      </c>
      <c r="D58" s="230" t="s">
        <v>1075</v>
      </c>
      <c r="E58" s="231" t="s">
        <v>1071</v>
      </c>
      <c r="F58" s="232" t="s">
        <v>1072</v>
      </c>
      <c r="G58" s="233" t="s">
        <v>1073</v>
      </c>
      <c r="H58" s="233" t="s">
        <v>1074</v>
      </c>
      <c r="I58" s="229" t="s">
        <v>1069</v>
      </c>
      <c r="J58" s="229">
        <v>15</v>
      </c>
      <c r="K58" s="222"/>
    </row>
    <row r="59" spans="3:11" ht="15.6" hidden="1">
      <c r="C59" s="224" t="s">
        <v>303</v>
      </c>
      <c r="D59" s="230" t="s">
        <v>1075</v>
      </c>
      <c r="E59" s="231" t="s">
        <v>1071</v>
      </c>
      <c r="F59" s="232" t="s">
        <v>1072</v>
      </c>
      <c r="G59" s="233" t="s">
        <v>1073</v>
      </c>
      <c r="H59" s="233" t="s">
        <v>1074</v>
      </c>
      <c r="I59" s="229" t="s">
        <v>1069</v>
      </c>
      <c r="J59" s="229">
        <v>15</v>
      </c>
      <c r="K59" s="222"/>
    </row>
    <row r="60" spans="3:11" ht="15.6" hidden="1">
      <c r="C60" s="224" t="s">
        <v>304</v>
      </c>
      <c r="D60" s="230" t="s">
        <v>1075</v>
      </c>
      <c r="E60" s="231" t="s">
        <v>1071</v>
      </c>
      <c r="F60" s="232" t="s">
        <v>1072</v>
      </c>
      <c r="G60" s="233" t="s">
        <v>1073</v>
      </c>
      <c r="H60" s="233" t="s">
        <v>1074</v>
      </c>
      <c r="I60" s="229" t="s">
        <v>1069</v>
      </c>
      <c r="J60" s="229">
        <v>15</v>
      </c>
      <c r="K60" s="222"/>
    </row>
    <row r="61" spans="3:11" ht="15.6" hidden="1">
      <c r="C61" s="224" t="s">
        <v>305</v>
      </c>
      <c r="D61" s="230" t="s">
        <v>1075</v>
      </c>
      <c r="E61" s="231" t="s">
        <v>1071</v>
      </c>
      <c r="F61" s="232" t="s">
        <v>1072</v>
      </c>
      <c r="G61" s="233" t="s">
        <v>1073</v>
      </c>
      <c r="H61" s="233" t="s">
        <v>1074</v>
      </c>
      <c r="I61" s="229" t="s">
        <v>1069</v>
      </c>
      <c r="J61" s="229">
        <v>15</v>
      </c>
      <c r="K61" s="222"/>
    </row>
    <row r="62" spans="3:11" ht="15.6" hidden="1">
      <c r="C62" s="224" t="s">
        <v>306</v>
      </c>
      <c r="D62" s="230" t="s">
        <v>1075</v>
      </c>
      <c r="E62" s="231" t="s">
        <v>1071</v>
      </c>
      <c r="F62" s="232" t="s">
        <v>1072</v>
      </c>
      <c r="G62" s="233" t="s">
        <v>1073</v>
      </c>
      <c r="H62" s="233" t="s">
        <v>1074</v>
      </c>
      <c r="I62" s="229" t="s">
        <v>1069</v>
      </c>
      <c r="J62" s="229">
        <v>15</v>
      </c>
      <c r="K62" s="222"/>
    </row>
    <row r="63" spans="3:11" ht="15.6" hidden="1">
      <c r="C63" s="234" t="s">
        <v>307</v>
      </c>
      <c r="D63" s="230" t="s">
        <v>1075</v>
      </c>
      <c r="E63" s="231" t="s">
        <v>1071</v>
      </c>
      <c r="F63" s="232" t="s">
        <v>1072</v>
      </c>
      <c r="G63" s="233" t="s">
        <v>1073</v>
      </c>
      <c r="H63" s="233" t="s">
        <v>1074</v>
      </c>
      <c r="I63" s="229" t="s">
        <v>1069</v>
      </c>
      <c r="J63" s="229">
        <v>15</v>
      </c>
      <c r="K63" s="222"/>
    </row>
    <row r="64" spans="3:11" ht="15.6" hidden="1">
      <c r="C64" s="224" t="s">
        <v>308</v>
      </c>
      <c r="D64" s="230" t="s">
        <v>1075</v>
      </c>
      <c r="E64" s="231" t="s">
        <v>1071</v>
      </c>
      <c r="F64" s="232" t="s">
        <v>1072</v>
      </c>
      <c r="G64" s="233" t="s">
        <v>1073</v>
      </c>
      <c r="H64" s="233" t="s">
        <v>1074</v>
      </c>
      <c r="I64" s="229" t="s">
        <v>1069</v>
      </c>
      <c r="J64" s="229">
        <v>15</v>
      </c>
      <c r="K64" s="222"/>
    </row>
    <row r="65" spans="3:11" ht="15.6" hidden="1">
      <c r="C65" s="224" t="s">
        <v>311</v>
      </c>
      <c r="D65" s="230" t="s">
        <v>1077</v>
      </c>
      <c r="E65" s="231" t="s">
        <v>1078</v>
      </c>
      <c r="F65" s="232" t="s">
        <v>1079</v>
      </c>
      <c r="G65" s="233" t="s">
        <v>1073</v>
      </c>
      <c r="H65" s="233" t="s">
        <v>1074</v>
      </c>
      <c r="I65" s="229" t="s">
        <v>1069</v>
      </c>
      <c r="J65" s="229">
        <v>15</v>
      </c>
      <c r="K65" s="222"/>
    </row>
    <row r="66" spans="3:11" ht="15.6" hidden="1">
      <c r="C66" s="224"/>
      <c r="D66" s="230"/>
      <c r="E66" s="231"/>
      <c r="F66" s="232"/>
      <c r="G66" s="233"/>
      <c r="H66" s="233"/>
      <c r="I66" s="229"/>
      <c r="J66" s="229"/>
      <c r="K66" s="222"/>
    </row>
    <row r="67" spans="3:11" ht="15.6" hidden="1">
      <c r="C67" s="226">
        <v>2003</v>
      </c>
      <c r="D67" s="230"/>
      <c r="E67" s="231"/>
      <c r="F67" s="232"/>
      <c r="G67" s="233"/>
      <c r="H67" s="233"/>
      <c r="I67" s="229"/>
      <c r="J67" s="229"/>
      <c r="K67" s="222"/>
    </row>
    <row r="68" spans="3:11" ht="15.6" hidden="1">
      <c r="C68" s="226"/>
      <c r="D68" s="230"/>
      <c r="E68" s="231"/>
      <c r="F68" s="232"/>
      <c r="G68" s="233"/>
      <c r="H68" s="233"/>
      <c r="I68" s="229"/>
      <c r="J68" s="229"/>
      <c r="K68" s="222"/>
    </row>
    <row r="69" spans="3:11" ht="15.6" hidden="1">
      <c r="C69" s="224" t="s">
        <v>298</v>
      </c>
      <c r="D69" s="230" t="s">
        <v>1080</v>
      </c>
      <c r="E69" s="231" t="s">
        <v>1078</v>
      </c>
      <c r="F69" s="232" t="s">
        <v>1079</v>
      </c>
      <c r="G69" s="233" t="s">
        <v>1073</v>
      </c>
      <c r="H69" s="233" t="s">
        <v>1074</v>
      </c>
      <c r="I69" s="229" t="s">
        <v>1069</v>
      </c>
      <c r="J69" s="229">
        <v>15</v>
      </c>
      <c r="K69" s="222"/>
    </row>
    <row r="70" spans="3:11" ht="15.6" hidden="1">
      <c r="C70" s="224" t="s">
        <v>299</v>
      </c>
      <c r="D70" s="229" t="s">
        <v>1081</v>
      </c>
      <c r="E70" s="231" t="s">
        <v>1078</v>
      </c>
      <c r="F70" s="232" t="s">
        <v>1079</v>
      </c>
      <c r="G70" s="233" t="s">
        <v>1073</v>
      </c>
      <c r="H70" s="233" t="s">
        <v>1074</v>
      </c>
      <c r="I70" s="229" t="s">
        <v>1069</v>
      </c>
      <c r="J70" s="229">
        <v>15</v>
      </c>
      <c r="K70" s="222"/>
    </row>
    <row r="71" spans="3:11" ht="15.6" hidden="1">
      <c r="C71" s="224" t="s">
        <v>300</v>
      </c>
      <c r="D71" s="230" t="s">
        <v>1082</v>
      </c>
      <c r="E71" s="231" t="s">
        <v>1078</v>
      </c>
      <c r="F71" s="232" t="s">
        <v>1079</v>
      </c>
      <c r="G71" s="233" t="s">
        <v>1073</v>
      </c>
      <c r="H71" s="233" t="s">
        <v>1074</v>
      </c>
      <c r="I71" s="229" t="s">
        <v>1069</v>
      </c>
      <c r="J71" s="229">
        <v>15</v>
      </c>
      <c r="K71" s="222"/>
    </row>
    <row r="72" spans="3:11" ht="15.6" hidden="1">
      <c r="C72" s="224" t="s">
        <v>301</v>
      </c>
      <c r="D72" s="230" t="s">
        <v>1083</v>
      </c>
      <c r="E72" s="231" t="s">
        <v>1078</v>
      </c>
      <c r="F72" s="232" t="s">
        <v>1079</v>
      </c>
      <c r="G72" s="233" t="s">
        <v>1073</v>
      </c>
      <c r="H72" s="233" t="s">
        <v>1074</v>
      </c>
      <c r="I72" s="229" t="s">
        <v>1069</v>
      </c>
      <c r="J72" s="229">
        <v>15</v>
      </c>
      <c r="K72" s="222"/>
    </row>
    <row r="73" spans="3:11" ht="15.6" hidden="1">
      <c r="C73" s="224" t="s">
        <v>302</v>
      </c>
      <c r="D73" s="229" t="s">
        <v>1084</v>
      </c>
      <c r="E73" s="231">
        <v>15.85</v>
      </c>
      <c r="F73" s="232">
        <v>16</v>
      </c>
      <c r="G73" s="233">
        <v>14</v>
      </c>
      <c r="H73" s="226" t="s">
        <v>1074</v>
      </c>
      <c r="I73" s="229"/>
      <c r="J73" s="229"/>
      <c r="K73" s="222"/>
    </row>
    <row r="74" spans="3:11" ht="15.6" hidden="1">
      <c r="C74" s="224" t="s">
        <v>302</v>
      </c>
      <c r="D74" s="230" t="s">
        <v>1084</v>
      </c>
      <c r="E74" s="231" t="s">
        <v>1078</v>
      </c>
      <c r="F74" s="232" t="s">
        <v>1079</v>
      </c>
      <c r="G74" s="233" t="s">
        <v>1073</v>
      </c>
      <c r="H74" s="233" t="s">
        <v>1074</v>
      </c>
      <c r="I74" s="229" t="s">
        <v>1069</v>
      </c>
      <c r="J74" s="229">
        <v>15</v>
      </c>
      <c r="K74" s="222"/>
    </row>
    <row r="75" spans="3:11" ht="15.6" hidden="1">
      <c r="C75" s="224" t="s">
        <v>303</v>
      </c>
      <c r="D75" s="230" t="s">
        <v>1083</v>
      </c>
      <c r="E75" s="231" t="s">
        <v>1078</v>
      </c>
      <c r="F75" s="232" t="s">
        <v>1079</v>
      </c>
      <c r="G75" s="233" t="s">
        <v>1073</v>
      </c>
      <c r="H75" s="233" t="s">
        <v>1074</v>
      </c>
      <c r="I75" s="229" t="s">
        <v>1069</v>
      </c>
      <c r="J75" s="229">
        <v>15</v>
      </c>
      <c r="K75" s="222"/>
    </row>
    <row r="76" spans="3:11" ht="15.6" hidden="1">
      <c r="C76" s="224" t="s">
        <v>304</v>
      </c>
      <c r="D76" s="230" t="s">
        <v>1085</v>
      </c>
      <c r="E76" s="231" t="s">
        <v>1078</v>
      </c>
      <c r="F76" s="232" t="s">
        <v>1079</v>
      </c>
      <c r="G76" s="233" t="s">
        <v>1073</v>
      </c>
      <c r="H76" s="233" t="s">
        <v>1074</v>
      </c>
      <c r="I76" s="229" t="s">
        <v>1069</v>
      </c>
      <c r="J76" s="229">
        <v>15</v>
      </c>
      <c r="K76" s="222"/>
    </row>
    <row r="77" spans="3:11" ht="15.6" hidden="1">
      <c r="C77" s="234" t="s">
        <v>305</v>
      </c>
      <c r="D77" s="229" t="s">
        <v>1086</v>
      </c>
      <c r="E77" s="231">
        <v>15.85</v>
      </c>
      <c r="F77" s="232">
        <v>16</v>
      </c>
      <c r="G77" s="230">
        <v>14</v>
      </c>
      <c r="H77" s="226" t="s">
        <v>1074</v>
      </c>
      <c r="I77" s="229" t="s">
        <v>1069</v>
      </c>
      <c r="J77" s="229">
        <v>15</v>
      </c>
      <c r="K77" s="222"/>
    </row>
    <row r="78" spans="3:11" ht="15.6" hidden="1">
      <c r="C78" s="234" t="s">
        <v>306</v>
      </c>
      <c r="D78" s="229" t="s">
        <v>1087</v>
      </c>
      <c r="E78" s="231">
        <v>15.85</v>
      </c>
      <c r="F78" s="232">
        <v>16</v>
      </c>
      <c r="G78" s="230">
        <v>14</v>
      </c>
      <c r="H78" s="226" t="s">
        <v>1074</v>
      </c>
      <c r="I78" s="229" t="s">
        <v>1069</v>
      </c>
      <c r="J78" s="229">
        <v>15</v>
      </c>
      <c r="K78" s="222"/>
    </row>
    <row r="79" spans="3:11" ht="15.6" hidden="1">
      <c r="C79" s="234" t="s">
        <v>307</v>
      </c>
      <c r="D79" s="229" t="s">
        <v>1088</v>
      </c>
      <c r="E79" s="231">
        <v>15.85</v>
      </c>
      <c r="F79" s="232">
        <v>16</v>
      </c>
      <c r="G79" s="230">
        <v>14</v>
      </c>
      <c r="H79" s="226" t="s">
        <v>1074</v>
      </c>
      <c r="I79" s="229" t="s">
        <v>1069</v>
      </c>
      <c r="J79" s="229">
        <v>15</v>
      </c>
      <c r="K79" s="222"/>
    </row>
    <row r="80" spans="3:11" ht="15.6" hidden="1">
      <c r="C80" s="234" t="s">
        <v>308</v>
      </c>
      <c r="D80" s="229" t="s">
        <v>1089</v>
      </c>
      <c r="E80" s="231">
        <v>15.85</v>
      </c>
      <c r="F80" s="232">
        <v>16</v>
      </c>
      <c r="G80" s="230">
        <v>14</v>
      </c>
      <c r="H80" s="226" t="s">
        <v>1074</v>
      </c>
      <c r="I80" s="229" t="s">
        <v>1069</v>
      </c>
      <c r="J80" s="229">
        <v>15</v>
      </c>
      <c r="K80" s="222"/>
    </row>
    <row r="81" spans="3:11" ht="15.6" hidden="1">
      <c r="C81" s="234" t="s">
        <v>311</v>
      </c>
      <c r="D81" s="229" t="s">
        <v>1089</v>
      </c>
      <c r="E81" s="231">
        <v>15.85</v>
      </c>
      <c r="F81" s="232">
        <v>16</v>
      </c>
      <c r="G81" s="230">
        <v>14</v>
      </c>
      <c r="H81" s="226" t="s">
        <v>1074</v>
      </c>
      <c r="I81" s="229" t="s">
        <v>1069</v>
      </c>
      <c r="J81" s="229">
        <v>15</v>
      </c>
      <c r="K81" s="222"/>
    </row>
    <row r="82" spans="3:11" ht="15.6" hidden="1">
      <c r="C82" s="234"/>
      <c r="D82" s="229"/>
      <c r="E82" s="231"/>
      <c r="F82" s="232"/>
      <c r="G82" s="230"/>
      <c r="H82" s="226"/>
      <c r="I82" s="229"/>
      <c r="J82" s="229"/>
      <c r="K82" s="222"/>
    </row>
    <row r="83" spans="3:11" ht="15.6" hidden="1">
      <c r="C83" s="233">
        <v>2004</v>
      </c>
      <c r="D83" s="229"/>
      <c r="E83" s="231"/>
      <c r="F83" s="232"/>
      <c r="G83" s="230"/>
      <c r="H83" s="226"/>
      <c r="I83" s="229"/>
      <c r="J83" s="229"/>
      <c r="K83" s="222"/>
    </row>
    <row r="84" spans="3:11" ht="15.6" hidden="1">
      <c r="C84" s="233"/>
      <c r="D84" s="229"/>
      <c r="E84" s="231"/>
      <c r="F84" s="232"/>
      <c r="G84" s="230"/>
      <c r="H84" s="226"/>
      <c r="I84" s="229"/>
      <c r="J84" s="229"/>
      <c r="K84" s="222"/>
    </row>
    <row r="85" spans="3:11" ht="15.6" hidden="1">
      <c r="C85" s="235" t="s">
        <v>298</v>
      </c>
      <c r="D85" s="229" t="s">
        <v>1090</v>
      </c>
      <c r="E85" s="231">
        <v>10</v>
      </c>
      <c r="F85" s="232">
        <v>12</v>
      </c>
      <c r="G85" s="230">
        <v>14</v>
      </c>
      <c r="H85" s="226" t="s">
        <v>1074</v>
      </c>
      <c r="I85" s="229" t="s">
        <v>1069</v>
      </c>
      <c r="J85" s="229">
        <v>15</v>
      </c>
      <c r="K85" s="222"/>
    </row>
    <row r="86" spans="3:11" ht="15.6" hidden="1">
      <c r="C86" s="224" t="s">
        <v>299</v>
      </c>
      <c r="D86" s="229" t="s">
        <v>1090</v>
      </c>
      <c r="E86" s="231">
        <v>10</v>
      </c>
      <c r="F86" s="232">
        <v>12</v>
      </c>
      <c r="G86" s="230">
        <v>14</v>
      </c>
      <c r="H86" s="226" t="s">
        <v>1074</v>
      </c>
      <c r="I86" s="229" t="s">
        <v>1069</v>
      </c>
      <c r="J86" s="229">
        <v>15</v>
      </c>
      <c r="K86" s="222"/>
    </row>
    <row r="87" spans="3:11" ht="15.6" hidden="1">
      <c r="C87" s="224" t="s">
        <v>300</v>
      </c>
      <c r="D87" s="229" t="s">
        <v>119</v>
      </c>
      <c r="E87" s="236" t="s">
        <v>121</v>
      </c>
      <c r="F87" s="232">
        <v>0</v>
      </c>
      <c r="G87" s="230">
        <v>14</v>
      </c>
      <c r="H87" s="226" t="s">
        <v>120</v>
      </c>
      <c r="I87" s="229" t="s">
        <v>1069</v>
      </c>
      <c r="J87" s="229">
        <v>15</v>
      </c>
      <c r="K87" s="222"/>
    </row>
    <row r="88" spans="3:11" ht="15.6" hidden="1">
      <c r="C88" s="224" t="s">
        <v>301</v>
      </c>
      <c r="D88" s="229" t="s">
        <v>119</v>
      </c>
      <c r="E88" s="236" t="s">
        <v>121</v>
      </c>
      <c r="F88" s="232">
        <v>0</v>
      </c>
      <c r="G88" s="230">
        <v>14</v>
      </c>
      <c r="H88" s="226" t="s">
        <v>120</v>
      </c>
      <c r="I88" s="229" t="s">
        <v>1069</v>
      </c>
      <c r="J88" s="229">
        <v>15</v>
      </c>
      <c r="K88" s="222"/>
    </row>
    <row r="89" spans="3:11" ht="15.6" hidden="1">
      <c r="C89" s="224" t="s">
        <v>302</v>
      </c>
      <c r="D89" s="229" t="s">
        <v>86</v>
      </c>
      <c r="E89" s="236" t="s">
        <v>87</v>
      </c>
      <c r="F89" s="237">
        <v>0</v>
      </c>
      <c r="G89" s="230">
        <v>14</v>
      </c>
      <c r="H89" s="226">
        <v>14.5</v>
      </c>
      <c r="I89" s="229" t="s">
        <v>1069</v>
      </c>
      <c r="J89" s="229">
        <v>15</v>
      </c>
      <c r="K89" s="222"/>
    </row>
    <row r="90" spans="3:11" ht="15.6" hidden="1">
      <c r="C90" s="224" t="s">
        <v>303</v>
      </c>
      <c r="D90" s="229" t="s">
        <v>254</v>
      </c>
      <c r="E90" s="229" t="s">
        <v>121</v>
      </c>
      <c r="F90" s="229">
        <v>12</v>
      </c>
      <c r="G90" s="229">
        <v>14</v>
      </c>
      <c r="H90" s="226" t="s">
        <v>1074</v>
      </c>
      <c r="I90" s="229" t="s">
        <v>1069</v>
      </c>
      <c r="J90" s="229">
        <v>15</v>
      </c>
      <c r="K90" s="222"/>
    </row>
    <row r="91" spans="3:11" ht="15.6" hidden="1">
      <c r="C91" s="224" t="s">
        <v>304</v>
      </c>
      <c r="D91" s="229" t="s">
        <v>254</v>
      </c>
      <c r="E91" s="229" t="s">
        <v>121</v>
      </c>
      <c r="F91" s="229">
        <v>12</v>
      </c>
      <c r="G91" s="229">
        <v>14</v>
      </c>
      <c r="H91" s="226" t="s">
        <v>1074</v>
      </c>
      <c r="I91" s="229" t="s">
        <v>1069</v>
      </c>
      <c r="J91" s="229">
        <v>15</v>
      </c>
      <c r="K91" s="222"/>
    </row>
    <row r="92" spans="3:11" ht="15.6" hidden="1">
      <c r="C92" s="224" t="s">
        <v>305</v>
      </c>
      <c r="D92" s="229" t="s">
        <v>254</v>
      </c>
      <c r="E92" s="229" t="s">
        <v>121</v>
      </c>
      <c r="F92" s="229">
        <v>12</v>
      </c>
      <c r="G92" s="229">
        <v>14</v>
      </c>
      <c r="H92" s="226" t="s">
        <v>1074</v>
      </c>
      <c r="I92" s="229" t="s">
        <v>1069</v>
      </c>
      <c r="J92" s="229">
        <v>15</v>
      </c>
      <c r="K92" s="222"/>
    </row>
    <row r="93" spans="3:11" ht="15.6" hidden="1">
      <c r="C93" s="224" t="s">
        <v>306</v>
      </c>
      <c r="D93" s="229" t="s">
        <v>254</v>
      </c>
      <c r="E93" s="229" t="s">
        <v>121</v>
      </c>
      <c r="F93" s="229">
        <v>12</v>
      </c>
      <c r="G93" s="229">
        <v>14</v>
      </c>
      <c r="H93" s="226" t="s">
        <v>1074</v>
      </c>
      <c r="I93" s="229" t="s">
        <v>1069</v>
      </c>
      <c r="J93" s="229">
        <v>15</v>
      </c>
      <c r="K93" s="222"/>
    </row>
    <row r="94" spans="3:11" ht="15.6" hidden="1">
      <c r="C94" s="224" t="s">
        <v>307</v>
      </c>
      <c r="D94" s="229" t="s">
        <v>254</v>
      </c>
      <c r="E94" s="229" t="s">
        <v>121</v>
      </c>
      <c r="F94" s="229">
        <v>12</v>
      </c>
      <c r="G94" s="229">
        <v>14</v>
      </c>
      <c r="H94" s="226" t="s">
        <v>1074</v>
      </c>
      <c r="I94" s="229" t="s">
        <v>1069</v>
      </c>
      <c r="J94" s="229">
        <v>15</v>
      </c>
      <c r="K94" s="222"/>
    </row>
    <row r="95" spans="3:11" ht="15.6" hidden="1">
      <c r="C95" s="224" t="s">
        <v>308</v>
      </c>
      <c r="D95" s="230" t="s">
        <v>254</v>
      </c>
      <c r="E95" s="230" t="s">
        <v>121</v>
      </c>
      <c r="F95" s="230" t="s">
        <v>221</v>
      </c>
      <c r="G95" s="230" t="s">
        <v>1073</v>
      </c>
      <c r="H95" s="233" t="s">
        <v>1074</v>
      </c>
      <c r="I95" s="230" t="s">
        <v>1069</v>
      </c>
      <c r="J95" s="230" t="s">
        <v>861</v>
      </c>
      <c r="K95" s="222"/>
    </row>
    <row r="96" spans="3:11" ht="15.6" hidden="1">
      <c r="C96" s="224" t="s">
        <v>311</v>
      </c>
      <c r="D96" s="230" t="s">
        <v>254</v>
      </c>
      <c r="E96" s="230" t="s">
        <v>121</v>
      </c>
      <c r="F96" s="230" t="s">
        <v>221</v>
      </c>
      <c r="G96" s="230" t="s">
        <v>1073</v>
      </c>
      <c r="H96" s="233" t="s">
        <v>1074</v>
      </c>
      <c r="I96" s="230" t="s">
        <v>1069</v>
      </c>
      <c r="J96" s="230" t="s">
        <v>861</v>
      </c>
      <c r="K96" s="222"/>
    </row>
    <row r="97" spans="3:11" ht="15.6" hidden="1">
      <c r="C97" s="224"/>
      <c r="D97" s="230"/>
      <c r="E97" s="230"/>
      <c r="F97" s="230"/>
      <c r="G97" s="230"/>
      <c r="H97" s="233"/>
      <c r="I97" s="230"/>
      <c r="J97" s="230"/>
      <c r="K97" s="222"/>
    </row>
    <row r="98" spans="3:11" ht="15.6" hidden="1">
      <c r="C98" s="233">
        <v>2005</v>
      </c>
      <c r="D98" s="230"/>
      <c r="E98" s="230"/>
      <c r="F98" s="230"/>
      <c r="G98" s="230"/>
      <c r="H98" s="233"/>
      <c r="I98" s="230"/>
      <c r="J98" s="230"/>
      <c r="K98" s="222"/>
    </row>
    <row r="99" spans="3:11" ht="15.6" hidden="1">
      <c r="C99" s="233"/>
      <c r="D99" s="230"/>
      <c r="E99" s="230"/>
      <c r="F99" s="230"/>
      <c r="G99" s="230"/>
      <c r="H99" s="233"/>
      <c r="I99" s="230"/>
      <c r="J99" s="230"/>
      <c r="K99" s="222"/>
    </row>
    <row r="100" spans="3:11" ht="15.6" hidden="1">
      <c r="C100" s="235" t="s">
        <v>298</v>
      </c>
      <c r="D100" s="230" t="s">
        <v>254</v>
      </c>
      <c r="E100" s="230" t="s">
        <v>121</v>
      </c>
      <c r="F100" s="230" t="s">
        <v>221</v>
      </c>
      <c r="G100" s="230" t="s">
        <v>1073</v>
      </c>
      <c r="H100" s="233" t="s">
        <v>1074</v>
      </c>
      <c r="I100" s="230" t="s">
        <v>1069</v>
      </c>
      <c r="J100" s="230" t="s">
        <v>861</v>
      </c>
      <c r="K100" s="222"/>
    </row>
    <row r="101" spans="3:11" ht="15.6" hidden="1">
      <c r="C101" s="224" t="s">
        <v>299</v>
      </c>
      <c r="D101" s="230" t="s">
        <v>254</v>
      </c>
      <c r="E101" s="229" t="s">
        <v>633</v>
      </c>
      <c r="F101" s="230" t="s">
        <v>221</v>
      </c>
      <c r="G101" s="230" t="s">
        <v>1073</v>
      </c>
      <c r="H101" s="233" t="s">
        <v>1074</v>
      </c>
      <c r="I101" s="230" t="s">
        <v>1069</v>
      </c>
      <c r="J101" s="230" t="s">
        <v>861</v>
      </c>
      <c r="K101" s="222"/>
    </row>
    <row r="102" spans="3:11" hidden="1">
      <c r="C102" s="224" t="s">
        <v>300</v>
      </c>
      <c r="D102" s="230" t="s">
        <v>254</v>
      </c>
      <c r="E102" s="230" t="s">
        <v>254</v>
      </c>
      <c r="F102" s="230" t="s">
        <v>633</v>
      </c>
      <c r="G102" s="230" t="s">
        <v>221</v>
      </c>
      <c r="H102" s="230" t="s">
        <v>1073</v>
      </c>
      <c r="I102" s="233" t="s">
        <v>1074</v>
      </c>
      <c r="J102" s="230" t="s">
        <v>1069</v>
      </c>
      <c r="K102" s="230"/>
    </row>
    <row r="103" spans="3:11" ht="15.6" hidden="1">
      <c r="C103" s="224" t="s">
        <v>301</v>
      </c>
      <c r="D103" s="229" t="s">
        <v>254</v>
      </c>
      <c r="E103" s="229" t="s">
        <v>633</v>
      </c>
      <c r="F103" s="230">
        <v>12</v>
      </c>
      <c r="G103" s="230">
        <v>14</v>
      </c>
      <c r="H103" s="226" t="s">
        <v>1074</v>
      </c>
      <c r="I103" s="229" t="s">
        <v>1069</v>
      </c>
      <c r="J103" s="230">
        <v>15</v>
      </c>
      <c r="K103" s="222"/>
    </row>
    <row r="104" spans="3:11" ht="15.6" hidden="1">
      <c r="C104" s="224" t="s">
        <v>302</v>
      </c>
      <c r="D104" s="229" t="s">
        <v>254</v>
      </c>
      <c r="E104" s="229" t="s">
        <v>633</v>
      </c>
      <c r="F104" s="230">
        <v>12</v>
      </c>
      <c r="G104" s="230">
        <v>14</v>
      </c>
      <c r="H104" s="226" t="s">
        <v>1074</v>
      </c>
      <c r="I104" s="229" t="s">
        <v>1069</v>
      </c>
      <c r="J104" s="230">
        <v>15</v>
      </c>
      <c r="K104" s="222"/>
    </row>
    <row r="105" spans="3:11" ht="15.6" hidden="1">
      <c r="C105" s="224" t="s">
        <v>303</v>
      </c>
      <c r="D105" s="230" t="s">
        <v>254</v>
      </c>
      <c r="E105" s="230" t="s">
        <v>633</v>
      </c>
      <c r="F105" s="230" t="s">
        <v>221</v>
      </c>
      <c r="G105" s="230" t="s">
        <v>1073</v>
      </c>
      <c r="H105" s="233" t="s">
        <v>1074</v>
      </c>
      <c r="I105" s="230" t="s">
        <v>1069</v>
      </c>
      <c r="J105" s="230" t="s">
        <v>861</v>
      </c>
      <c r="K105" s="222"/>
    </row>
    <row r="106" spans="3:11" ht="15.6" hidden="1">
      <c r="C106" s="224" t="s">
        <v>304</v>
      </c>
      <c r="D106" s="230" t="s">
        <v>254</v>
      </c>
      <c r="E106" s="230" t="s">
        <v>633</v>
      </c>
      <c r="F106" s="230" t="s">
        <v>221</v>
      </c>
      <c r="G106" s="230" t="s">
        <v>1073</v>
      </c>
      <c r="H106" s="233" t="s">
        <v>1074</v>
      </c>
      <c r="I106" s="230" t="s">
        <v>1069</v>
      </c>
      <c r="J106" s="230" t="s">
        <v>861</v>
      </c>
      <c r="K106" s="222"/>
    </row>
    <row r="107" spans="3:11" ht="15.6" hidden="1">
      <c r="C107" s="224" t="s">
        <v>305</v>
      </c>
      <c r="D107" s="230" t="s">
        <v>254</v>
      </c>
      <c r="E107" s="230" t="s">
        <v>633</v>
      </c>
      <c r="F107" s="230" t="s">
        <v>221</v>
      </c>
      <c r="G107" s="230" t="s">
        <v>1073</v>
      </c>
      <c r="H107" s="233" t="s">
        <v>1074</v>
      </c>
      <c r="I107" s="230" t="s">
        <v>1069</v>
      </c>
      <c r="J107" s="230" t="s">
        <v>861</v>
      </c>
      <c r="K107" s="222"/>
    </row>
    <row r="108" spans="3:11" ht="15.6" hidden="1">
      <c r="C108" s="224" t="s">
        <v>306</v>
      </c>
      <c r="D108" s="230" t="s">
        <v>254</v>
      </c>
      <c r="E108" s="230" t="s">
        <v>633</v>
      </c>
      <c r="F108" s="230" t="s">
        <v>221</v>
      </c>
      <c r="G108" s="230" t="s">
        <v>1073</v>
      </c>
      <c r="H108" s="233" t="s">
        <v>1074</v>
      </c>
      <c r="I108" s="230" t="s">
        <v>1069</v>
      </c>
      <c r="J108" s="230" t="s">
        <v>861</v>
      </c>
      <c r="K108" s="222"/>
    </row>
    <row r="109" spans="3:11" hidden="1">
      <c r="C109" s="224" t="s">
        <v>307</v>
      </c>
      <c r="D109" s="230" t="s">
        <v>254</v>
      </c>
      <c r="E109" s="230" t="s">
        <v>633</v>
      </c>
      <c r="F109" s="230" t="s">
        <v>221</v>
      </c>
      <c r="G109" s="230" t="s">
        <v>1073</v>
      </c>
      <c r="H109" s="233" t="s">
        <v>1074</v>
      </c>
      <c r="I109" s="230" t="s">
        <v>1069</v>
      </c>
      <c r="J109" s="230" t="s">
        <v>861</v>
      </c>
      <c r="K109" s="230"/>
    </row>
    <row r="110" spans="3:11" ht="15.6" hidden="1">
      <c r="C110" s="224" t="s">
        <v>308</v>
      </c>
      <c r="D110" s="230" t="s">
        <v>254</v>
      </c>
      <c r="E110" s="230" t="s">
        <v>633</v>
      </c>
      <c r="F110" s="230" t="s">
        <v>221</v>
      </c>
      <c r="G110" s="230" t="s">
        <v>1073</v>
      </c>
      <c r="H110" s="233" t="s">
        <v>1074</v>
      </c>
      <c r="I110" s="230" t="s">
        <v>1069</v>
      </c>
      <c r="J110" s="230" t="s">
        <v>861</v>
      </c>
      <c r="K110" s="222"/>
    </row>
    <row r="111" spans="3:11" ht="15.6" hidden="1">
      <c r="C111" s="224" t="s">
        <v>311</v>
      </c>
      <c r="D111" s="230" t="s">
        <v>254</v>
      </c>
      <c r="E111" s="230" t="s">
        <v>633</v>
      </c>
      <c r="F111" s="230" t="s">
        <v>221</v>
      </c>
      <c r="G111" s="230" t="s">
        <v>1073</v>
      </c>
      <c r="H111" s="233" t="s">
        <v>1074</v>
      </c>
      <c r="I111" s="230" t="s">
        <v>1069</v>
      </c>
      <c r="J111" s="230" t="s">
        <v>861</v>
      </c>
      <c r="K111" s="222"/>
    </row>
    <row r="112" spans="3:11" ht="15.6" hidden="1">
      <c r="C112" s="224"/>
      <c r="D112" s="230"/>
      <c r="E112" s="230"/>
      <c r="F112" s="230"/>
      <c r="G112" s="230"/>
      <c r="H112" s="233"/>
      <c r="I112" s="230"/>
      <c r="J112" s="230"/>
      <c r="K112" s="222"/>
    </row>
    <row r="113" spans="3:11" ht="15.6" hidden="1">
      <c r="C113" s="233">
        <v>2006</v>
      </c>
      <c r="D113" s="230"/>
      <c r="E113" s="230"/>
      <c r="F113" s="230"/>
      <c r="G113" s="230"/>
      <c r="H113" s="233"/>
      <c r="I113" s="230"/>
      <c r="J113" s="230"/>
      <c r="K113" s="222"/>
    </row>
    <row r="114" spans="3:11" ht="15.6" hidden="1">
      <c r="C114" s="224"/>
      <c r="D114" s="230"/>
      <c r="E114" s="230"/>
      <c r="F114" s="230"/>
      <c r="G114" s="230"/>
      <c r="H114" s="233"/>
      <c r="I114" s="230"/>
      <c r="J114" s="230"/>
      <c r="K114" s="222"/>
    </row>
    <row r="115" spans="3:11" ht="15.6" hidden="1">
      <c r="C115" s="224" t="s">
        <v>298</v>
      </c>
      <c r="D115" s="230" t="s">
        <v>254</v>
      </c>
      <c r="E115" s="230" t="s">
        <v>633</v>
      </c>
      <c r="F115" s="230" t="s">
        <v>221</v>
      </c>
      <c r="G115" s="230" t="s">
        <v>1073</v>
      </c>
      <c r="H115" s="233" t="s">
        <v>1074</v>
      </c>
      <c r="I115" s="230" t="s">
        <v>1069</v>
      </c>
      <c r="J115" s="230" t="s">
        <v>861</v>
      </c>
      <c r="K115" s="222"/>
    </row>
    <row r="116" spans="3:11" ht="15.6" hidden="1">
      <c r="C116" s="224" t="s">
        <v>299</v>
      </c>
      <c r="D116" s="230" t="s">
        <v>254</v>
      </c>
      <c r="E116" s="230" t="s">
        <v>633</v>
      </c>
      <c r="F116" s="230" t="s">
        <v>221</v>
      </c>
      <c r="G116" s="230" t="s">
        <v>1073</v>
      </c>
      <c r="H116" s="233" t="s">
        <v>1074</v>
      </c>
      <c r="I116" s="230" t="s">
        <v>1069</v>
      </c>
      <c r="J116" s="230" t="s">
        <v>861</v>
      </c>
      <c r="K116" s="222"/>
    </row>
    <row r="117" spans="3:11" ht="15.6" hidden="1">
      <c r="C117" s="224" t="s">
        <v>300</v>
      </c>
      <c r="D117" s="230" t="s">
        <v>254</v>
      </c>
      <c r="E117" s="230" t="s">
        <v>633</v>
      </c>
      <c r="F117" s="230" t="s">
        <v>221</v>
      </c>
      <c r="G117" s="230" t="s">
        <v>1073</v>
      </c>
      <c r="H117" s="233" t="s">
        <v>1074</v>
      </c>
      <c r="I117" s="230" t="s">
        <v>1069</v>
      </c>
      <c r="J117" s="230" t="s">
        <v>861</v>
      </c>
      <c r="K117" s="222"/>
    </row>
    <row r="118" spans="3:11" ht="15.6" hidden="1">
      <c r="C118" s="224" t="s">
        <v>301</v>
      </c>
      <c r="D118" s="230" t="s">
        <v>254</v>
      </c>
      <c r="E118" s="230" t="s">
        <v>633</v>
      </c>
      <c r="F118" s="230" t="s">
        <v>221</v>
      </c>
      <c r="G118" s="230" t="s">
        <v>1073</v>
      </c>
      <c r="H118" s="233" t="s">
        <v>1074</v>
      </c>
      <c r="I118" s="230" t="s">
        <v>1069</v>
      </c>
      <c r="J118" s="230" t="s">
        <v>861</v>
      </c>
      <c r="K118" s="222"/>
    </row>
    <row r="119" spans="3:11" ht="15.6" hidden="1">
      <c r="C119" s="224" t="s">
        <v>302</v>
      </c>
      <c r="D119" s="230" t="s">
        <v>254</v>
      </c>
      <c r="E119" s="230" t="s">
        <v>633</v>
      </c>
      <c r="F119" s="230" t="s">
        <v>221</v>
      </c>
      <c r="G119" s="230" t="s">
        <v>1073</v>
      </c>
      <c r="H119" s="233" t="s">
        <v>1074</v>
      </c>
      <c r="I119" s="230" t="s">
        <v>1069</v>
      </c>
      <c r="J119" s="230" t="s">
        <v>861</v>
      </c>
      <c r="K119" s="222"/>
    </row>
    <row r="120" spans="3:11" ht="15.6" hidden="1">
      <c r="C120" s="224" t="s">
        <v>303</v>
      </c>
      <c r="D120" s="230" t="s">
        <v>254</v>
      </c>
      <c r="E120" s="230" t="s">
        <v>633</v>
      </c>
      <c r="F120" s="230" t="s">
        <v>221</v>
      </c>
      <c r="G120" s="230" t="s">
        <v>1073</v>
      </c>
      <c r="H120" s="233" t="s">
        <v>1074</v>
      </c>
      <c r="I120" s="230" t="s">
        <v>1069</v>
      </c>
      <c r="J120" s="230" t="s">
        <v>861</v>
      </c>
      <c r="K120" s="222"/>
    </row>
    <row r="121" spans="3:11" ht="15.6" hidden="1">
      <c r="C121" s="224" t="s">
        <v>304</v>
      </c>
      <c r="D121" s="230" t="s">
        <v>254</v>
      </c>
      <c r="E121" s="230" t="s">
        <v>633</v>
      </c>
      <c r="F121" s="230" t="s">
        <v>221</v>
      </c>
      <c r="G121" s="230" t="s">
        <v>1073</v>
      </c>
      <c r="H121" s="233" t="s">
        <v>1074</v>
      </c>
      <c r="I121" s="230" t="s">
        <v>1069</v>
      </c>
      <c r="J121" s="230" t="s">
        <v>861</v>
      </c>
      <c r="K121" s="222"/>
    </row>
    <row r="122" spans="3:11" ht="15.6" hidden="1">
      <c r="C122" s="224" t="s">
        <v>305</v>
      </c>
      <c r="D122" s="230" t="s">
        <v>254</v>
      </c>
      <c r="E122" s="230" t="s">
        <v>633</v>
      </c>
      <c r="F122" s="230" t="s">
        <v>221</v>
      </c>
      <c r="G122" s="230" t="s">
        <v>1073</v>
      </c>
      <c r="H122" s="233" t="s">
        <v>1074</v>
      </c>
      <c r="I122" s="230" t="s">
        <v>1069</v>
      </c>
      <c r="J122" s="230" t="s">
        <v>861</v>
      </c>
      <c r="K122" s="222"/>
    </row>
    <row r="123" spans="3:11" ht="15.6" hidden="1">
      <c r="C123" s="224" t="s">
        <v>306</v>
      </c>
      <c r="D123" s="230" t="s">
        <v>254</v>
      </c>
      <c r="E123" s="230" t="s">
        <v>633</v>
      </c>
      <c r="F123" s="230" t="s">
        <v>221</v>
      </c>
      <c r="G123" s="230" t="s">
        <v>1073</v>
      </c>
      <c r="H123" s="233" t="s">
        <v>1074</v>
      </c>
      <c r="I123" s="230" t="s">
        <v>1069</v>
      </c>
      <c r="J123" s="230" t="s">
        <v>861</v>
      </c>
      <c r="K123" s="222"/>
    </row>
    <row r="124" spans="3:11" ht="15.6" hidden="1">
      <c r="C124" s="224" t="s">
        <v>307</v>
      </c>
      <c r="D124" s="230" t="s">
        <v>254</v>
      </c>
      <c r="E124" s="230" t="s">
        <v>633</v>
      </c>
      <c r="F124" s="230" t="s">
        <v>221</v>
      </c>
      <c r="G124" s="230" t="s">
        <v>1073</v>
      </c>
      <c r="H124" s="233" t="s">
        <v>1074</v>
      </c>
      <c r="I124" s="230" t="s">
        <v>1069</v>
      </c>
      <c r="J124" s="230" t="s">
        <v>861</v>
      </c>
      <c r="K124" s="222"/>
    </row>
    <row r="125" spans="3:11" ht="15.6" hidden="1">
      <c r="C125" s="224" t="s">
        <v>308</v>
      </c>
      <c r="D125" s="230" t="s">
        <v>254</v>
      </c>
      <c r="E125" s="230" t="s">
        <v>633</v>
      </c>
      <c r="F125" s="230" t="s">
        <v>221</v>
      </c>
      <c r="G125" s="230" t="s">
        <v>1073</v>
      </c>
      <c r="H125" s="233" t="s">
        <v>1074</v>
      </c>
      <c r="I125" s="230" t="s">
        <v>1069</v>
      </c>
      <c r="J125" s="230" t="s">
        <v>861</v>
      </c>
      <c r="K125" s="222"/>
    </row>
    <row r="126" spans="3:11" ht="15.6" hidden="1">
      <c r="C126" s="224" t="s">
        <v>311</v>
      </c>
      <c r="D126" s="230" t="s">
        <v>254</v>
      </c>
      <c r="E126" s="230" t="s">
        <v>633</v>
      </c>
      <c r="F126" s="230" t="s">
        <v>221</v>
      </c>
      <c r="G126" s="230" t="s">
        <v>1073</v>
      </c>
      <c r="H126" s="233" t="s">
        <v>1074</v>
      </c>
      <c r="I126" s="230" t="s">
        <v>1069</v>
      </c>
      <c r="J126" s="230" t="s">
        <v>861</v>
      </c>
      <c r="K126" s="222"/>
    </row>
    <row r="127" spans="3:11" ht="15.6" hidden="1">
      <c r="C127" s="224"/>
      <c r="D127" s="230"/>
      <c r="E127" s="230"/>
      <c r="F127" s="230"/>
      <c r="G127" s="230"/>
      <c r="H127" s="233"/>
      <c r="I127" s="230"/>
      <c r="J127" s="230"/>
      <c r="K127" s="222"/>
    </row>
    <row r="128" spans="3:11" ht="15.6">
      <c r="C128" s="226">
        <v>2007</v>
      </c>
      <c r="D128" s="230"/>
      <c r="E128" s="230"/>
      <c r="F128" s="230"/>
      <c r="G128" s="230"/>
      <c r="H128" s="233"/>
      <c r="I128" s="230"/>
      <c r="J128" s="230"/>
      <c r="K128" s="222"/>
    </row>
    <row r="129" spans="3:11" ht="15.6">
      <c r="C129" s="224"/>
      <c r="D129" s="230"/>
      <c r="E129" s="230"/>
      <c r="F129" s="230"/>
      <c r="G129" s="230"/>
      <c r="H129" s="233"/>
      <c r="I129" s="230"/>
      <c r="J129" s="230"/>
      <c r="K129" s="222"/>
    </row>
    <row r="130" spans="3:11" ht="15.6">
      <c r="C130" s="224" t="s">
        <v>298</v>
      </c>
      <c r="D130" s="230" t="s">
        <v>254</v>
      </c>
      <c r="E130" s="230" t="s">
        <v>633</v>
      </c>
      <c r="F130" s="230" t="s">
        <v>221</v>
      </c>
      <c r="G130" s="230" t="s">
        <v>1073</v>
      </c>
      <c r="H130" s="233" t="s">
        <v>1074</v>
      </c>
      <c r="I130" s="230" t="s">
        <v>1069</v>
      </c>
      <c r="J130" s="230" t="s">
        <v>861</v>
      </c>
      <c r="K130" s="222"/>
    </row>
    <row r="131" spans="3:11" ht="15.6">
      <c r="C131" s="224" t="s">
        <v>299</v>
      </c>
      <c r="D131" s="230" t="s">
        <v>254</v>
      </c>
      <c r="E131" s="230" t="s">
        <v>633</v>
      </c>
      <c r="F131" s="230" t="s">
        <v>221</v>
      </c>
      <c r="G131" s="230" t="s">
        <v>1073</v>
      </c>
      <c r="H131" s="233" t="s">
        <v>1074</v>
      </c>
      <c r="I131" s="230" t="s">
        <v>1069</v>
      </c>
      <c r="J131" s="230" t="s">
        <v>861</v>
      </c>
      <c r="K131" s="222"/>
    </row>
    <row r="132" spans="3:11" ht="15.6">
      <c r="C132" s="224" t="s">
        <v>300</v>
      </c>
      <c r="D132" s="230" t="s">
        <v>254</v>
      </c>
      <c r="E132" s="230" t="s">
        <v>633</v>
      </c>
      <c r="F132" s="230" t="s">
        <v>221</v>
      </c>
      <c r="G132" s="230" t="s">
        <v>1073</v>
      </c>
      <c r="H132" s="233" t="s">
        <v>1074</v>
      </c>
      <c r="I132" s="230" t="s">
        <v>1069</v>
      </c>
      <c r="J132" s="230" t="s">
        <v>861</v>
      </c>
      <c r="K132" s="222"/>
    </row>
    <row r="133" spans="3:11" ht="15.6">
      <c r="C133" s="224" t="s">
        <v>301</v>
      </c>
      <c r="D133" s="230" t="s">
        <v>254</v>
      </c>
      <c r="E133" s="230" t="s">
        <v>633</v>
      </c>
      <c r="F133" s="230" t="s">
        <v>221</v>
      </c>
      <c r="G133" s="230" t="s">
        <v>1073</v>
      </c>
      <c r="H133" s="233" t="s">
        <v>1074</v>
      </c>
      <c r="I133" s="230" t="s">
        <v>1069</v>
      </c>
      <c r="J133" s="230" t="s">
        <v>861</v>
      </c>
      <c r="K133" s="222"/>
    </row>
    <row r="134" spans="3:11" ht="15.6">
      <c r="C134" s="224" t="s">
        <v>302</v>
      </c>
      <c r="D134" s="230" t="s">
        <v>254</v>
      </c>
      <c r="E134" s="230" t="s">
        <v>633</v>
      </c>
      <c r="F134" s="230" t="s">
        <v>221</v>
      </c>
      <c r="G134" s="230" t="s">
        <v>1073</v>
      </c>
      <c r="H134" s="233" t="s">
        <v>1074</v>
      </c>
      <c r="I134" s="230" t="s">
        <v>1069</v>
      </c>
      <c r="J134" s="230" t="s">
        <v>861</v>
      </c>
      <c r="K134" s="222"/>
    </row>
    <row r="135" spans="3:11" ht="15.6">
      <c r="C135" s="224" t="s">
        <v>303</v>
      </c>
      <c r="D135" s="230" t="s">
        <v>254</v>
      </c>
      <c r="E135" s="230" t="s">
        <v>633</v>
      </c>
      <c r="F135" s="230" t="s">
        <v>221</v>
      </c>
      <c r="G135" s="230" t="s">
        <v>1073</v>
      </c>
      <c r="H135" s="233" t="s">
        <v>1074</v>
      </c>
      <c r="I135" s="230" t="s">
        <v>1069</v>
      </c>
      <c r="J135" s="230" t="s">
        <v>861</v>
      </c>
      <c r="K135" s="222"/>
    </row>
    <row r="136" spans="3:11" ht="15.6">
      <c r="C136" s="224" t="s">
        <v>304</v>
      </c>
      <c r="D136" s="230" t="s">
        <v>254</v>
      </c>
      <c r="E136" s="230" t="s">
        <v>633</v>
      </c>
      <c r="F136" s="230" t="s">
        <v>221</v>
      </c>
      <c r="G136" s="230" t="s">
        <v>1073</v>
      </c>
      <c r="H136" s="233" t="s">
        <v>1074</v>
      </c>
      <c r="I136" s="230" t="s">
        <v>1069</v>
      </c>
      <c r="J136" s="230" t="s">
        <v>861</v>
      </c>
      <c r="K136" s="222"/>
    </row>
    <row r="137" spans="3:11" ht="15.6">
      <c r="C137" s="224" t="s">
        <v>305</v>
      </c>
      <c r="D137" s="230" t="s">
        <v>254</v>
      </c>
      <c r="E137" s="230" t="s">
        <v>633</v>
      </c>
      <c r="F137" s="230" t="s">
        <v>221</v>
      </c>
      <c r="G137" s="230" t="s">
        <v>1073</v>
      </c>
      <c r="H137" s="233" t="s">
        <v>1074</v>
      </c>
      <c r="I137" s="230" t="s">
        <v>1069</v>
      </c>
      <c r="J137" s="230" t="s">
        <v>861</v>
      </c>
      <c r="K137" s="222"/>
    </row>
    <row r="138" spans="3:11" ht="15.6">
      <c r="C138" s="224" t="s">
        <v>306</v>
      </c>
      <c r="D138" s="230" t="s">
        <v>254</v>
      </c>
      <c r="E138" s="230" t="s">
        <v>633</v>
      </c>
      <c r="F138" s="230" t="s">
        <v>221</v>
      </c>
      <c r="G138" s="230" t="s">
        <v>1073</v>
      </c>
      <c r="H138" s="233" t="s">
        <v>1074</v>
      </c>
      <c r="I138" s="230" t="s">
        <v>1069</v>
      </c>
      <c r="J138" s="230" t="s">
        <v>861</v>
      </c>
      <c r="K138" s="222"/>
    </row>
    <row r="139" spans="3:11" ht="15.6">
      <c r="C139" s="224" t="s">
        <v>307</v>
      </c>
      <c r="D139" s="230" t="s">
        <v>254</v>
      </c>
      <c r="E139" s="230" t="s">
        <v>633</v>
      </c>
      <c r="F139" s="230" t="s">
        <v>221</v>
      </c>
      <c r="G139" s="230" t="s">
        <v>1073</v>
      </c>
      <c r="H139" s="233" t="s">
        <v>1074</v>
      </c>
      <c r="I139" s="230" t="s">
        <v>1069</v>
      </c>
      <c r="J139" s="230" t="s">
        <v>861</v>
      </c>
      <c r="K139" s="222"/>
    </row>
    <row r="140" spans="3:11" ht="15.6">
      <c r="C140" s="224" t="s">
        <v>308</v>
      </c>
      <c r="D140" s="230" t="s">
        <v>254</v>
      </c>
      <c r="E140" s="230" t="s">
        <v>633</v>
      </c>
      <c r="F140" s="230" t="s">
        <v>221</v>
      </c>
      <c r="G140" s="230" t="s">
        <v>1073</v>
      </c>
      <c r="H140" s="233" t="s">
        <v>1074</v>
      </c>
      <c r="I140" s="230" t="s">
        <v>1069</v>
      </c>
      <c r="J140" s="230" t="s">
        <v>861</v>
      </c>
      <c r="K140" s="222"/>
    </row>
    <row r="141" spans="3:11" ht="15.6">
      <c r="C141" s="224" t="s">
        <v>311</v>
      </c>
      <c r="D141" s="230" t="s">
        <v>254</v>
      </c>
      <c r="E141" s="230" t="s">
        <v>633</v>
      </c>
      <c r="F141" s="230" t="s">
        <v>221</v>
      </c>
      <c r="G141" s="230" t="s">
        <v>1073</v>
      </c>
      <c r="H141" s="233" t="s">
        <v>1074</v>
      </c>
      <c r="I141" s="230" t="s">
        <v>1069</v>
      </c>
      <c r="J141" s="230" t="s">
        <v>861</v>
      </c>
      <c r="K141" s="222"/>
    </row>
    <row r="142" spans="3:11" ht="15.6">
      <c r="C142" s="224"/>
      <c r="D142" s="230"/>
      <c r="E142" s="230"/>
      <c r="F142" s="230"/>
      <c r="G142" s="230"/>
      <c r="H142" s="233"/>
      <c r="I142" s="230"/>
      <c r="J142" s="230"/>
      <c r="K142" s="222"/>
    </row>
    <row r="143" spans="3:11" ht="15.6">
      <c r="C143" s="226">
        <v>2008</v>
      </c>
      <c r="D143" s="230"/>
      <c r="E143" s="230"/>
      <c r="F143" s="230"/>
      <c r="G143" s="230"/>
      <c r="H143" s="233"/>
      <c r="I143" s="230"/>
      <c r="J143" s="230"/>
      <c r="K143" s="222"/>
    </row>
    <row r="144" spans="3:11" ht="15.6">
      <c r="C144" s="224"/>
      <c r="D144" s="230"/>
      <c r="E144" s="230"/>
      <c r="F144" s="230"/>
      <c r="G144" s="230"/>
      <c r="H144" s="233"/>
      <c r="I144" s="230"/>
      <c r="J144" s="230"/>
      <c r="K144" s="222"/>
    </row>
    <row r="145" spans="3:11" ht="15.6">
      <c r="C145" s="224" t="s">
        <v>298</v>
      </c>
      <c r="D145" s="230" t="s">
        <v>254</v>
      </c>
      <c r="E145" s="230" t="s">
        <v>633</v>
      </c>
      <c r="F145" s="230" t="s">
        <v>221</v>
      </c>
      <c r="G145" s="230" t="s">
        <v>1073</v>
      </c>
      <c r="H145" s="233" t="s">
        <v>1074</v>
      </c>
      <c r="I145" s="230" t="s">
        <v>1069</v>
      </c>
      <c r="J145" s="230" t="s">
        <v>861</v>
      </c>
      <c r="K145" s="222"/>
    </row>
    <row r="146" spans="3:11" ht="15.6">
      <c r="C146" s="224" t="s">
        <v>299</v>
      </c>
      <c r="D146" s="230" t="s">
        <v>254</v>
      </c>
      <c r="E146" s="230" t="s">
        <v>633</v>
      </c>
      <c r="F146" s="230" t="s">
        <v>221</v>
      </c>
      <c r="G146" s="230" t="s">
        <v>1073</v>
      </c>
      <c r="H146" s="233" t="s">
        <v>1074</v>
      </c>
      <c r="I146" s="230" t="s">
        <v>1069</v>
      </c>
      <c r="J146" s="230" t="s">
        <v>861</v>
      </c>
      <c r="K146" s="222"/>
    </row>
    <row r="147" spans="3:11" ht="15.6">
      <c r="C147" s="224" t="s">
        <v>300</v>
      </c>
      <c r="D147" s="230" t="s">
        <v>254</v>
      </c>
      <c r="E147" s="230" t="s">
        <v>633</v>
      </c>
      <c r="F147" s="230" t="s">
        <v>221</v>
      </c>
      <c r="G147" s="230" t="s">
        <v>1073</v>
      </c>
      <c r="H147" s="233" t="s">
        <v>1074</v>
      </c>
      <c r="I147" s="230" t="s">
        <v>1069</v>
      </c>
      <c r="J147" s="230" t="s">
        <v>861</v>
      </c>
      <c r="K147" s="222"/>
    </row>
    <row r="148" spans="3:11" ht="15.6">
      <c r="C148" s="224" t="s">
        <v>301</v>
      </c>
      <c r="D148" s="230" t="s">
        <v>254</v>
      </c>
      <c r="E148" s="230" t="s">
        <v>633</v>
      </c>
      <c r="F148" s="230" t="s">
        <v>221</v>
      </c>
      <c r="G148" s="230" t="s">
        <v>1073</v>
      </c>
      <c r="H148" s="233" t="s">
        <v>1074</v>
      </c>
      <c r="I148" s="230" t="s">
        <v>1069</v>
      </c>
      <c r="J148" s="230" t="s">
        <v>861</v>
      </c>
      <c r="K148" s="222"/>
    </row>
    <row r="149" spans="3:11" ht="15.6">
      <c r="C149" s="224" t="s">
        <v>302</v>
      </c>
      <c r="D149" s="230" t="s">
        <v>254</v>
      </c>
      <c r="E149" s="230" t="s">
        <v>633</v>
      </c>
      <c r="F149" s="230" t="s">
        <v>221</v>
      </c>
      <c r="G149" s="230" t="s">
        <v>1073</v>
      </c>
      <c r="H149" s="233" t="s">
        <v>1074</v>
      </c>
      <c r="I149" s="230" t="s">
        <v>1069</v>
      </c>
      <c r="J149" s="230" t="s">
        <v>861</v>
      </c>
      <c r="K149" s="222"/>
    </row>
    <row r="150" spans="3:11" ht="15.6">
      <c r="C150" s="224" t="s">
        <v>303</v>
      </c>
      <c r="D150" s="230" t="s">
        <v>254</v>
      </c>
      <c r="E150" s="230" t="s">
        <v>633</v>
      </c>
      <c r="F150" s="230" t="s">
        <v>221</v>
      </c>
      <c r="G150" s="230" t="s">
        <v>1073</v>
      </c>
      <c r="H150" s="233" t="s">
        <v>1074</v>
      </c>
      <c r="I150" s="230" t="s">
        <v>1069</v>
      </c>
      <c r="J150" s="230" t="s">
        <v>861</v>
      </c>
      <c r="K150" s="222"/>
    </row>
    <row r="151" spans="3:11" ht="15.6">
      <c r="C151" s="224" t="s">
        <v>304</v>
      </c>
      <c r="D151" s="230" t="s">
        <v>254</v>
      </c>
      <c r="E151" s="230" t="s">
        <v>633</v>
      </c>
      <c r="F151" s="230" t="s">
        <v>221</v>
      </c>
      <c r="G151" s="230" t="s">
        <v>1073</v>
      </c>
      <c r="H151" s="233" t="s">
        <v>1074</v>
      </c>
      <c r="I151" s="230" t="s">
        <v>1069</v>
      </c>
      <c r="J151" s="230" t="s">
        <v>861</v>
      </c>
      <c r="K151" s="222"/>
    </row>
    <row r="152" spans="3:11" ht="15.6">
      <c r="C152" s="224" t="s">
        <v>305</v>
      </c>
      <c r="D152" s="230" t="s">
        <v>254</v>
      </c>
      <c r="E152" s="230" t="s">
        <v>633</v>
      </c>
      <c r="F152" s="230" t="s">
        <v>221</v>
      </c>
      <c r="G152" s="230" t="s">
        <v>1073</v>
      </c>
      <c r="H152" s="233" t="s">
        <v>1074</v>
      </c>
      <c r="I152" s="230" t="s">
        <v>1069</v>
      </c>
      <c r="J152" s="230" t="s">
        <v>861</v>
      </c>
      <c r="K152" s="222"/>
    </row>
    <row r="153" spans="3:11" ht="15.6">
      <c r="C153" s="224" t="s">
        <v>306</v>
      </c>
      <c r="D153" s="230" t="s">
        <v>254</v>
      </c>
      <c r="E153" s="230" t="s">
        <v>633</v>
      </c>
      <c r="F153" s="230" t="s">
        <v>221</v>
      </c>
      <c r="G153" s="230" t="s">
        <v>1073</v>
      </c>
      <c r="H153" s="233" t="s">
        <v>1074</v>
      </c>
      <c r="I153" s="230" t="s">
        <v>1069</v>
      </c>
      <c r="J153" s="230" t="s">
        <v>861</v>
      </c>
      <c r="K153" s="222"/>
    </row>
    <row r="154" spans="3:11" ht="15.6">
      <c r="C154" s="224" t="s">
        <v>307</v>
      </c>
      <c r="D154" s="230" t="s">
        <v>254</v>
      </c>
      <c r="E154" s="230" t="s">
        <v>633</v>
      </c>
      <c r="F154" s="230" t="s">
        <v>221</v>
      </c>
      <c r="G154" s="230" t="s">
        <v>1073</v>
      </c>
      <c r="H154" s="233" t="s">
        <v>1074</v>
      </c>
      <c r="I154" s="230" t="s">
        <v>1069</v>
      </c>
      <c r="J154" s="230" t="s">
        <v>861</v>
      </c>
      <c r="K154" s="222"/>
    </row>
    <row r="155" spans="3:11" ht="15.6">
      <c r="C155" s="224" t="s">
        <v>308</v>
      </c>
      <c r="D155" s="230" t="s">
        <v>254</v>
      </c>
      <c r="E155" s="230" t="s">
        <v>633</v>
      </c>
      <c r="F155" s="230" t="s">
        <v>221</v>
      </c>
      <c r="G155" s="230" t="s">
        <v>1073</v>
      </c>
      <c r="H155" s="233" t="s">
        <v>1074</v>
      </c>
      <c r="I155" s="230" t="s">
        <v>1069</v>
      </c>
      <c r="J155" s="230" t="s">
        <v>861</v>
      </c>
      <c r="K155" s="222"/>
    </row>
    <row r="156" spans="3:11" ht="15.6">
      <c r="C156" s="224"/>
      <c r="D156" s="230"/>
      <c r="E156" s="230"/>
      <c r="F156" s="230"/>
      <c r="G156" s="230"/>
      <c r="H156" s="233"/>
      <c r="I156" s="230"/>
      <c r="J156" s="230"/>
      <c r="K156" s="222"/>
    </row>
    <row r="157" spans="3:11" ht="15.6">
      <c r="C157" s="224"/>
      <c r="D157" s="230"/>
      <c r="E157" s="230"/>
      <c r="F157" s="230"/>
      <c r="G157" s="230"/>
      <c r="H157" s="233"/>
      <c r="I157" s="230"/>
      <c r="J157" s="230"/>
      <c r="K157" s="222"/>
    </row>
    <row r="158" spans="3:11" ht="15.6">
      <c r="C158" s="224"/>
      <c r="D158" s="230"/>
      <c r="E158" s="230"/>
      <c r="F158" s="230"/>
      <c r="G158" s="230"/>
      <c r="H158" s="233"/>
      <c r="I158" s="230"/>
      <c r="J158" s="230"/>
      <c r="K158" s="222"/>
    </row>
    <row r="159" spans="3:11" ht="15.6">
      <c r="C159" s="226">
        <v>2011</v>
      </c>
      <c r="D159" s="230"/>
      <c r="E159" s="230"/>
      <c r="F159" s="230"/>
      <c r="G159" s="230"/>
      <c r="H159" s="233"/>
      <c r="I159" s="230"/>
      <c r="J159" s="230"/>
      <c r="K159" s="222"/>
    </row>
    <row r="160" spans="3:11" ht="15.6">
      <c r="C160" s="224"/>
      <c r="D160" s="230"/>
      <c r="E160" s="230"/>
      <c r="F160" s="230"/>
      <c r="G160" s="230"/>
      <c r="H160" s="233"/>
      <c r="I160" s="230"/>
      <c r="J160" s="230"/>
      <c r="K160" s="222"/>
    </row>
    <row r="161" spans="3:11" ht="15.6">
      <c r="C161" s="224" t="s">
        <v>298</v>
      </c>
      <c r="D161" s="230"/>
      <c r="E161" s="230"/>
      <c r="F161" s="230"/>
      <c r="G161" s="230"/>
      <c r="H161" s="233"/>
      <c r="I161" s="230"/>
      <c r="J161" s="230"/>
      <c r="K161" s="222"/>
    </row>
    <row r="162" spans="3:11" ht="15.6">
      <c r="C162" s="224" t="s">
        <v>299</v>
      </c>
      <c r="D162" s="230"/>
      <c r="E162" s="230"/>
      <c r="F162" s="230"/>
      <c r="G162" s="230"/>
      <c r="H162" s="233"/>
      <c r="I162" s="230"/>
      <c r="J162" s="230"/>
      <c r="K162" s="222"/>
    </row>
    <row r="163" spans="3:11" ht="15.6">
      <c r="C163" s="224" t="s">
        <v>300</v>
      </c>
      <c r="D163" s="230"/>
      <c r="E163" s="230"/>
      <c r="F163" s="230"/>
      <c r="G163" s="230"/>
      <c r="H163" s="233"/>
      <c r="I163" s="230"/>
      <c r="J163" s="226" t="s">
        <v>724</v>
      </c>
      <c r="K163" s="222"/>
    </row>
    <row r="164" spans="3:11" ht="15.6">
      <c r="C164" s="224" t="s">
        <v>301</v>
      </c>
      <c r="D164" s="230"/>
      <c r="E164" s="230"/>
      <c r="F164" s="230"/>
      <c r="G164" s="230"/>
      <c r="H164" s="233"/>
      <c r="I164" s="230"/>
      <c r="J164" s="226" t="s">
        <v>724</v>
      </c>
      <c r="K164" s="222"/>
    </row>
    <row r="165" spans="3:11" ht="15.6">
      <c r="C165" s="224" t="s">
        <v>302</v>
      </c>
      <c r="D165" s="230"/>
      <c r="E165" s="230"/>
      <c r="F165" s="230"/>
      <c r="G165" s="230"/>
      <c r="H165" s="233"/>
      <c r="I165" s="230"/>
      <c r="J165" s="226" t="s">
        <v>724</v>
      </c>
      <c r="K165" s="222"/>
    </row>
    <row r="166" spans="3:11" ht="15.6">
      <c r="C166" s="224" t="s">
        <v>303</v>
      </c>
      <c r="D166" s="230"/>
      <c r="E166" s="230"/>
      <c r="F166" s="230"/>
      <c r="G166" s="230"/>
      <c r="H166" s="233"/>
      <c r="I166" s="230"/>
      <c r="J166" s="226" t="s">
        <v>724</v>
      </c>
      <c r="K166" s="222"/>
    </row>
    <row r="167" spans="3:11" ht="15.6">
      <c r="C167" s="224" t="s">
        <v>304</v>
      </c>
      <c r="D167" s="230"/>
      <c r="E167" s="230"/>
      <c r="F167" s="230"/>
      <c r="G167" s="230"/>
      <c r="H167" s="233"/>
      <c r="I167" s="230"/>
      <c r="J167" s="230"/>
      <c r="K167" s="222"/>
    </row>
    <row r="168" spans="3:11" ht="15.6" hidden="1">
      <c r="C168" s="224" t="s">
        <v>305</v>
      </c>
      <c r="D168" s="230"/>
      <c r="E168" s="230"/>
      <c r="F168" s="230"/>
      <c r="G168" s="230"/>
      <c r="H168" s="233"/>
      <c r="I168" s="230"/>
      <c r="J168" s="230"/>
      <c r="K168" s="222"/>
    </row>
    <row r="169" spans="3:11" ht="15.6" hidden="1">
      <c r="C169" s="224" t="s">
        <v>306</v>
      </c>
      <c r="D169" s="230"/>
      <c r="E169" s="230"/>
      <c r="F169" s="230"/>
      <c r="G169" s="230"/>
      <c r="H169" s="233"/>
      <c r="I169" s="230"/>
      <c r="J169" s="230"/>
      <c r="K169" s="222"/>
    </row>
    <row r="170" spans="3:11" ht="15.6" hidden="1">
      <c r="C170" s="224" t="s">
        <v>307</v>
      </c>
      <c r="D170" s="230"/>
      <c r="E170" s="230"/>
      <c r="F170" s="230"/>
      <c r="G170" s="230"/>
      <c r="H170" s="233"/>
      <c r="I170" s="230"/>
      <c r="J170" s="230"/>
      <c r="K170" s="222"/>
    </row>
    <row r="171" spans="3:11" ht="15.6" hidden="1">
      <c r="C171" s="224" t="s">
        <v>308</v>
      </c>
      <c r="D171" s="230"/>
      <c r="E171" s="230"/>
      <c r="F171" s="230"/>
      <c r="G171" s="230"/>
      <c r="H171" s="233"/>
      <c r="I171" s="230"/>
      <c r="J171" s="230"/>
      <c r="K171" s="222"/>
    </row>
    <row r="172" spans="3:11" ht="15.6" hidden="1">
      <c r="C172" s="224"/>
      <c r="D172" s="230"/>
      <c r="E172" s="230"/>
      <c r="F172" s="230"/>
      <c r="G172" s="230"/>
      <c r="H172" s="233"/>
      <c r="I172" s="230"/>
      <c r="J172" s="230"/>
      <c r="K172" s="222"/>
    </row>
    <row r="173" spans="3:11" ht="15.6" hidden="1">
      <c r="C173" s="224"/>
      <c r="D173" s="230"/>
      <c r="E173" s="230"/>
      <c r="F173" s="230"/>
      <c r="G173" s="230"/>
      <c r="H173" s="233"/>
      <c r="I173" s="230"/>
      <c r="J173" s="230"/>
      <c r="K173" s="222"/>
    </row>
    <row r="174" spans="3:11" ht="16.2" thickBot="1">
      <c r="C174" s="238"/>
      <c r="D174" s="238"/>
      <c r="E174" s="238"/>
      <c r="F174" s="238"/>
      <c r="G174" s="238"/>
      <c r="H174" s="238"/>
      <c r="I174" s="238"/>
      <c r="J174" s="238"/>
      <c r="K174" s="222"/>
    </row>
    <row r="175" spans="3:11" ht="16.8" hidden="1" thickTop="1" thickBot="1">
      <c r="C175" s="217"/>
      <c r="D175" s="217"/>
      <c r="E175" s="217"/>
      <c r="F175" s="217"/>
      <c r="G175" s="217"/>
      <c r="H175" s="217"/>
      <c r="I175" s="217"/>
      <c r="J175" s="217"/>
      <c r="K175" s="222"/>
    </row>
    <row r="176" spans="3:11" ht="16.2" thickTop="1">
      <c r="C176" s="221"/>
      <c r="D176" s="221"/>
      <c r="E176" s="221"/>
      <c r="F176" s="221"/>
      <c r="G176" s="221"/>
      <c r="H176" s="221"/>
      <c r="I176" s="221"/>
      <c r="J176" s="221"/>
      <c r="K176" s="217"/>
    </row>
    <row r="177" spans="3:11" ht="15.6">
      <c r="C177" s="219" t="s">
        <v>1055</v>
      </c>
      <c r="D177" s="219"/>
      <c r="E177" s="219"/>
      <c r="F177" s="219"/>
      <c r="G177" s="219"/>
      <c r="H177" s="219"/>
      <c r="I177" s="219"/>
      <c r="J177" s="219"/>
      <c r="K177" s="217"/>
    </row>
    <row r="178" spans="3:11" ht="15.6">
      <c r="C178" s="219" t="s">
        <v>1091</v>
      </c>
      <c r="D178" s="219"/>
      <c r="E178" s="219"/>
      <c r="F178" s="219"/>
      <c r="G178" s="219"/>
      <c r="H178" s="219"/>
      <c r="I178" s="219"/>
      <c r="J178" s="219"/>
      <c r="K178" s="217"/>
    </row>
    <row r="179" spans="3:11" ht="15.6">
      <c r="C179" s="217"/>
      <c r="D179" s="217"/>
      <c r="E179" s="217" t="s">
        <v>296</v>
      </c>
      <c r="F179" s="217"/>
      <c r="G179" s="217"/>
      <c r="H179" s="217"/>
      <c r="I179" s="217"/>
      <c r="J179" s="217"/>
      <c r="K179" s="217"/>
    </row>
    <row r="180" spans="3:11" ht="15.6">
      <c r="C180" s="217"/>
      <c r="D180" s="217"/>
      <c r="E180" s="217"/>
      <c r="F180" s="217"/>
      <c r="G180" s="217"/>
      <c r="H180" s="217"/>
      <c r="I180" s="217"/>
      <c r="J180" s="217"/>
      <c r="K180" s="217"/>
    </row>
    <row r="181" spans="3:11" ht="15.6">
      <c r="C181" s="217"/>
      <c r="D181" s="217"/>
      <c r="E181" s="217"/>
      <c r="F181" s="217"/>
      <c r="G181" s="217"/>
      <c r="H181" s="217"/>
      <c r="I181" s="217"/>
      <c r="J181" s="217"/>
      <c r="K181" s="217"/>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4"/>
    <col min="2" max="2" width="9.81640625" style="20"/>
    <col min="3" max="3" width="10.81640625" style="20" customWidth="1"/>
    <col min="4" max="4" width="10.453125" style="20" customWidth="1"/>
    <col min="5" max="5" width="9.81640625" style="20"/>
    <col min="6" max="6" width="9.81640625" style="20" customWidth="1"/>
    <col min="7" max="7" width="8.36328125" style="20" customWidth="1"/>
    <col min="8" max="8" width="11" style="20" customWidth="1"/>
    <col min="9" max="9" width="9.6328125" style="20" customWidth="1"/>
    <col min="10" max="10" width="10.08984375" style="20" customWidth="1"/>
    <col min="11" max="11" width="9.54296875" style="20" customWidth="1"/>
    <col min="12" max="12" width="8.453125" style="20" customWidth="1"/>
    <col min="13" max="15" width="9.81640625" style="20"/>
    <col min="16" max="16384" width="9.81640625" style="21"/>
  </cols>
  <sheetData>
    <row r="1" spans="2:16" hidden="1"/>
    <row r="2" spans="2:16" hidden="1"/>
    <row r="3" spans="2:16" ht="15.6" hidden="1" thickBot="1"/>
    <row r="4" spans="2:16" ht="16.2" hidden="1" thickTop="1" thickBot="1">
      <c r="B4" s="623"/>
      <c r="C4" s="1875" t="s">
        <v>1267</v>
      </c>
      <c r="D4" s="1876"/>
      <c r="E4" s="1876"/>
      <c r="F4" s="1876"/>
      <c r="G4" s="1876"/>
      <c r="H4" s="1876"/>
      <c r="I4" s="1876"/>
      <c r="J4" s="1876"/>
      <c r="K4" s="1876"/>
      <c r="L4" s="1876"/>
      <c r="M4" s="1876"/>
      <c r="N4" s="624"/>
      <c r="O4" s="625" t="s">
        <v>1268</v>
      </c>
      <c r="P4" s="612" t="s">
        <v>747</v>
      </c>
    </row>
    <row r="5" spans="2:16" ht="17.399999999999999" hidden="1" thickTop="1">
      <c r="B5" s="626"/>
      <c r="C5" s="612" t="s">
        <v>436</v>
      </c>
      <c r="D5" s="612" t="s">
        <v>743</v>
      </c>
      <c r="E5" s="612" t="s">
        <v>949</v>
      </c>
      <c r="F5" s="612" t="s">
        <v>744</v>
      </c>
      <c r="G5" s="612" t="s">
        <v>441</v>
      </c>
      <c r="H5" s="612" t="s">
        <v>406</v>
      </c>
      <c r="I5" s="612" t="s">
        <v>395</v>
      </c>
      <c r="J5" s="612" t="s">
        <v>442</v>
      </c>
      <c r="K5" s="612" t="s">
        <v>745</v>
      </c>
      <c r="L5" s="612" t="s">
        <v>443</v>
      </c>
      <c r="M5" s="612" t="s">
        <v>746</v>
      </c>
      <c r="N5" s="612" t="s">
        <v>1269</v>
      </c>
      <c r="O5" s="612" t="s">
        <v>438</v>
      </c>
      <c r="P5" s="603" t="s">
        <v>752</v>
      </c>
    </row>
    <row r="6" spans="2:16" ht="16.8" hidden="1">
      <c r="B6" s="627"/>
      <c r="C6" s="603" t="s">
        <v>437</v>
      </c>
      <c r="D6" s="603" t="s">
        <v>748</v>
      </c>
      <c r="E6" s="603" t="s">
        <v>950</v>
      </c>
      <c r="F6" s="603" t="s">
        <v>750</v>
      </c>
      <c r="G6" s="627"/>
      <c r="H6" s="627"/>
      <c r="I6" s="627"/>
      <c r="J6" s="603" t="s">
        <v>434</v>
      </c>
      <c r="K6" s="627"/>
      <c r="L6" s="603" t="s">
        <v>435</v>
      </c>
      <c r="M6" s="603" t="s">
        <v>751</v>
      </c>
      <c r="N6" s="628" t="s">
        <v>742</v>
      </c>
      <c r="O6" s="603" t="s">
        <v>440</v>
      </c>
      <c r="P6" s="603"/>
    </row>
    <row r="7" spans="2:16" hidden="1">
      <c r="B7" s="627"/>
      <c r="C7" s="627"/>
      <c r="D7" s="627"/>
      <c r="E7" s="603" t="s">
        <v>951</v>
      </c>
      <c r="F7" s="603" t="s">
        <v>753</v>
      </c>
      <c r="G7" s="627"/>
      <c r="H7" s="627"/>
      <c r="I7" s="627"/>
      <c r="J7" s="627"/>
      <c r="K7" s="627"/>
      <c r="L7" s="627"/>
      <c r="M7" s="603" t="s">
        <v>405</v>
      </c>
      <c r="N7" s="627"/>
      <c r="O7" s="627"/>
      <c r="P7" s="627"/>
    </row>
    <row r="8" spans="2:16" ht="15.6" hidden="1" thickBot="1">
      <c r="B8" s="629"/>
      <c r="C8" s="629"/>
      <c r="D8" s="629"/>
      <c r="E8" s="614" t="s">
        <v>952</v>
      </c>
      <c r="F8" s="629"/>
      <c r="G8" s="629"/>
      <c r="H8" s="629"/>
      <c r="I8" s="629"/>
      <c r="J8" s="629"/>
      <c r="K8" s="629"/>
      <c r="L8" s="629"/>
      <c r="M8" s="629"/>
      <c r="N8" s="629"/>
      <c r="O8" s="629"/>
      <c r="P8" s="629"/>
    </row>
    <row r="9" spans="2:16" ht="15.6" hidden="1" thickTop="1">
      <c r="B9" s="626"/>
      <c r="C9" s="626"/>
      <c r="D9" s="626"/>
      <c r="E9" s="626"/>
      <c r="F9" s="626"/>
      <c r="G9" s="626"/>
      <c r="H9" s="626"/>
      <c r="I9" s="626"/>
      <c r="J9" s="626"/>
      <c r="K9" s="626"/>
      <c r="L9" s="626"/>
      <c r="M9" s="626"/>
      <c r="N9" s="626"/>
      <c r="O9" s="626"/>
      <c r="P9" s="626"/>
    </row>
    <row r="10" spans="2:16" hidden="1">
      <c r="B10" s="604" t="s">
        <v>754</v>
      </c>
      <c r="C10" s="603">
        <v>4.91</v>
      </c>
      <c r="D10" s="603">
        <v>5.71</v>
      </c>
      <c r="E10" s="603">
        <v>16.23</v>
      </c>
      <c r="F10" s="603">
        <v>15.11</v>
      </c>
      <c r="G10" s="603">
        <v>1.31</v>
      </c>
      <c r="H10" s="603">
        <v>9.77</v>
      </c>
      <c r="I10" s="603">
        <v>0.99</v>
      </c>
      <c r="J10" s="603">
        <v>5.75</v>
      </c>
      <c r="K10" s="603">
        <v>2.85</v>
      </c>
      <c r="L10" s="603">
        <v>1.52</v>
      </c>
      <c r="M10" s="603">
        <v>3.94</v>
      </c>
      <c r="N10" s="603">
        <v>68.069999999999993</v>
      </c>
      <c r="O10" s="603">
        <v>31.93</v>
      </c>
      <c r="P10" s="603">
        <v>68.069999999999993</v>
      </c>
    </row>
    <row r="11" spans="2:16" ht="15.6" hidden="1" thickBot="1">
      <c r="B11" s="629"/>
      <c r="C11" s="629"/>
      <c r="D11" s="629"/>
      <c r="E11" s="629"/>
      <c r="F11" s="629"/>
      <c r="G11" s="629"/>
      <c r="H11" s="629"/>
      <c r="I11" s="629"/>
      <c r="J11" s="629"/>
      <c r="K11" s="629"/>
      <c r="L11" s="629"/>
      <c r="M11" s="629"/>
      <c r="N11" s="629"/>
      <c r="O11" s="629"/>
      <c r="P11" s="629"/>
    </row>
    <row r="12" spans="2:16" ht="15.6" hidden="1" thickTop="1">
      <c r="B12" s="626"/>
      <c r="C12" s="626"/>
      <c r="D12" s="626"/>
      <c r="E12" s="626"/>
      <c r="F12" s="626"/>
      <c r="G12" s="626"/>
      <c r="H12" s="626"/>
      <c r="I12" s="626"/>
      <c r="J12" s="626"/>
      <c r="K12" s="626"/>
      <c r="L12" s="626"/>
      <c r="M12" s="626"/>
      <c r="N12" s="626"/>
      <c r="O12" s="626"/>
      <c r="P12" s="626"/>
    </row>
    <row r="13" spans="2:16" hidden="1">
      <c r="B13" s="604">
        <v>2009</v>
      </c>
      <c r="C13" s="627"/>
      <c r="D13" s="627"/>
      <c r="E13" s="627"/>
      <c r="F13" s="627"/>
      <c r="G13" s="627"/>
      <c r="H13" s="627"/>
      <c r="I13" s="627"/>
      <c r="J13" s="627"/>
      <c r="K13" s="627"/>
      <c r="L13" s="627"/>
      <c r="M13" s="627"/>
      <c r="N13" s="627"/>
      <c r="O13" s="627"/>
      <c r="P13" s="627"/>
    </row>
    <row r="14" spans="2:16" hidden="1">
      <c r="B14" s="604" t="s">
        <v>298</v>
      </c>
      <c r="C14" s="603">
        <v>0</v>
      </c>
      <c r="D14" s="603">
        <v>0.1</v>
      </c>
      <c r="E14" s="603">
        <v>0</v>
      </c>
      <c r="F14" s="603">
        <v>0.4</v>
      </c>
      <c r="G14" s="603">
        <v>0</v>
      </c>
      <c r="H14" s="603">
        <v>-5.4</v>
      </c>
      <c r="I14" s="603" t="s">
        <v>608</v>
      </c>
      <c r="J14" s="603">
        <v>0.4</v>
      </c>
      <c r="K14" s="603"/>
      <c r="L14" s="603">
        <v>-7.8</v>
      </c>
      <c r="M14" s="603">
        <v>0</v>
      </c>
      <c r="N14" s="603">
        <v>-2.6</v>
      </c>
      <c r="O14" s="603">
        <v>-1.9</v>
      </c>
      <c r="P14" s="603">
        <v>-2.2999999999999998</v>
      </c>
    </row>
    <row r="15" spans="2:16" hidden="1">
      <c r="B15" s="604" t="s">
        <v>1211</v>
      </c>
      <c r="C15" s="603">
        <v>-5.0999999999999996</v>
      </c>
      <c r="D15" s="603">
        <v>-3.4</v>
      </c>
      <c r="E15" s="603">
        <v>-0.2</v>
      </c>
      <c r="F15" s="603">
        <v>-1.5</v>
      </c>
      <c r="G15" s="603">
        <v>-7.8</v>
      </c>
      <c r="H15" s="603">
        <v>-3.2</v>
      </c>
      <c r="I15" s="603" t="s">
        <v>608</v>
      </c>
      <c r="J15" s="603">
        <v>2.4</v>
      </c>
      <c r="K15" s="603"/>
      <c r="L15" s="603">
        <v>-3.9</v>
      </c>
      <c r="M15" s="603">
        <v>-0.2</v>
      </c>
      <c r="N15" s="603">
        <v>-2.8</v>
      </c>
      <c r="O15" s="603">
        <v>-3.8</v>
      </c>
      <c r="P15" s="603">
        <v>-3.2</v>
      </c>
    </row>
    <row r="16" spans="2:16" hidden="1">
      <c r="B16" s="604" t="s">
        <v>300</v>
      </c>
      <c r="C16" s="603">
        <v>-6.1</v>
      </c>
      <c r="D16" s="603">
        <v>-5.8</v>
      </c>
      <c r="E16" s="603">
        <v>-0.2</v>
      </c>
      <c r="F16" s="603">
        <v>-0.6</v>
      </c>
      <c r="G16" s="603">
        <v>-0.2</v>
      </c>
      <c r="H16" s="603">
        <v>0.1</v>
      </c>
      <c r="I16" s="603" t="s">
        <v>608</v>
      </c>
      <c r="J16" s="603">
        <v>-0.5</v>
      </c>
      <c r="K16" s="603"/>
      <c r="L16" s="603">
        <v>4.0999999999999996</v>
      </c>
      <c r="M16" s="603">
        <v>-2.2000000000000002</v>
      </c>
      <c r="N16" s="603">
        <v>-1.8</v>
      </c>
      <c r="O16" s="603">
        <v>-5.7</v>
      </c>
      <c r="P16" s="603">
        <v>-3.1</v>
      </c>
    </row>
    <row r="17" spans="2:16" hidden="1">
      <c r="B17" s="604" t="s">
        <v>301</v>
      </c>
      <c r="C17" s="603">
        <v>-2.6</v>
      </c>
      <c r="D17" s="603">
        <v>-3.3</v>
      </c>
      <c r="E17" s="603">
        <v>6.5</v>
      </c>
      <c r="F17" s="603">
        <v>-0.5</v>
      </c>
      <c r="G17" s="603">
        <v>-2.9</v>
      </c>
      <c r="H17" s="603">
        <v>1.3</v>
      </c>
      <c r="I17" s="603" t="s">
        <v>608</v>
      </c>
      <c r="J17" s="603">
        <v>0.1</v>
      </c>
      <c r="K17" s="603">
        <v>106.8</v>
      </c>
      <c r="L17" s="603">
        <v>-4.0999999999999996</v>
      </c>
      <c r="M17" s="603">
        <v>-0.7</v>
      </c>
      <c r="N17" s="603">
        <v>-0.2</v>
      </c>
      <c r="O17" s="603">
        <v>-2.9</v>
      </c>
      <c r="P17" s="603">
        <v>-1.1000000000000001</v>
      </c>
    </row>
    <row r="18" spans="2:16" hidden="1">
      <c r="B18" s="604" t="s">
        <v>302</v>
      </c>
      <c r="C18" s="603">
        <v>-0.2</v>
      </c>
      <c r="D18" s="603">
        <v>-6.6</v>
      </c>
      <c r="E18" s="603">
        <v>0.2</v>
      </c>
      <c r="F18" s="603">
        <v>-3.6</v>
      </c>
      <c r="G18" s="603">
        <v>1</v>
      </c>
      <c r="H18" s="603">
        <v>1.9</v>
      </c>
      <c r="I18" s="603">
        <v>-0.2</v>
      </c>
      <c r="J18" s="603">
        <v>0.6</v>
      </c>
      <c r="K18" s="603">
        <v>94.8</v>
      </c>
      <c r="L18" s="603">
        <v>-1.5</v>
      </c>
      <c r="M18" s="603">
        <v>1.4</v>
      </c>
      <c r="N18" s="603">
        <v>-1.1000000000000001</v>
      </c>
      <c r="O18" s="603">
        <v>-0.8</v>
      </c>
      <c r="P18" s="603">
        <v>-0.9</v>
      </c>
    </row>
    <row r="19" spans="2:16" hidden="1">
      <c r="B19" s="604" t="s">
        <v>303</v>
      </c>
      <c r="C19" s="603">
        <v>5.3</v>
      </c>
      <c r="D19" s="603">
        <v>-1.2</v>
      </c>
      <c r="E19" s="603">
        <v>-0.3</v>
      </c>
      <c r="F19" s="603">
        <v>1</v>
      </c>
      <c r="G19" s="603">
        <v>2.7</v>
      </c>
      <c r="H19" s="603">
        <v>7.2</v>
      </c>
      <c r="I19" s="603">
        <v>0.6</v>
      </c>
      <c r="J19" s="603">
        <v>-1.5</v>
      </c>
      <c r="K19" s="603">
        <v>103.6</v>
      </c>
      <c r="L19" s="603">
        <v>3.7</v>
      </c>
      <c r="M19" s="603">
        <v>0.6</v>
      </c>
      <c r="N19" s="603">
        <v>1.4</v>
      </c>
      <c r="O19" s="603">
        <v>-1.3</v>
      </c>
      <c r="P19" s="603">
        <v>0.6</v>
      </c>
    </row>
    <row r="20" spans="2:16" hidden="1">
      <c r="B20" s="604" t="s">
        <v>304</v>
      </c>
      <c r="C20" s="603">
        <v>-1.8</v>
      </c>
      <c r="D20" s="603">
        <v>0.6</v>
      </c>
      <c r="E20" s="603">
        <v>0.5</v>
      </c>
      <c r="F20" s="603">
        <v>1.6</v>
      </c>
      <c r="G20" s="603">
        <v>-0.9</v>
      </c>
      <c r="H20" s="603">
        <v>8.1999999999999993</v>
      </c>
      <c r="I20" s="603">
        <v>-3.1</v>
      </c>
      <c r="J20" s="603">
        <v>0.5</v>
      </c>
      <c r="K20" s="603">
        <v>-0.2</v>
      </c>
      <c r="L20" s="603">
        <v>-1.4</v>
      </c>
      <c r="M20" s="603">
        <v>0</v>
      </c>
      <c r="N20" s="603">
        <v>1.3</v>
      </c>
      <c r="O20" s="603">
        <v>0.2</v>
      </c>
      <c r="P20" s="603">
        <v>1</v>
      </c>
    </row>
    <row r="21" spans="2:16" hidden="1">
      <c r="B21" s="604" t="s">
        <v>305</v>
      </c>
      <c r="C21" s="603">
        <v>1</v>
      </c>
      <c r="D21" s="603">
        <v>-0.2</v>
      </c>
      <c r="E21" s="603">
        <v>3.1</v>
      </c>
      <c r="F21" s="603">
        <v>0.1</v>
      </c>
      <c r="G21" s="603">
        <v>1.6</v>
      </c>
      <c r="H21" s="603">
        <v>-0.7</v>
      </c>
      <c r="I21" s="603">
        <v>-0.2</v>
      </c>
      <c r="J21" s="603">
        <v>-0.3</v>
      </c>
      <c r="K21" s="603">
        <v>1.4</v>
      </c>
      <c r="L21" s="603">
        <v>-0.1</v>
      </c>
      <c r="M21" s="603">
        <v>-1.5</v>
      </c>
      <c r="N21" s="603">
        <v>0.5</v>
      </c>
      <c r="O21" s="603">
        <v>0.1</v>
      </c>
      <c r="P21" s="603">
        <v>0.4</v>
      </c>
    </row>
    <row r="22" spans="2:16" hidden="1">
      <c r="B22" s="604" t="s">
        <v>306</v>
      </c>
      <c r="C22" s="603">
        <v>-0.4</v>
      </c>
      <c r="D22" s="603">
        <v>-0.6</v>
      </c>
      <c r="E22" s="603">
        <v>0</v>
      </c>
      <c r="F22" s="603">
        <v>-0.2</v>
      </c>
      <c r="G22" s="603">
        <v>0.1</v>
      </c>
      <c r="H22" s="603">
        <v>-2.2999999999999998</v>
      </c>
      <c r="I22" s="603">
        <v>-0.9</v>
      </c>
      <c r="J22" s="603">
        <v>4</v>
      </c>
      <c r="K22" s="603">
        <v>0.6</v>
      </c>
      <c r="L22" s="603">
        <v>3</v>
      </c>
      <c r="M22" s="603">
        <v>0.1</v>
      </c>
      <c r="N22" s="603">
        <v>-0.2</v>
      </c>
      <c r="O22" s="603">
        <v>-1.2</v>
      </c>
      <c r="P22" s="603">
        <v>-0.5</v>
      </c>
    </row>
    <row r="23" spans="2:16" hidden="1">
      <c r="B23" s="604" t="s">
        <v>307</v>
      </c>
      <c r="C23" s="603">
        <v>3</v>
      </c>
      <c r="D23" s="603">
        <v>0.1</v>
      </c>
      <c r="E23" s="603">
        <v>3.5</v>
      </c>
      <c r="F23" s="603">
        <v>0.3</v>
      </c>
      <c r="G23" s="603">
        <v>0</v>
      </c>
      <c r="H23" s="603">
        <v>0.6</v>
      </c>
      <c r="I23" s="603">
        <v>-0.3</v>
      </c>
      <c r="J23" s="603">
        <v>-0.4</v>
      </c>
      <c r="K23" s="603">
        <v>0</v>
      </c>
      <c r="L23" s="603">
        <v>-0.1</v>
      </c>
      <c r="M23" s="603">
        <v>-0.7</v>
      </c>
      <c r="N23" s="603">
        <v>1</v>
      </c>
      <c r="O23" s="603">
        <v>0.2</v>
      </c>
      <c r="P23" s="603">
        <v>0.8</v>
      </c>
    </row>
    <row r="24" spans="2:16" hidden="1">
      <c r="B24" s="604" t="s">
        <v>308</v>
      </c>
      <c r="C24" s="603">
        <v>-1.4</v>
      </c>
      <c r="D24" s="603">
        <v>1.4</v>
      </c>
      <c r="E24" s="603">
        <v>0</v>
      </c>
      <c r="F24" s="603">
        <v>-0.1</v>
      </c>
      <c r="G24" s="603">
        <v>-2.8</v>
      </c>
      <c r="H24" s="603">
        <v>-0.2</v>
      </c>
      <c r="I24" s="603">
        <v>0.1</v>
      </c>
      <c r="J24" s="603">
        <v>-2.4</v>
      </c>
      <c r="K24" s="603">
        <v>0.4</v>
      </c>
      <c r="L24" s="603">
        <v>1</v>
      </c>
      <c r="M24" s="603">
        <v>-0.2</v>
      </c>
      <c r="N24" s="603">
        <v>-15</v>
      </c>
      <c r="O24" s="603">
        <v>0.2</v>
      </c>
      <c r="P24" s="603">
        <v>-0.1</v>
      </c>
    </row>
    <row r="25" spans="2:16" hidden="1">
      <c r="B25" s="604" t="s">
        <v>311</v>
      </c>
      <c r="C25" s="603">
        <v>1.3</v>
      </c>
      <c r="D25" s="603">
        <v>-0.5</v>
      </c>
      <c r="E25" s="603">
        <v>0.2</v>
      </c>
      <c r="F25" s="603">
        <v>-1</v>
      </c>
      <c r="G25" s="603">
        <v>0.8</v>
      </c>
      <c r="H25" s="603">
        <v>1.9</v>
      </c>
      <c r="I25" s="603">
        <v>-0.3</v>
      </c>
      <c r="J25" s="603">
        <v>-0.1</v>
      </c>
      <c r="K25" s="603">
        <v>4.5</v>
      </c>
      <c r="L25" s="603">
        <v>1.9</v>
      </c>
      <c r="M25" s="603">
        <v>-0.8</v>
      </c>
      <c r="N25" s="603">
        <v>3.9</v>
      </c>
      <c r="O25" s="603">
        <v>0.7</v>
      </c>
      <c r="P25" s="603">
        <v>0.5</v>
      </c>
    </row>
    <row r="26" spans="2:16" hidden="1">
      <c r="B26" s="604"/>
      <c r="C26" s="603"/>
      <c r="D26" s="603"/>
      <c r="E26" s="603"/>
      <c r="F26" s="603"/>
      <c r="G26" s="603"/>
      <c r="H26" s="603"/>
      <c r="I26" s="603"/>
      <c r="J26" s="603"/>
      <c r="K26" s="603"/>
      <c r="L26" s="603"/>
      <c r="M26" s="603"/>
      <c r="N26" s="603"/>
      <c r="O26" s="603"/>
      <c r="P26" s="603"/>
    </row>
    <row r="27" spans="2:16" hidden="1">
      <c r="B27" s="604">
        <v>2011</v>
      </c>
      <c r="C27" s="603"/>
      <c r="D27" s="603"/>
      <c r="E27" s="603"/>
      <c r="F27" s="603"/>
      <c r="G27" s="603"/>
      <c r="H27" s="603"/>
      <c r="I27" s="603"/>
      <c r="J27" s="603"/>
      <c r="K27" s="603"/>
      <c r="L27" s="603"/>
      <c r="M27" s="603"/>
      <c r="N27" s="603"/>
      <c r="O27" s="603"/>
      <c r="P27" s="603"/>
    </row>
    <row r="28" spans="2:16" hidden="1">
      <c r="B28" s="604" t="s">
        <v>298</v>
      </c>
      <c r="C28" s="603">
        <v>0.5</v>
      </c>
      <c r="D28" s="603">
        <v>0.5</v>
      </c>
      <c r="E28" s="603">
        <v>0.5</v>
      </c>
      <c r="F28" s="603">
        <v>0.4</v>
      </c>
      <c r="G28" s="603">
        <v>-0.2</v>
      </c>
      <c r="H28" s="603">
        <v>5.0999999999999996</v>
      </c>
      <c r="I28" s="603">
        <v>-0.9</v>
      </c>
      <c r="J28" s="603">
        <v>-0.3</v>
      </c>
      <c r="K28" s="603">
        <v>0.8</v>
      </c>
      <c r="L28" s="603">
        <v>0.5</v>
      </c>
      <c r="M28" s="603">
        <v>3.2</v>
      </c>
      <c r="N28" s="603">
        <v>0.9</v>
      </c>
      <c r="O28" s="603">
        <v>1.2</v>
      </c>
      <c r="P28" s="603">
        <v>1</v>
      </c>
    </row>
    <row r="29" spans="2:16" hidden="1">
      <c r="B29" s="604" t="s">
        <v>1211</v>
      </c>
      <c r="C29" s="603">
        <v>1.2</v>
      </c>
      <c r="D29" s="603">
        <v>0.6</v>
      </c>
      <c r="E29" s="603">
        <v>0.3</v>
      </c>
      <c r="F29" s="603">
        <v>0.8</v>
      </c>
      <c r="G29" s="603">
        <v>-0.3</v>
      </c>
      <c r="H29" s="603">
        <v>1.1000000000000001</v>
      </c>
      <c r="I29" s="603">
        <v>0</v>
      </c>
      <c r="J29" s="603">
        <v>0.2</v>
      </c>
      <c r="K29" s="603">
        <v>0.5</v>
      </c>
      <c r="L29" s="603">
        <v>0.4</v>
      </c>
      <c r="M29" s="603">
        <v>0.2</v>
      </c>
      <c r="N29" s="603">
        <v>0.5</v>
      </c>
      <c r="O29" s="603">
        <v>0.4</v>
      </c>
      <c r="P29" s="603">
        <v>0.5</v>
      </c>
    </row>
    <row r="30" spans="2:16" hidden="1">
      <c r="B30" s="604" t="s">
        <v>300</v>
      </c>
      <c r="C30" s="603">
        <v>1.3</v>
      </c>
      <c r="D30" s="603">
        <v>0.5</v>
      </c>
      <c r="E30" s="603">
        <v>1.3</v>
      </c>
      <c r="F30" s="603">
        <v>0.6</v>
      </c>
      <c r="G30" s="603">
        <v>0.1</v>
      </c>
      <c r="H30" s="603">
        <v>2.5</v>
      </c>
      <c r="I30" s="603">
        <v>-0.4</v>
      </c>
      <c r="J30" s="603">
        <v>0.5</v>
      </c>
      <c r="K30" s="603">
        <v>3.6</v>
      </c>
      <c r="L30" s="603">
        <v>1.4</v>
      </c>
      <c r="M30" s="603">
        <v>0</v>
      </c>
      <c r="N30" s="603">
        <v>0.8</v>
      </c>
      <c r="O30" s="603">
        <v>0.8</v>
      </c>
      <c r="P30" s="603">
        <v>0.8</v>
      </c>
    </row>
    <row r="31" spans="2:16" hidden="1">
      <c r="B31" s="604" t="s">
        <v>301</v>
      </c>
      <c r="C31" s="603">
        <v>0.23</v>
      </c>
      <c r="D31" s="603">
        <v>-0.7</v>
      </c>
      <c r="E31" s="603">
        <v>0.55000000000000004</v>
      </c>
      <c r="F31" s="603">
        <v>0.32</v>
      </c>
      <c r="G31" s="603">
        <v>-0.59</v>
      </c>
      <c r="H31" s="603">
        <v>0.21</v>
      </c>
      <c r="I31" s="603">
        <v>-0.28999999999999998</v>
      </c>
      <c r="J31" s="603">
        <v>0.22</v>
      </c>
      <c r="K31" s="603">
        <v>0</v>
      </c>
      <c r="L31" s="603">
        <v>0.37</v>
      </c>
      <c r="M31" s="603">
        <v>0.24</v>
      </c>
      <c r="N31" s="603">
        <v>-0.02</v>
      </c>
      <c r="O31" s="603">
        <v>0.52</v>
      </c>
      <c r="P31" s="603">
        <v>0.14000000000000001</v>
      </c>
    </row>
    <row r="32" spans="2:16" hidden="1">
      <c r="B32" s="604" t="s">
        <v>302</v>
      </c>
      <c r="C32" s="603">
        <v>0.25</v>
      </c>
      <c r="D32" s="603">
        <v>0.49</v>
      </c>
      <c r="E32" s="603">
        <v>-0.17</v>
      </c>
      <c r="F32" s="603">
        <v>0</v>
      </c>
      <c r="G32" s="603">
        <v>0.38</v>
      </c>
      <c r="H32" s="603">
        <v>-0.06</v>
      </c>
      <c r="I32" s="603">
        <v>-0.28999999999999998</v>
      </c>
      <c r="J32" s="603">
        <v>0.35</v>
      </c>
      <c r="K32" s="603">
        <v>0</v>
      </c>
      <c r="L32" s="603">
        <v>1.32</v>
      </c>
      <c r="M32" s="603">
        <v>-0.25</v>
      </c>
      <c r="N32" s="603">
        <v>0.14000000000000001</v>
      </c>
      <c r="O32" s="603">
        <v>-7.0000000000000007E-2</v>
      </c>
      <c r="P32" s="603">
        <v>0.08</v>
      </c>
    </row>
    <row r="33" spans="2:16" hidden="1">
      <c r="B33" s="604" t="s">
        <v>303</v>
      </c>
      <c r="C33" s="603">
        <v>0.28000000000000003</v>
      </c>
      <c r="D33" s="603">
        <v>0.12</v>
      </c>
      <c r="E33" s="603">
        <v>1.18</v>
      </c>
      <c r="F33" s="603">
        <v>0.41</v>
      </c>
      <c r="G33" s="603">
        <v>0.32</v>
      </c>
      <c r="H33" s="603">
        <v>-0.09</v>
      </c>
      <c r="I33" s="603">
        <v>0</v>
      </c>
      <c r="J33" s="603">
        <v>0.7</v>
      </c>
      <c r="K33" s="603">
        <v>0</v>
      </c>
      <c r="L33" s="603">
        <v>0</v>
      </c>
      <c r="M33" s="603">
        <v>0.3</v>
      </c>
      <c r="N33" s="603">
        <v>0.28999999999999998</v>
      </c>
      <c r="O33" s="603">
        <v>0.11</v>
      </c>
      <c r="P33" s="603">
        <v>0.25</v>
      </c>
    </row>
    <row r="34" spans="2:16" hidden="1">
      <c r="B34" s="604" t="s">
        <v>304</v>
      </c>
      <c r="C34" s="603">
        <v>-0.12</v>
      </c>
      <c r="D34" s="603">
        <v>0.56999999999999995</v>
      </c>
      <c r="E34" s="603">
        <v>0.31</v>
      </c>
      <c r="F34" s="603">
        <v>0.36</v>
      </c>
      <c r="G34" s="603">
        <v>-0.27</v>
      </c>
      <c r="H34" s="603">
        <v>0.02</v>
      </c>
      <c r="I34" s="603">
        <v>-0.41</v>
      </c>
      <c r="J34" s="603">
        <v>-0.05</v>
      </c>
      <c r="K34" s="603">
        <v>0</v>
      </c>
      <c r="L34" s="603">
        <v>0.88</v>
      </c>
      <c r="M34" s="603">
        <v>0.24</v>
      </c>
      <c r="N34" s="603">
        <v>0.17</v>
      </c>
      <c r="O34" s="603">
        <v>0.47</v>
      </c>
      <c r="P34" s="603">
        <v>0.26</v>
      </c>
    </row>
    <row r="35" spans="2:16" hidden="1">
      <c r="B35" s="604" t="s">
        <v>305</v>
      </c>
      <c r="C35" s="603">
        <v>0.04</v>
      </c>
      <c r="D35" s="603">
        <v>0.1</v>
      </c>
      <c r="E35" s="603">
        <v>0.55000000000000004</v>
      </c>
      <c r="F35" s="603">
        <v>0.17</v>
      </c>
      <c r="G35" s="603">
        <v>0.08</v>
      </c>
      <c r="H35" s="603">
        <v>0.27</v>
      </c>
      <c r="I35" s="603">
        <v>-0.11</v>
      </c>
      <c r="J35" s="603">
        <v>-0.06</v>
      </c>
      <c r="K35" s="603">
        <v>0.37</v>
      </c>
      <c r="L35" s="603">
        <v>0.98</v>
      </c>
      <c r="M35" s="603">
        <v>0.3</v>
      </c>
      <c r="N35" s="603">
        <v>0.19</v>
      </c>
      <c r="O35" s="603">
        <v>-0.02</v>
      </c>
      <c r="P35" s="603">
        <v>0.13</v>
      </c>
    </row>
    <row r="36" spans="2:16" hidden="1">
      <c r="B36" s="604" t="s">
        <v>306</v>
      </c>
      <c r="C36" s="603">
        <v>0.38</v>
      </c>
      <c r="D36" s="603">
        <v>0.12</v>
      </c>
      <c r="E36" s="603">
        <v>1.65</v>
      </c>
      <c r="F36" s="603">
        <v>0.3</v>
      </c>
      <c r="G36" s="603">
        <v>0</v>
      </c>
      <c r="H36" s="603">
        <v>-2.5099999999999998</v>
      </c>
      <c r="I36" s="603">
        <v>13.67</v>
      </c>
      <c r="J36" s="603">
        <v>0.2</v>
      </c>
      <c r="K36" s="603">
        <v>0.35</v>
      </c>
      <c r="L36" s="603">
        <v>0.19</v>
      </c>
      <c r="M36" s="603">
        <v>0.89</v>
      </c>
      <c r="N36" s="603">
        <v>0</v>
      </c>
      <c r="O36" s="603">
        <v>0.54</v>
      </c>
      <c r="P36" s="603">
        <v>0.9</v>
      </c>
    </row>
    <row r="37" spans="2:16" hidden="1">
      <c r="B37" s="604" t="s">
        <v>307</v>
      </c>
      <c r="C37" s="603">
        <v>0.12</v>
      </c>
      <c r="D37" s="603">
        <v>0.17</v>
      </c>
      <c r="E37" s="603">
        <v>0.13</v>
      </c>
      <c r="F37" s="603">
        <v>0.13</v>
      </c>
      <c r="G37" s="603">
        <v>0.32</v>
      </c>
      <c r="H37" s="603">
        <v>0.1</v>
      </c>
      <c r="I37" s="603">
        <v>-0.13</v>
      </c>
      <c r="J37" s="603">
        <v>0.05</v>
      </c>
      <c r="K37" s="603">
        <v>0</v>
      </c>
      <c r="L37" s="603">
        <v>-0.24</v>
      </c>
      <c r="M37" s="603">
        <v>0.48</v>
      </c>
      <c r="N37" s="603">
        <v>0.14000000000000001</v>
      </c>
      <c r="O37" s="603">
        <v>0.08</v>
      </c>
      <c r="P37" s="603">
        <v>0.12</v>
      </c>
    </row>
    <row r="38" spans="2:16" hidden="1">
      <c r="B38" s="604" t="s">
        <v>308</v>
      </c>
      <c r="C38" s="603">
        <v>-0.04</v>
      </c>
      <c r="D38" s="603">
        <v>0.37</v>
      </c>
      <c r="E38" s="603">
        <v>0.55000000000000004</v>
      </c>
      <c r="F38" s="603">
        <v>-0.09</v>
      </c>
      <c r="G38" s="603">
        <v>0.05</v>
      </c>
      <c r="H38" s="603">
        <v>-0.15</v>
      </c>
      <c r="I38" s="603">
        <v>-0.1</v>
      </c>
      <c r="J38" s="603">
        <v>0.1</v>
      </c>
      <c r="K38" s="603">
        <v>0</v>
      </c>
      <c r="L38" s="603">
        <v>1.22</v>
      </c>
      <c r="M38" s="603">
        <v>0.21</v>
      </c>
      <c r="N38" s="603">
        <v>0.09</v>
      </c>
      <c r="O38" s="603">
        <v>1.48</v>
      </c>
      <c r="P38" s="603">
        <v>0.5</v>
      </c>
    </row>
    <row r="39" spans="2:16" hidden="1">
      <c r="B39" s="604" t="s">
        <v>311</v>
      </c>
      <c r="C39" s="603">
        <v>3.12</v>
      </c>
      <c r="D39" s="603">
        <v>-0.22</v>
      </c>
      <c r="E39" s="603">
        <v>0.42</v>
      </c>
      <c r="F39" s="603">
        <v>0.26</v>
      </c>
      <c r="G39" s="603">
        <v>0.06</v>
      </c>
      <c r="H39" s="603">
        <v>-0.03</v>
      </c>
      <c r="I39" s="603">
        <v>-0.06</v>
      </c>
      <c r="J39" s="603">
        <v>-0.21</v>
      </c>
      <c r="K39" s="603">
        <v>0</v>
      </c>
      <c r="L39" s="603">
        <v>1.18</v>
      </c>
      <c r="M39" s="603">
        <v>-0.13</v>
      </c>
      <c r="N39" s="603">
        <v>0.15</v>
      </c>
      <c r="O39" s="603">
        <v>0.28000000000000003</v>
      </c>
      <c r="P39" s="603">
        <v>0.21</v>
      </c>
    </row>
    <row r="40" spans="2:16" hidden="1">
      <c r="B40" s="604"/>
      <c r="C40" s="603"/>
      <c r="D40" s="603"/>
      <c r="E40" s="603"/>
      <c r="F40" s="603"/>
      <c r="G40" s="603"/>
      <c r="H40" s="603"/>
      <c r="I40" s="603"/>
      <c r="J40" s="603"/>
      <c r="K40" s="603"/>
      <c r="L40" s="603"/>
      <c r="M40" s="603"/>
      <c r="N40" s="603"/>
      <c r="O40" s="603"/>
      <c r="P40" s="603"/>
    </row>
    <row r="41" spans="2:16" hidden="1">
      <c r="B41" s="604"/>
      <c r="C41" s="603"/>
      <c r="D41" s="603"/>
      <c r="E41" s="603"/>
      <c r="F41" s="603"/>
      <c r="G41" s="603"/>
      <c r="H41" s="603"/>
      <c r="I41" s="603"/>
      <c r="J41" s="603"/>
      <c r="K41" s="603"/>
      <c r="L41" s="603"/>
      <c r="M41" s="603"/>
      <c r="N41" s="603"/>
      <c r="O41" s="603"/>
      <c r="P41" s="603"/>
    </row>
    <row r="42" spans="2:16" hidden="1">
      <c r="B42" s="604">
        <v>2012</v>
      </c>
      <c r="C42" s="603"/>
      <c r="D42" s="603"/>
      <c r="E42" s="603"/>
      <c r="F42" s="603"/>
      <c r="G42" s="603"/>
      <c r="H42" s="603"/>
      <c r="I42" s="603"/>
      <c r="J42" s="603"/>
      <c r="K42" s="603"/>
      <c r="L42" s="603"/>
      <c r="M42" s="603"/>
      <c r="N42" s="603"/>
      <c r="O42" s="603"/>
      <c r="P42" s="603"/>
    </row>
    <row r="43" spans="2:16" hidden="1">
      <c r="B43" s="604" t="s">
        <v>298</v>
      </c>
      <c r="C43" s="603">
        <v>0.46</v>
      </c>
      <c r="D43" s="603">
        <v>0.24</v>
      </c>
      <c r="E43" s="603">
        <v>0</v>
      </c>
      <c r="F43" s="603">
        <v>0.5</v>
      </c>
      <c r="G43" s="603">
        <v>0.32</v>
      </c>
      <c r="H43" s="603">
        <v>0.44</v>
      </c>
      <c r="I43" s="603">
        <v>0.52</v>
      </c>
      <c r="J43" s="603">
        <v>0.3</v>
      </c>
      <c r="K43" s="603">
        <v>0.95</v>
      </c>
      <c r="L43" s="603">
        <v>1.29</v>
      </c>
      <c r="M43" s="603">
        <v>0.39</v>
      </c>
      <c r="N43" s="603">
        <v>0.48</v>
      </c>
      <c r="O43" s="603">
        <v>0.46</v>
      </c>
      <c r="P43" s="603">
        <v>0.41</v>
      </c>
    </row>
    <row r="44" spans="2:16" hidden="1">
      <c r="B44" s="604" t="s">
        <v>1211</v>
      </c>
      <c r="C44" s="603">
        <v>0.48</v>
      </c>
      <c r="D44" s="603">
        <v>0.87</v>
      </c>
      <c r="E44" s="603">
        <v>0.35</v>
      </c>
      <c r="F44" s="603">
        <v>3.81</v>
      </c>
      <c r="G44" s="603">
        <v>0.25</v>
      </c>
      <c r="H44" s="603">
        <v>-0.12</v>
      </c>
      <c r="I44" s="603">
        <v>-0.52</v>
      </c>
      <c r="J44" s="603">
        <v>-0.13</v>
      </c>
      <c r="K44" s="603">
        <v>0</v>
      </c>
      <c r="L44" s="603">
        <v>-0.31</v>
      </c>
      <c r="M44" s="603">
        <v>0.48</v>
      </c>
      <c r="N44" s="603">
        <v>0.48</v>
      </c>
      <c r="O44" s="603">
        <v>0.41</v>
      </c>
      <c r="P44" s="603">
        <v>0.49</v>
      </c>
    </row>
    <row r="45" spans="2:16" hidden="1">
      <c r="B45" s="604" t="s">
        <v>300</v>
      </c>
      <c r="C45" s="603">
        <v>0.02</v>
      </c>
      <c r="D45" s="603">
        <v>0.12</v>
      </c>
      <c r="E45" s="603">
        <v>1.56</v>
      </c>
      <c r="F45" s="603">
        <v>0.27</v>
      </c>
      <c r="G45" s="603">
        <v>0.01</v>
      </c>
      <c r="H45" s="603">
        <v>0.1</v>
      </c>
      <c r="I45" s="603">
        <v>-0.16</v>
      </c>
      <c r="J45" s="603">
        <v>0.13</v>
      </c>
      <c r="K45" s="603">
        <v>4.32</v>
      </c>
      <c r="L45" s="603">
        <v>-0.31</v>
      </c>
      <c r="M45" s="603">
        <v>0.48</v>
      </c>
      <c r="N45" s="603">
        <v>0.26</v>
      </c>
      <c r="O45" s="603">
        <v>0.8</v>
      </c>
      <c r="P45" s="603">
        <v>0.43</v>
      </c>
    </row>
    <row r="46" spans="2:16" hidden="1">
      <c r="B46" s="604" t="s">
        <v>301</v>
      </c>
      <c r="C46" s="603">
        <v>0.59</v>
      </c>
      <c r="D46" s="603">
        <v>0.53</v>
      </c>
      <c r="E46" s="603">
        <v>2.71</v>
      </c>
      <c r="F46" s="603">
        <v>-0.18</v>
      </c>
      <c r="G46" s="603">
        <v>-0.17</v>
      </c>
      <c r="H46" s="603">
        <v>0.87</v>
      </c>
      <c r="I46" s="603">
        <v>0.12</v>
      </c>
      <c r="J46" s="603">
        <v>-0.04</v>
      </c>
      <c r="K46" s="603">
        <v>0.15</v>
      </c>
      <c r="L46" s="603">
        <v>0.31</v>
      </c>
      <c r="M46" s="603">
        <v>0.15</v>
      </c>
      <c r="N46" s="603">
        <v>0.21</v>
      </c>
      <c r="O46" s="603">
        <v>0.14000000000000001</v>
      </c>
      <c r="P46" s="603">
        <v>0.19</v>
      </c>
    </row>
    <row r="47" spans="2:16" hidden="1">
      <c r="B47" s="604" t="s">
        <v>302</v>
      </c>
      <c r="C47" s="603">
        <v>-0.06</v>
      </c>
      <c r="D47" s="603">
        <v>0.2</v>
      </c>
      <c r="E47" s="603">
        <v>0.39</v>
      </c>
      <c r="F47" s="603">
        <v>-0.02</v>
      </c>
      <c r="G47" s="603">
        <v>0.12</v>
      </c>
      <c r="H47" s="603">
        <v>0.15</v>
      </c>
      <c r="I47" s="603">
        <v>-0.25</v>
      </c>
      <c r="J47" s="603">
        <v>0.25</v>
      </c>
      <c r="K47" s="603">
        <v>0</v>
      </c>
      <c r="L47" s="603">
        <v>0.28999999999999998</v>
      </c>
      <c r="M47" s="603">
        <v>-0.15</v>
      </c>
      <c r="N47" s="603">
        <v>0.21</v>
      </c>
      <c r="O47" s="603">
        <v>-0.25</v>
      </c>
      <c r="P47" s="603">
        <v>7.0000000000000007E-2</v>
      </c>
    </row>
    <row r="48" spans="2:16" hidden="1">
      <c r="B48" s="604" t="s">
        <v>303</v>
      </c>
      <c r="C48" s="603">
        <v>0.63</v>
      </c>
      <c r="D48" s="603">
        <v>0.09</v>
      </c>
      <c r="E48" s="603">
        <v>1.26</v>
      </c>
      <c r="F48" s="603">
        <v>0.48</v>
      </c>
      <c r="G48" s="603">
        <v>0.5</v>
      </c>
      <c r="H48" s="603">
        <v>-0.15</v>
      </c>
      <c r="I48" s="603">
        <v>-0.03</v>
      </c>
      <c r="J48" s="603">
        <v>-0.38</v>
      </c>
      <c r="K48" s="603">
        <v>4.46</v>
      </c>
      <c r="L48" s="603">
        <v>-7.0000000000000007E-2</v>
      </c>
      <c r="M48" s="603">
        <v>-0.12</v>
      </c>
      <c r="N48" s="603">
        <v>0.16</v>
      </c>
      <c r="O48" s="603">
        <v>0.28999999999999998</v>
      </c>
      <c r="P48" s="603">
        <v>0.2</v>
      </c>
    </row>
    <row r="49" spans="2:17" hidden="1">
      <c r="B49" s="604" t="s">
        <v>304</v>
      </c>
      <c r="C49" s="603">
        <v>0.38</v>
      </c>
      <c r="D49" s="603">
        <v>-0.53</v>
      </c>
      <c r="E49" s="603">
        <v>0.09</v>
      </c>
      <c r="F49" s="603">
        <v>0.01</v>
      </c>
      <c r="G49" s="603">
        <v>0.14000000000000001</v>
      </c>
      <c r="H49" s="603">
        <v>2.12</v>
      </c>
      <c r="I49" s="603">
        <v>0.05</v>
      </c>
      <c r="J49" s="603">
        <v>0.16</v>
      </c>
      <c r="K49" s="603">
        <v>-0.02</v>
      </c>
      <c r="L49" s="603">
        <v>0.65</v>
      </c>
      <c r="M49" s="603">
        <v>0.18</v>
      </c>
      <c r="N49" s="603">
        <v>0.34</v>
      </c>
      <c r="O49" s="603">
        <v>-0.02</v>
      </c>
      <c r="P49" s="603">
        <v>0.23</v>
      </c>
    </row>
    <row r="50" spans="2:17" hidden="1">
      <c r="B50" s="604" t="s">
        <v>305</v>
      </c>
      <c r="C50" s="603">
        <v>-0.04</v>
      </c>
      <c r="D50" s="603">
        <v>-0.49</v>
      </c>
      <c r="E50" s="603">
        <v>0.31</v>
      </c>
      <c r="F50" s="603">
        <v>7.0000000000000007E-2</v>
      </c>
      <c r="G50" s="603">
        <v>0.34</v>
      </c>
      <c r="H50" s="603">
        <v>-0.01</v>
      </c>
      <c r="I50" s="603">
        <v>-0.03</v>
      </c>
      <c r="J50" s="603">
        <v>-0.01</v>
      </c>
      <c r="K50" s="603">
        <v>0.25</v>
      </c>
      <c r="L50" s="603">
        <v>0.09</v>
      </c>
      <c r="M50" s="603">
        <v>-0.24</v>
      </c>
      <c r="N50" s="603">
        <v>-0.21</v>
      </c>
      <c r="O50" s="603">
        <v>-0.11</v>
      </c>
      <c r="P50" s="603">
        <v>-0.18</v>
      </c>
    </row>
    <row r="51" spans="2:17" hidden="1">
      <c r="B51" s="604" t="s">
        <v>306</v>
      </c>
      <c r="C51" s="603">
        <v>0.09</v>
      </c>
      <c r="D51" s="603">
        <v>-0.27</v>
      </c>
      <c r="E51" s="603">
        <v>-0.24</v>
      </c>
      <c r="F51" s="603">
        <v>0.09</v>
      </c>
      <c r="G51" s="603">
        <v>0.46</v>
      </c>
      <c r="H51" s="603">
        <v>0.13</v>
      </c>
      <c r="I51" s="603">
        <v>0.1</v>
      </c>
      <c r="J51" s="603">
        <v>0.25</v>
      </c>
      <c r="K51" s="603">
        <v>0.39</v>
      </c>
      <c r="L51" s="603">
        <v>0.56000000000000005</v>
      </c>
      <c r="M51" s="603">
        <v>0.3</v>
      </c>
      <c r="N51" s="603">
        <v>0.19</v>
      </c>
      <c r="O51" s="603">
        <v>1.08</v>
      </c>
      <c r="P51" s="603">
        <v>0.46</v>
      </c>
    </row>
    <row r="52" spans="2:17" hidden="1">
      <c r="B52" s="604" t="s">
        <v>307</v>
      </c>
      <c r="C52" s="603">
        <v>0.38</v>
      </c>
      <c r="D52" s="603">
        <v>0.35</v>
      </c>
      <c r="E52" s="603">
        <v>-0.13</v>
      </c>
      <c r="F52" s="603">
        <v>-0.03</v>
      </c>
      <c r="G52" s="603">
        <v>-0.05</v>
      </c>
      <c r="H52" s="603">
        <v>3.28</v>
      </c>
      <c r="I52" s="603">
        <v>0.04</v>
      </c>
      <c r="J52" s="603">
        <v>-0.44</v>
      </c>
      <c r="K52" s="603">
        <v>-0.56000000000000005</v>
      </c>
      <c r="L52" s="603">
        <v>0.32</v>
      </c>
      <c r="M52" s="603">
        <v>0.93</v>
      </c>
      <c r="N52" s="603">
        <v>0.17</v>
      </c>
      <c r="O52" s="603">
        <v>0.5</v>
      </c>
      <c r="P52" s="603">
        <v>0.26</v>
      </c>
    </row>
    <row r="53" spans="2:17" hidden="1">
      <c r="B53" s="604" t="s">
        <v>308</v>
      </c>
      <c r="C53" s="603">
        <v>-0.3</v>
      </c>
      <c r="D53" s="603">
        <v>0.13</v>
      </c>
      <c r="E53" s="603">
        <v>0.28000000000000003</v>
      </c>
      <c r="F53" s="603">
        <v>-0.04</v>
      </c>
      <c r="G53" s="603">
        <v>-0.11</v>
      </c>
      <c r="H53" s="603">
        <v>0.11</v>
      </c>
      <c r="I53" s="603">
        <v>7.0000000000000007E-2</v>
      </c>
      <c r="J53" s="603">
        <v>0.06</v>
      </c>
      <c r="K53" s="603">
        <v>3.54</v>
      </c>
      <c r="L53" s="603">
        <v>-0.13</v>
      </c>
      <c r="M53" s="603">
        <v>-0.13</v>
      </c>
      <c r="N53" s="603">
        <v>0.11</v>
      </c>
      <c r="O53" s="603">
        <v>0.18</v>
      </c>
      <c r="P53" s="603">
        <v>0.13</v>
      </c>
    </row>
    <row r="54" spans="2:17" hidden="1">
      <c r="B54" s="604" t="s">
        <v>311</v>
      </c>
      <c r="C54" s="633">
        <v>1.76</v>
      </c>
      <c r="D54" s="633">
        <v>-0.17</v>
      </c>
      <c r="E54" s="633">
        <v>0.26</v>
      </c>
      <c r="F54" s="633">
        <v>-0.24</v>
      </c>
      <c r="G54" s="633">
        <v>0.42</v>
      </c>
      <c r="H54" s="633">
        <v>-0.17</v>
      </c>
      <c r="I54" s="633">
        <v>0.24</v>
      </c>
      <c r="J54" s="633">
        <v>-0.1</v>
      </c>
      <c r="K54" s="633">
        <v>-0.09</v>
      </c>
      <c r="L54" s="633">
        <v>0.03</v>
      </c>
      <c r="M54" s="633">
        <v>7.0000000000000007E-2</v>
      </c>
      <c r="N54" s="633">
        <v>0.06</v>
      </c>
      <c r="O54" s="633">
        <v>0.28999999999999998</v>
      </c>
      <c r="P54" s="633">
        <v>0.13</v>
      </c>
    </row>
    <row r="55" spans="2:17" ht="15.6" hidden="1" thickBot="1">
      <c r="B55" s="613"/>
      <c r="C55" s="614"/>
      <c r="D55" s="614"/>
      <c r="E55" s="614"/>
      <c r="F55" s="614"/>
      <c r="G55" s="629"/>
      <c r="H55" s="629"/>
      <c r="I55" s="629"/>
      <c r="J55" s="629"/>
      <c r="K55" s="629"/>
      <c r="L55" s="629"/>
      <c r="M55" s="629"/>
      <c r="N55" s="629"/>
      <c r="O55" s="614"/>
      <c r="P55" s="629"/>
    </row>
    <row r="56" spans="2:17" ht="15.6" hidden="1" thickTop="1"/>
    <row r="57" spans="2:17">
      <c r="B57" s="1882" t="s">
        <v>1754</v>
      </c>
      <c r="C57" s="1882"/>
      <c r="D57" s="1882"/>
      <c r="E57" s="1882"/>
      <c r="F57" s="1882"/>
      <c r="G57" s="1882"/>
      <c r="H57" s="1882"/>
      <c r="I57" s="1882"/>
      <c r="J57" s="1882"/>
      <c r="K57" s="1882"/>
      <c r="L57" s="1882"/>
      <c r="M57" s="1882"/>
      <c r="N57" s="1882"/>
      <c r="O57" s="1882"/>
      <c r="P57" s="1882"/>
    </row>
    <row r="58" spans="2:17" ht="15.6" thickBot="1">
      <c r="B58" s="1882" t="s">
        <v>1781</v>
      </c>
      <c r="C58" s="1882"/>
      <c r="D58" s="1882"/>
      <c r="E58" s="1882"/>
      <c r="F58" s="1882"/>
      <c r="G58" s="1882"/>
      <c r="H58" s="1882"/>
      <c r="I58" s="1882"/>
      <c r="J58" s="1882"/>
      <c r="K58" s="1882"/>
      <c r="L58" s="1882"/>
      <c r="M58" s="1882"/>
      <c r="N58" s="1882"/>
      <c r="O58" s="1882"/>
      <c r="P58" s="1882"/>
    </row>
    <row r="59" spans="2:17" hidden="1">
      <c r="B59" s="738"/>
    </row>
    <row r="60" spans="2:17" ht="15.6" hidden="1" thickBot="1"/>
    <row r="61" spans="2:17" ht="16.2" hidden="1" thickTop="1" thickBot="1">
      <c r="B61" s="623"/>
      <c r="C61" s="1875" t="s">
        <v>1267</v>
      </c>
      <c r="D61" s="1876"/>
      <c r="E61" s="1876"/>
      <c r="F61" s="1876"/>
      <c r="G61" s="1876"/>
      <c r="H61" s="1876"/>
      <c r="I61" s="1876"/>
      <c r="J61" s="1876"/>
      <c r="K61" s="1876"/>
      <c r="L61" s="1876"/>
      <c r="M61" s="1876"/>
      <c r="N61" s="1876"/>
      <c r="O61" s="1877"/>
      <c r="P61" s="625" t="s">
        <v>1268</v>
      </c>
      <c r="Q61" s="612" t="s">
        <v>747</v>
      </c>
    </row>
    <row r="62" spans="2:17" ht="17.399999999999999" hidden="1" thickTop="1">
      <c r="B62" s="626"/>
      <c r="C62" s="612" t="s">
        <v>436</v>
      </c>
      <c r="D62" s="612" t="s">
        <v>743</v>
      </c>
      <c r="E62" s="612" t="s">
        <v>949</v>
      </c>
      <c r="F62" s="612" t="s">
        <v>744</v>
      </c>
      <c r="G62" s="612" t="s">
        <v>441</v>
      </c>
      <c r="H62" s="612" t="s">
        <v>406</v>
      </c>
      <c r="I62" s="612" t="s">
        <v>395</v>
      </c>
      <c r="J62" s="612" t="s">
        <v>442</v>
      </c>
      <c r="K62" s="612" t="s">
        <v>745</v>
      </c>
      <c r="L62" s="612" t="s">
        <v>443</v>
      </c>
      <c r="M62" s="612" t="s">
        <v>746</v>
      </c>
      <c r="N62" s="612" t="s">
        <v>1269</v>
      </c>
      <c r="O62" s="612" t="s">
        <v>438</v>
      </c>
      <c r="P62" s="603" t="s">
        <v>752</v>
      </c>
    </row>
    <row r="63" spans="2:17" ht="16.8" hidden="1">
      <c r="B63" s="627"/>
      <c r="C63" s="603" t="s">
        <v>437</v>
      </c>
      <c r="D63" s="603" t="s">
        <v>748</v>
      </c>
      <c r="E63" s="603" t="s">
        <v>950</v>
      </c>
      <c r="F63" s="603" t="s">
        <v>1271</v>
      </c>
      <c r="G63" s="627"/>
      <c r="H63" s="627"/>
      <c r="I63" s="627"/>
      <c r="J63" s="603" t="s">
        <v>434</v>
      </c>
      <c r="K63" s="627"/>
      <c r="L63" s="603" t="s">
        <v>435</v>
      </c>
      <c r="M63" s="603" t="s">
        <v>751</v>
      </c>
      <c r="N63" s="628" t="s">
        <v>742</v>
      </c>
      <c r="O63" s="603" t="s">
        <v>440</v>
      </c>
      <c r="P63" s="603"/>
    </row>
    <row r="64" spans="2:17" hidden="1">
      <c r="B64" s="627"/>
      <c r="C64" s="627"/>
      <c r="D64" s="627"/>
      <c r="E64" s="603" t="s">
        <v>951</v>
      </c>
      <c r="F64" s="603" t="s">
        <v>1272</v>
      </c>
      <c r="G64" s="627"/>
      <c r="H64" s="627"/>
      <c r="I64" s="627"/>
      <c r="J64" s="627"/>
      <c r="K64" s="627"/>
      <c r="L64" s="627"/>
      <c r="M64" s="603" t="s">
        <v>405</v>
      </c>
      <c r="N64" s="627"/>
      <c r="O64" s="627"/>
      <c r="P64" s="627"/>
    </row>
    <row r="65" spans="2:18" ht="15.6" hidden="1" thickBot="1">
      <c r="B65" s="629"/>
      <c r="C65" s="629"/>
      <c r="D65" s="629"/>
      <c r="E65" s="614" t="s">
        <v>952</v>
      </c>
      <c r="F65" s="629"/>
      <c r="G65" s="629"/>
      <c r="H65" s="629"/>
      <c r="I65" s="629"/>
      <c r="J65" s="629"/>
      <c r="K65" s="629"/>
      <c r="L65" s="629"/>
      <c r="M65" s="629"/>
      <c r="N65" s="629"/>
      <c r="O65" s="629"/>
      <c r="P65" s="629"/>
    </row>
    <row r="66" spans="2:18" ht="15.6" hidden="1" thickTop="1">
      <c r="B66" s="626"/>
      <c r="C66" s="626"/>
      <c r="D66" s="626"/>
      <c r="E66" s="626"/>
      <c r="F66" s="626"/>
      <c r="G66" s="626"/>
      <c r="H66" s="626"/>
      <c r="I66" s="626"/>
      <c r="J66" s="626"/>
      <c r="K66" s="626"/>
      <c r="L66" s="626"/>
      <c r="M66" s="626"/>
      <c r="N66" s="626"/>
      <c r="O66" s="626"/>
      <c r="P66" s="626"/>
    </row>
    <row r="67" spans="2:18" hidden="1">
      <c r="B67" s="604" t="s">
        <v>754</v>
      </c>
      <c r="C67" s="603">
        <v>4.38</v>
      </c>
      <c r="D67" s="603">
        <v>6.05</v>
      </c>
      <c r="E67" s="603">
        <v>17.739999999999998</v>
      </c>
      <c r="F67" s="603">
        <v>9.91</v>
      </c>
      <c r="G67" s="603">
        <v>2.16</v>
      </c>
      <c r="H67" s="603">
        <v>9.76</v>
      </c>
      <c r="I67" s="603">
        <v>3.41</v>
      </c>
      <c r="J67" s="603">
        <v>2.1</v>
      </c>
      <c r="K67" s="603">
        <v>5.67</v>
      </c>
      <c r="L67" s="603">
        <v>1.38</v>
      </c>
      <c r="M67" s="603">
        <v>3.91</v>
      </c>
      <c r="N67" s="603">
        <v>66.47</v>
      </c>
      <c r="O67" s="603">
        <v>33.53</v>
      </c>
      <c r="P67" s="603">
        <v>100</v>
      </c>
      <c r="Q67" s="672"/>
      <c r="R67" s="673">
        <f>+Q67-1.89</f>
        <v>-1.89</v>
      </c>
    </row>
    <row r="68" spans="2:18" ht="15.6" hidden="1" thickBot="1">
      <c r="B68" s="629"/>
      <c r="C68" s="629"/>
      <c r="D68" s="629"/>
      <c r="E68" s="629"/>
      <c r="F68" s="629"/>
      <c r="G68" s="629"/>
      <c r="H68" s="629"/>
      <c r="I68" s="629"/>
      <c r="J68" s="629"/>
      <c r="K68" s="629"/>
      <c r="L68" s="629"/>
      <c r="M68" s="629"/>
      <c r="N68" s="629"/>
      <c r="O68" s="629"/>
      <c r="P68" s="629"/>
    </row>
    <row r="69" spans="2:18" ht="15.6" hidden="1" thickTop="1">
      <c r="B69" s="643"/>
      <c r="C69" s="643"/>
      <c r="D69" s="643"/>
      <c r="E69" s="643"/>
      <c r="F69" s="643"/>
      <c r="G69" s="643"/>
      <c r="H69" s="643"/>
      <c r="I69" s="643"/>
      <c r="J69" s="643"/>
      <c r="K69" s="643"/>
      <c r="L69" s="643"/>
      <c r="M69" s="643"/>
      <c r="N69" s="643"/>
      <c r="O69" s="644"/>
      <c r="P69" s="644"/>
    </row>
    <row r="70" spans="2:18" hidden="1">
      <c r="B70" s="604">
        <v>2013</v>
      </c>
      <c r="C70" s="645"/>
      <c r="D70" s="645"/>
      <c r="E70" s="645"/>
      <c r="F70" s="645"/>
      <c r="G70" s="645"/>
      <c r="H70" s="645"/>
      <c r="I70" s="645"/>
      <c r="J70" s="645"/>
      <c r="K70" s="645"/>
      <c r="L70" s="645"/>
      <c r="M70" s="645"/>
      <c r="N70" s="645"/>
      <c r="O70" s="646"/>
      <c r="P70" s="646"/>
    </row>
    <row r="71" spans="2:18" ht="15.6" hidden="1" thickBot="1">
      <c r="B71" s="604" t="s">
        <v>298</v>
      </c>
      <c r="C71" s="633">
        <v>-0.54</v>
      </c>
      <c r="D71" s="633">
        <v>0</v>
      </c>
      <c r="E71" s="633">
        <v>0</v>
      </c>
      <c r="F71" s="633">
        <v>0</v>
      </c>
      <c r="G71" s="633">
        <v>0.01</v>
      </c>
      <c r="H71" s="633">
        <v>0</v>
      </c>
      <c r="I71" s="633">
        <v>0</v>
      </c>
      <c r="J71" s="633">
        <v>0.01</v>
      </c>
      <c r="K71" s="633">
        <v>0</v>
      </c>
      <c r="L71" s="633">
        <v>0.01</v>
      </c>
      <c r="M71" s="633">
        <v>-0.52</v>
      </c>
      <c r="N71" s="633">
        <v>-0.06</v>
      </c>
      <c r="O71" s="633">
        <v>0.32</v>
      </c>
      <c r="P71" s="633">
        <v>7.0000000000000007E-2</v>
      </c>
    </row>
    <row r="72" spans="2:18" ht="16.2" hidden="1" thickTop="1" thickBot="1">
      <c r="B72" s="604" t="s">
        <v>1211</v>
      </c>
      <c r="C72" s="625" t="s">
        <v>1285</v>
      </c>
      <c r="D72" s="625">
        <v>0.37</v>
      </c>
      <c r="E72" s="625">
        <v>0.41</v>
      </c>
      <c r="F72" s="625" t="s">
        <v>1286</v>
      </c>
      <c r="G72" s="625">
        <v>1.51</v>
      </c>
      <c r="H72" s="625" t="s">
        <v>1287</v>
      </c>
      <c r="I72" s="625" t="s">
        <v>1288</v>
      </c>
      <c r="J72" s="625" t="s">
        <v>1289</v>
      </c>
      <c r="K72" s="625" t="s">
        <v>1290</v>
      </c>
      <c r="L72" s="625" t="s">
        <v>1291</v>
      </c>
      <c r="M72" s="625" t="s">
        <v>1292</v>
      </c>
      <c r="N72" s="625">
        <v>0.72</v>
      </c>
      <c r="O72" s="625" t="s">
        <v>1293</v>
      </c>
      <c r="P72" s="625" t="s">
        <v>1294</v>
      </c>
    </row>
    <row r="73" spans="2:18" ht="15.6" hidden="1" thickTop="1">
      <c r="B73" s="604" t="s">
        <v>300</v>
      </c>
      <c r="C73" s="633">
        <v>0.47</v>
      </c>
      <c r="D73" s="633">
        <v>0.04</v>
      </c>
      <c r="E73" s="633">
        <v>0.03</v>
      </c>
      <c r="F73" s="633">
        <v>0.36</v>
      </c>
      <c r="G73" s="633">
        <v>0.06</v>
      </c>
      <c r="H73" s="633">
        <v>0.49</v>
      </c>
      <c r="I73" s="633">
        <v>-0.2</v>
      </c>
      <c r="J73" s="633">
        <v>0.13</v>
      </c>
      <c r="K73" s="633">
        <v>0</v>
      </c>
      <c r="L73" s="633">
        <v>-1.1100000000000001</v>
      </c>
      <c r="M73" s="633">
        <v>0.08</v>
      </c>
      <c r="N73" s="633">
        <v>0.15</v>
      </c>
      <c r="O73" s="633">
        <v>0.32</v>
      </c>
      <c r="P73" s="633">
        <v>0.21</v>
      </c>
    </row>
    <row r="74" spans="2:18" hidden="1">
      <c r="B74" s="604" t="s">
        <v>301</v>
      </c>
      <c r="C74" s="633">
        <v>0.19</v>
      </c>
      <c r="D74" s="633">
        <v>-0.1</v>
      </c>
      <c r="E74" s="633">
        <v>1.68</v>
      </c>
      <c r="F74" s="633">
        <v>0</v>
      </c>
      <c r="G74" s="633">
        <v>0.27</v>
      </c>
      <c r="H74" s="633">
        <v>0</v>
      </c>
      <c r="I74" s="633">
        <v>-13.15</v>
      </c>
      <c r="J74" s="633">
        <v>0</v>
      </c>
      <c r="K74" s="633">
        <v>4.01</v>
      </c>
      <c r="L74" s="633">
        <v>0.2</v>
      </c>
      <c r="M74" s="633">
        <v>-0.3</v>
      </c>
      <c r="N74" s="633">
        <v>0.11</v>
      </c>
      <c r="O74" s="633">
        <v>-0.49</v>
      </c>
      <c r="P74" s="633">
        <v>-0.03</v>
      </c>
    </row>
    <row r="75" spans="2:18" hidden="1">
      <c r="B75" s="604" t="s">
        <v>302</v>
      </c>
      <c r="C75" s="633">
        <v>-0.01</v>
      </c>
      <c r="D75" s="633">
        <v>0.17</v>
      </c>
      <c r="E75" s="633">
        <v>0.02</v>
      </c>
      <c r="F75" s="633">
        <v>-0.28000000000000003</v>
      </c>
      <c r="G75" s="633">
        <v>-0.08</v>
      </c>
      <c r="H75" s="633">
        <v>-0.73</v>
      </c>
      <c r="I75" s="633">
        <v>-0.06</v>
      </c>
      <c r="J75" s="633">
        <v>-0.49</v>
      </c>
      <c r="K75" s="633">
        <v>0</v>
      </c>
      <c r="L75" s="633">
        <v>0.05</v>
      </c>
      <c r="M75" s="633">
        <v>-0.3</v>
      </c>
      <c r="N75" s="633">
        <v>-0.17</v>
      </c>
      <c r="O75" s="633">
        <v>-0.28000000000000003</v>
      </c>
      <c r="P75" s="633">
        <v>-0.21</v>
      </c>
    </row>
    <row r="76" spans="2:18" hidden="1">
      <c r="B76" s="604" t="s">
        <v>303</v>
      </c>
      <c r="C76" s="633">
        <v>0.17</v>
      </c>
      <c r="D76" s="633">
        <v>-0.03</v>
      </c>
      <c r="E76" s="633">
        <v>-0.01</v>
      </c>
      <c r="F76" s="633">
        <v>-0.02</v>
      </c>
      <c r="G76" s="633">
        <v>-0.05</v>
      </c>
      <c r="H76" s="633">
        <v>-0.14000000000000001</v>
      </c>
      <c r="I76" s="633">
        <v>-0.33</v>
      </c>
      <c r="J76" s="633">
        <v>0.12</v>
      </c>
      <c r="K76" s="633">
        <v>0</v>
      </c>
      <c r="L76" s="633">
        <v>-0.15</v>
      </c>
      <c r="M76" s="633">
        <v>0.06</v>
      </c>
      <c r="N76" s="633">
        <v>-0.03</v>
      </c>
      <c r="O76" s="633">
        <v>-0.33</v>
      </c>
      <c r="P76" s="633">
        <v>-0.13</v>
      </c>
    </row>
    <row r="77" spans="2:18" hidden="1">
      <c r="B77" s="604" t="s">
        <v>304</v>
      </c>
      <c r="C77" s="633">
        <v>-0.16</v>
      </c>
      <c r="D77" s="633">
        <v>0.11</v>
      </c>
      <c r="E77" s="633">
        <v>-0.01</v>
      </c>
      <c r="F77" s="633">
        <v>-0.2</v>
      </c>
      <c r="G77" s="633">
        <v>-0.04</v>
      </c>
      <c r="H77" s="633">
        <v>0.31</v>
      </c>
      <c r="I77" s="633">
        <v>-0.04</v>
      </c>
      <c r="J77" s="633">
        <v>-0.11</v>
      </c>
      <c r="K77" s="633">
        <v>0</v>
      </c>
      <c r="L77" s="633">
        <v>0.02</v>
      </c>
      <c r="M77" s="633">
        <v>-0.04</v>
      </c>
      <c r="N77" s="633">
        <v>0</v>
      </c>
      <c r="O77" s="633">
        <v>-1.1399999999999999</v>
      </c>
      <c r="P77" s="633">
        <v>-0.38</v>
      </c>
    </row>
    <row r="78" spans="2:18" hidden="1">
      <c r="B78" s="604" t="s">
        <v>305</v>
      </c>
      <c r="C78" s="633">
        <v>-0.42</v>
      </c>
      <c r="D78" s="633">
        <v>-0.34</v>
      </c>
      <c r="E78" s="633">
        <v>0.79</v>
      </c>
      <c r="F78" s="633">
        <v>-0.27</v>
      </c>
      <c r="G78" s="633">
        <v>0.28999999999999998</v>
      </c>
      <c r="H78" s="633">
        <v>7.0000000000000007E-2</v>
      </c>
      <c r="I78" s="633">
        <v>-0.14000000000000001</v>
      </c>
      <c r="J78" s="633">
        <v>-0.1</v>
      </c>
      <c r="K78" s="633">
        <v>1.23</v>
      </c>
      <c r="L78" s="633">
        <v>0.97</v>
      </c>
      <c r="M78" s="633">
        <v>-0.43</v>
      </c>
      <c r="N78" s="633">
        <v>0.23</v>
      </c>
      <c r="O78" s="633">
        <v>-0.9</v>
      </c>
      <c r="P78" s="633">
        <v>-0.15</v>
      </c>
    </row>
    <row r="79" spans="2:18" hidden="1">
      <c r="B79" s="604" t="s">
        <v>306</v>
      </c>
      <c r="C79" s="633">
        <v>0.02</v>
      </c>
      <c r="D79" s="633">
        <v>0.04</v>
      </c>
      <c r="E79" s="633">
        <v>0.39</v>
      </c>
      <c r="F79" s="633">
        <v>0.11</v>
      </c>
      <c r="G79" s="633">
        <v>-0.22</v>
      </c>
      <c r="H79" s="633">
        <v>0.15</v>
      </c>
      <c r="I79" s="633">
        <v>-0.01</v>
      </c>
      <c r="J79" s="633">
        <v>-7.0000000000000007E-2</v>
      </c>
      <c r="K79" s="633">
        <v>0.01</v>
      </c>
      <c r="L79" s="633">
        <v>0.19</v>
      </c>
      <c r="M79" s="633">
        <v>0.42</v>
      </c>
      <c r="N79" s="633">
        <v>0.17</v>
      </c>
      <c r="O79" s="633">
        <v>-0.18</v>
      </c>
      <c r="P79" s="633">
        <v>0.05</v>
      </c>
    </row>
    <row r="80" spans="2:18" ht="15.6" hidden="1" thickBot="1">
      <c r="B80" s="647"/>
      <c r="C80" s="647"/>
      <c r="D80" s="646"/>
      <c r="E80" s="648"/>
      <c r="F80" s="648"/>
      <c r="G80" s="648"/>
      <c r="H80" s="648"/>
      <c r="I80" s="648"/>
      <c r="J80" s="648"/>
      <c r="K80" s="648"/>
      <c r="L80" s="648"/>
      <c r="M80" s="648"/>
      <c r="N80" s="648"/>
      <c r="O80" s="648"/>
      <c r="P80" s="648"/>
    </row>
    <row r="81" spans="2:16" ht="16.2" hidden="1" thickTop="1" thickBot="1">
      <c r="D81" s="936"/>
      <c r="O81" s="21"/>
    </row>
    <row r="82" spans="2:16" ht="27.6" hidden="1" thickTop="1" thickBot="1">
      <c r="B82" s="1388"/>
      <c r="C82" s="1878" t="s">
        <v>1267</v>
      </c>
      <c r="D82" s="1879"/>
      <c r="E82" s="1879"/>
      <c r="F82" s="1880"/>
      <c r="G82" s="1879"/>
      <c r="H82" s="1879"/>
      <c r="I82" s="1879"/>
      <c r="J82" s="1879"/>
      <c r="K82" s="1879"/>
      <c r="L82" s="1879"/>
      <c r="M82" s="1879"/>
      <c r="N82" s="1881"/>
      <c r="O82" s="1389" t="s">
        <v>1268</v>
      </c>
      <c r="P82" s="1389" t="s">
        <v>747</v>
      </c>
    </row>
    <row r="83" spans="2:16" ht="27.6" thickTop="1" thickBot="1">
      <c r="B83" s="1390"/>
      <c r="C83" s="1389" t="s">
        <v>436</v>
      </c>
      <c r="D83" s="1389" t="s">
        <v>1791</v>
      </c>
      <c r="E83" s="1677" t="s">
        <v>1347</v>
      </c>
      <c r="F83" s="1664" t="s">
        <v>744</v>
      </c>
      <c r="G83" s="1693" t="s">
        <v>441</v>
      </c>
      <c r="H83" s="1389" t="s">
        <v>406</v>
      </c>
      <c r="I83" s="1389" t="s">
        <v>395</v>
      </c>
      <c r="J83" s="1389" t="s">
        <v>442</v>
      </c>
      <c r="K83" s="1389" t="s">
        <v>745</v>
      </c>
      <c r="L83" s="1389" t="s">
        <v>443</v>
      </c>
      <c r="M83" s="1389" t="s">
        <v>746</v>
      </c>
      <c r="N83" s="1677" t="s">
        <v>1269</v>
      </c>
      <c r="O83" s="1872" t="s">
        <v>1767</v>
      </c>
      <c r="P83" s="1872" t="s">
        <v>1768</v>
      </c>
    </row>
    <row r="84" spans="2:16" ht="30.75" customHeight="1" thickBot="1">
      <c r="B84" s="1391"/>
      <c r="C84" s="1185" t="s">
        <v>437</v>
      </c>
      <c r="D84" s="1187" t="s">
        <v>748</v>
      </c>
      <c r="E84" s="1678" t="s">
        <v>950</v>
      </c>
      <c r="F84" s="1538" t="s">
        <v>1271</v>
      </c>
      <c r="G84" s="1694"/>
      <c r="H84" s="1694"/>
      <c r="I84" s="1694"/>
      <c r="J84" s="1696" t="s">
        <v>434</v>
      </c>
      <c r="K84" s="1694"/>
      <c r="L84" s="1664" t="s">
        <v>435</v>
      </c>
      <c r="M84" s="1663" t="s">
        <v>751</v>
      </c>
      <c r="N84" s="1187" t="s">
        <v>742</v>
      </c>
      <c r="O84" s="1873"/>
      <c r="P84" s="1873"/>
    </row>
    <row r="85" spans="2:16" ht="27" thickBot="1">
      <c r="B85" s="1391"/>
      <c r="C85" s="1392"/>
      <c r="D85" s="1652"/>
      <c r="E85" s="1679" t="s">
        <v>951</v>
      </c>
      <c r="F85" s="1538" t="s">
        <v>1272</v>
      </c>
      <c r="G85" s="1695"/>
      <c r="H85" s="1695"/>
      <c r="I85" s="1695"/>
      <c r="J85" s="1697"/>
      <c r="K85" s="1695"/>
      <c r="L85" s="1695"/>
      <c r="M85" s="1696" t="s">
        <v>405</v>
      </c>
      <c r="N85" s="1702"/>
      <c r="O85" s="1873"/>
      <c r="P85" s="1873"/>
    </row>
    <row r="86" spans="2:16" ht="15.6" thickBot="1">
      <c r="B86" s="1393"/>
      <c r="C86" s="1394"/>
      <c r="D86" s="1653"/>
      <c r="E86" s="1680" t="s">
        <v>952</v>
      </c>
      <c r="F86" s="1667"/>
      <c r="G86" s="1667"/>
      <c r="H86" s="1667"/>
      <c r="I86" s="1667"/>
      <c r="J86" s="1698"/>
      <c r="K86" s="1667"/>
      <c r="L86" s="1667"/>
      <c r="M86" s="1699"/>
      <c r="N86" s="1683"/>
      <c r="O86" s="1874"/>
      <c r="P86" s="1874"/>
    </row>
    <row r="87" spans="2:16" ht="15.6" thickTop="1">
      <c r="B87" s="1390"/>
      <c r="C87" s="1395"/>
      <c r="D87" s="1654"/>
      <c r="E87" s="1681"/>
      <c r="F87" s="1665"/>
      <c r="G87" s="1665"/>
      <c r="H87" s="1665"/>
      <c r="I87" s="1665"/>
      <c r="J87" s="1681"/>
      <c r="K87" s="1665"/>
      <c r="L87" s="1665"/>
      <c r="M87" s="1700"/>
      <c r="N87" s="1681"/>
      <c r="O87" s="1665"/>
      <c r="P87" s="1665"/>
    </row>
    <row r="88" spans="2:16" ht="15.6" thickBot="1">
      <c r="B88" s="1396" t="s">
        <v>754</v>
      </c>
      <c r="C88" s="1479">
        <v>4.900016548039428</v>
      </c>
      <c r="D88" s="1188">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6" thickBot="1">
      <c r="B89" s="1393"/>
      <c r="C89" s="1394"/>
      <c r="D89" s="1653"/>
      <c r="E89" s="1683"/>
      <c r="F89" s="1667"/>
      <c r="G89" s="1667"/>
      <c r="H89" s="1667"/>
      <c r="I89" s="1667"/>
      <c r="J89" s="1683"/>
      <c r="K89" s="1667"/>
      <c r="L89" s="1667"/>
      <c r="M89" s="1698"/>
      <c r="N89" s="1683"/>
      <c r="O89" s="1667"/>
      <c r="P89" s="1667"/>
    </row>
    <row r="90" spans="2:16" ht="15.6" hidden="1" thickTop="1">
      <c r="B90" s="1374"/>
      <c r="C90" s="1375"/>
      <c r="D90" s="1655"/>
      <c r="E90" s="1684"/>
      <c r="F90" s="1668"/>
      <c r="G90" s="1668"/>
      <c r="H90" s="1668"/>
      <c r="I90" s="1668"/>
      <c r="J90" s="1684"/>
      <c r="K90" s="1668"/>
      <c r="L90" s="1668"/>
      <c r="M90" s="1684"/>
      <c r="N90" s="1684"/>
      <c r="O90" s="1668"/>
      <c r="P90" s="1668"/>
    </row>
    <row r="91" spans="2:16" ht="15.6" hidden="1" thickTop="1">
      <c r="B91" s="1379">
        <v>2009</v>
      </c>
      <c r="C91" s="1376"/>
      <c r="D91" s="1656"/>
      <c r="E91" s="1685"/>
      <c r="F91" s="1669"/>
      <c r="G91" s="1669"/>
      <c r="H91" s="1669"/>
      <c r="I91" s="1669"/>
      <c r="J91" s="1685"/>
      <c r="K91" s="1669"/>
      <c r="L91" s="1669"/>
      <c r="M91" s="1685"/>
      <c r="N91" s="1685"/>
      <c r="O91" s="1669"/>
      <c r="P91" s="1669"/>
    </row>
    <row r="92" spans="2:16" ht="15.6" hidden="1" thickTop="1">
      <c r="B92" s="1377" t="s">
        <v>345</v>
      </c>
      <c r="C92" s="1378">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6" hidden="1" thickTop="1">
      <c r="B93" s="1377" t="s">
        <v>334</v>
      </c>
      <c r="C93" s="1378">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6" hidden="1" thickTop="1">
      <c r="B94" s="1377" t="s">
        <v>335</v>
      </c>
      <c r="C94" s="1378">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6" hidden="1" thickTop="1">
      <c r="B95" s="1377" t="s">
        <v>336</v>
      </c>
      <c r="C95" s="1378">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6" hidden="1" thickTop="1">
      <c r="B96" s="1377" t="s">
        <v>337</v>
      </c>
      <c r="C96" s="1378">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6" hidden="1" thickTop="1">
      <c r="B97" s="1377" t="s">
        <v>338</v>
      </c>
      <c r="C97" s="1378">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6" hidden="1" thickTop="1">
      <c r="B98" s="1377" t="s">
        <v>339</v>
      </c>
      <c r="C98" s="1378">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6" hidden="1" thickTop="1">
      <c r="B99" s="1377" t="s">
        <v>340</v>
      </c>
      <c r="C99" s="1378">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6" hidden="1" thickTop="1">
      <c r="B100" s="1377" t="s">
        <v>341</v>
      </c>
      <c r="C100" s="1378">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6" hidden="1" thickTop="1">
      <c r="B101" s="1377" t="s">
        <v>342</v>
      </c>
      <c r="C101" s="1378">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6" hidden="1" thickTop="1">
      <c r="B102" s="1377" t="s">
        <v>343</v>
      </c>
      <c r="C102" s="1378">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6" hidden="1" thickTop="1">
      <c r="B103" s="1377" t="s">
        <v>344</v>
      </c>
      <c r="C103" s="1378">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6" hidden="1" thickTop="1">
      <c r="B104" s="1377"/>
      <c r="C104" s="1378"/>
      <c r="D104" s="1657"/>
      <c r="E104" s="1686"/>
      <c r="F104" s="1670"/>
      <c r="G104" s="1670"/>
      <c r="H104" s="1670"/>
      <c r="I104" s="1670"/>
      <c r="J104" s="1686"/>
      <c r="K104" s="1670"/>
      <c r="L104" s="1670"/>
      <c r="M104" s="1686"/>
      <c r="N104" s="1686"/>
      <c r="O104" s="1670"/>
      <c r="P104" s="1670"/>
    </row>
    <row r="105" spans="2:16" ht="15.6" hidden="1" thickTop="1">
      <c r="B105" s="1399">
        <v>2010</v>
      </c>
      <c r="C105" s="1378"/>
      <c r="D105" s="1657"/>
      <c r="E105" s="1686"/>
      <c r="F105" s="1670"/>
      <c r="G105" s="1670"/>
      <c r="H105" s="1670"/>
      <c r="I105" s="1670"/>
      <c r="J105" s="1686"/>
      <c r="K105" s="1670"/>
      <c r="L105" s="1670"/>
      <c r="M105" s="1686"/>
      <c r="N105" s="1686"/>
      <c r="O105" s="1670"/>
      <c r="P105" s="1670"/>
    </row>
    <row r="106" spans="2:16" ht="15.6" hidden="1" thickTop="1">
      <c r="B106" s="1377" t="s">
        <v>345</v>
      </c>
      <c r="C106" s="1378">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6" hidden="1" thickTop="1">
      <c r="B107" s="1377" t="s">
        <v>334</v>
      </c>
      <c r="C107" s="1378">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6" hidden="1" thickTop="1">
      <c r="B108" s="1377" t="s">
        <v>335</v>
      </c>
      <c r="C108" s="1378">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6" hidden="1" thickTop="1">
      <c r="B109" s="1377" t="s">
        <v>336</v>
      </c>
      <c r="C109" s="1378">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6" hidden="1" thickTop="1">
      <c r="B110" s="1377" t="s">
        <v>337</v>
      </c>
      <c r="C110" s="1378">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6" hidden="1" thickTop="1">
      <c r="B111" s="1377" t="s">
        <v>338</v>
      </c>
      <c r="C111" s="1378">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6" hidden="1" thickTop="1">
      <c r="B112" s="1377" t="s">
        <v>339</v>
      </c>
      <c r="C112" s="1378">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6" hidden="1" thickTop="1">
      <c r="B113" s="1377" t="s">
        <v>340</v>
      </c>
      <c r="C113" s="1378">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6" hidden="1" thickTop="1">
      <c r="B114" s="1377" t="s">
        <v>341</v>
      </c>
      <c r="C114" s="1378">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6" hidden="1" thickTop="1">
      <c r="B115" s="1377" t="s">
        <v>342</v>
      </c>
      <c r="C115" s="1378">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6" hidden="1" thickTop="1">
      <c r="B116" s="1377" t="s">
        <v>343</v>
      </c>
      <c r="C116" s="1378">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6" hidden="1" thickTop="1">
      <c r="B117" s="1377" t="s">
        <v>344</v>
      </c>
      <c r="C117" s="1378">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6" hidden="1" thickTop="1">
      <c r="B118" s="1377"/>
      <c r="C118" s="1378"/>
      <c r="D118" s="1657"/>
      <c r="E118" s="1686"/>
      <c r="F118" s="1670"/>
      <c r="G118" s="1670"/>
      <c r="H118" s="1670"/>
      <c r="I118" s="1670"/>
      <c r="J118" s="1686"/>
      <c r="K118" s="1670"/>
      <c r="L118" s="1670"/>
      <c r="M118" s="1686"/>
      <c r="N118" s="1686"/>
      <c r="O118" s="1670"/>
      <c r="P118" s="1670"/>
    </row>
    <row r="119" spans="2:16" ht="15.6" hidden="1" thickTop="1">
      <c r="B119" s="1379">
        <v>2011</v>
      </c>
      <c r="C119" s="1378"/>
      <c r="D119" s="1657"/>
      <c r="E119" s="1686"/>
      <c r="F119" s="1670"/>
      <c r="G119" s="1670"/>
      <c r="H119" s="1670"/>
      <c r="I119" s="1670"/>
      <c r="J119" s="1686"/>
      <c r="K119" s="1670"/>
      <c r="L119" s="1670"/>
      <c r="M119" s="1686"/>
      <c r="N119" s="1686"/>
      <c r="O119" s="1670"/>
      <c r="P119" s="1670"/>
    </row>
    <row r="120" spans="2:16" ht="15.6" hidden="1" thickTop="1">
      <c r="B120" s="1377" t="s">
        <v>345</v>
      </c>
      <c r="C120" s="1378">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6" hidden="1" thickTop="1">
      <c r="B121" s="1377" t="s">
        <v>334</v>
      </c>
      <c r="C121" s="1378">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6" hidden="1" thickTop="1">
      <c r="B122" s="1377" t="s">
        <v>335</v>
      </c>
      <c r="C122" s="1378">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6" hidden="1" thickTop="1">
      <c r="B123" s="1377" t="s">
        <v>336</v>
      </c>
      <c r="C123" s="1378">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6" hidden="1" thickTop="1">
      <c r="B124" s="1377" t="s">
        <v>337</v>
      </c>
      <c r="C124" s="1378">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6" hidden="1" thickTop="1">
      <c r="B125" s="1377" t="s">
        <v>338</v>
      </c>
      <c r="C125" s="1378">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6" hidden="1" thickTop="1">
      <c r="B126" s="1377" t="s">
        <v>339</v>
      </c>
      <c r="C126" s="1378">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6" hidden="1" thickTop="1">
      <c r="B127" s="1377" t="s">
        <v>340</v>
      </c>
      <c r="C127" s="1378">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6" hidden="1" thickTop="1">
      <c r="B128" s="1377" t="s">
        <v>341</v>
      </c>
      <c r="C128" s="1378">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6" hidden="1" thickTop="1">
      <c r="B129" s="1377" t="s">
        <v>342</v>
      </c>
      <c r="C129" s="1378">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6" hidden="1" thickTop="1">
      <c r="B130" s="1377" t="s">
        <v>343</v>
      </c>
      <c r="C130" s="1378">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6" hidden="1" thickTop="1">
      <c r="B131" s="1377" t="s">
        <v>344</v>
      </c>
      <c r="C131" s="1378">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6" hidden="1" thickTop="1">
      <c r="B132" s="1377"/>
      <c r="C132" s="1378"/>
      <c r="D132" s="1657"/>
      <c r="E132" s="1686"/>
      <c r="F132" s="1670"/>
      <c r="G132" s="1670"/>
      <c r="H132" s="1670"/>
      <c r="I132" s="1670"/>
      <c r="J132" s="1686"/>
      <c r="K132" s="1670"/>
      <c r="L132" s="1670"/>
      <c r="M132" s="1686"/>
      <c r="N132" s="1686"/>
      <c r="O132" s="1670"/>
      <c r="P132" s="1670"/>
    </row>
    <row r="133" spans="2:16" ht="15.6" hidden="1" thickTop="1">
      <c r="B133" s="1379">
        <v>2012</v>
      </c>
      <c r="C133" s="1378"/>
      <c r="D133" s="1657"/>
      <c r="E133" s="1686"/>
      <c r="F133" s="1670"/>
      <c r="G133" s="1670"/>
      <c r="H133" s="1670"/>
      <c r="I133" s="1670"/>
      <c r="J133" s="1686"/>
      <c r="K133" s="1670"/>
      <c r="L133" s="1670"/>
      <c r="M133" s="1686"/>
      <c r="N133" s="1686"/>
      <c r="O133" s="1670"/>
      <c r="P133" s="1670"/>
    </row>
    <row r="134" spans="2:16" ht="15.6" hidden="1" thickTop="1">
      <c r="B134" s="1377" t="s">
        <v>345</v>
      </c>
      <c r="C134" s="1378">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6" hidden="1" thickTop="1">
      <c r="B135" s="1377" t="s">
        <v>334</v>
      </c>
      <c r="C135" s="1378">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6" hidden="1" thickTop="1">
      <c r="B136" s="1377" t="s">
        <v>335</v>
      </c>
      <c r="C136" s="1378">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6" hidden="1" thickTop="1">
      <c r="B137" s="1377" t="s">
        <v>336</v>
      </c>
      <c r="C137" s="1378">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6" hidden="1" thickTop="1">
      <c r="B138" s="1377" t="s">
        <v>337</v>
      </c>
      <c r="C138" s="1378">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6" hidden="1" thickTop="1">
      <c r="B139" s="1377" t="s">
        <v>338</v>
      </c>
      <c r="C139" s="1378">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6" hidden="1" thickTop="1">
      <c r="B140" s="1377" t="s">
        <v>339</v>
      </c>
      <c r="C140" s="1378">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6" hidden="1" thickTop="1">
      <c r="B141" s="1377" t="s">
        <v>340</v>
      </c>
      <c r="C141" s="1378">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6" hidden="1" thickTop="1">
      <c r="B142" s="1377" t="s">
        <v>341</v>
      </c>
      <c r="C142" s="1378">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6" hidden="1" thickTop="1">
      <c r="B143" s="1377" t="s">
        <v>342</v>
      </c>
      <c r="C143" s="1378">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6" hidden="1" thickTop="1">
      <c r="B144" s="1377" t="s">
        <v>343</v>
      </c>
      <c r="C144" s="1378">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6" hidden="1" thickTop="1">
      <c r="B145" s="1377" t="s">
        <v>344</v>
      </c>
      <c r="C145" s="1378">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6" hidden="1" thickTop="1">
      <c r="B146" s="1377"/>
      <c r="C146" s="1378"/>
      <c r="D146" s="1657"/>
      <c r="E146" s="1686"/>
      <c r="F146" s="1670"/>
      <c r="G146" s="1670"/>
      <c r="H146" s="1670"/>
      <c r="I146" s="1670"/>
      <c r="J146" s="1686"/>
      <c r="K146" s="1670"/>
      <c r="L146" s="1670"/>
      <c r="M146" s="1686"/>
      <c r="N146" s="1686"/>
      <c r="O146" s="1670"/>
      <c r="P146" s="1670"/>
    </row>
    <row r="147" spans="2:16" ht="15.6" hidden="1" thickTop="1">
      <c r="B147" s="1379">
        <v>2013</v>
      </c>
      <c r="C147" s="1378"/>
      <c r="D147" s="1657"/>
      <c r="E147" s="1686"/>
      <c r="F147" s="1670"/>
      <c r="G147" s="1670"/>
      <c r="H147" s="1670"/>
      <c r="I147" s="1670"/>
      <c r="J147" s="1686"/>
      <c r="K147" s="1670"/>
      <c r="L147" s="1670"/>
      <c r="M147" s="1686"/>
      <c r="N147" s="1686"/>
      <c r="O147" s="1670"/>
      <c r="P147" s="1670"/>
    </row>
    <row r="148" spans="2:16" ht="15.6" hidden="1" thickTop="1">
      <c r="B148" s="1377" t="s">
        <v>345</v>
      </c>
      <c r="C148" s="1378">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6" hidden="1" thickTop="1">
      <c r="B149" s="1377" t="s">
        <v>334</v>
      </c>
      <c r="C149" s="1378">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6" hidden="1" thickTop="1">
      <c r="B150" s="1377" t="s">
        <v>335</v>
      </c>
      <c r="C150" s="1378">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6" hidden="1" thickTop="1">
      <c r="B151" s="1377" t="s">
        <v>336</v>
      </c>
      <c r="C151" s="1378">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6" hidden="1" thickTop="1">
      <c r="B152" s="1377" t="s">
        <v>337</v>
      </c>
      <c r="C152" s="1378">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6" hidden="1" thickTop="1">
      <c r="B153" s="1377" t="s">
        <v>338</v>
      </c>
      <c r="C153" s="1378">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6" hidden="1" thickTop="1">
      <c r="B154" s="1377" t="s">
        <v>339</v>
      </c>
      <c r="C154" s="1398">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6" hidden="1" thickTop="1">
      <c r="B155" s="1377" t="s">
        <v>340</v>
      </c>
      <c r="C155" s="1398">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6" hidden="1" thickTop="1">
      <c r="B156" s="1377" t="s">
        <v>341</v>
      </c>
      <c r="C156" s="1378">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6" hidden="1" thickTop="1">
      <c r="B157" s="1377" t="s">
        <v>342</v>
      </c>
      <c r="C157" s="1378">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6" hidden="1" thickTop="1">
      <c r="B158" s="1377" t="s">
        <v>343</v>
      </c>
      <c r="C158" s="1378">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6" hidden="1" thickTop="1">
      <c r="B159" s="1377" t="s">
        <v>344</v>
      </c>
      <c r="C159" s="1378">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6" hidden="1" thickTop="1">
      <c r="B160" s="1381"/>
      <c r="C160" s="1380"/>
      <c r="D160" s="1659"/>
      <c r="E160" s="1688"/>
      <c r="F160" s="1672"/>
      <c r="G160" s="1672"/>
      <c r="H160" s="1672"/>
      <c r="I160" s="1672"/>
      <c r="J160" s="1688"/>
      <c r="K160" s="1672"/>
      <c r="L160" s="1672"/>
      <c r="M160" s="1688"/>
      <c r="N160" s="1688"/>
      <c r="O160" s="1672"/>
      <c r="P160" s="1672"/>
    </row>
    <row r="161" spans="2:16" ht="15.6" hidden="1" thickTop="1">
      <c r="B161" s="1382">
        <v>2014</v>
      </c>
      <c r="C161" s="1380"/>
      <c r="D161" s="1659"/>
      <c r="E161" s="1688"/>
      <c r="F161" s="1672"/>
      <c r="G161" s="1672"/>
      <c r="H161" s="1672"/>
      <c r="I161" s="1672"/>
      <c r="J161" s="1688"/>
      <c r="K161" s="1672"/>
      <c r="L161" s="1672"/>
      <c r="M161" s="1688"/>
      <c r="N161" s="1688"/>
      <c r="O161" s="1672"/>
      <c r="P161" s="1672"/>
    </row>
    <row r="162" spans="2:16" ht="15.6" hidden="1" thickTop="1">
      <c r="B162" s="1377" t="s">
        <v>345</v>
      </c>
      <c r="C162" s="1380">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6" hidden="1" thickTop="1">
      <c r="B163" s="1377" t="s">
        <v>334</v>
      </c>
      <c r="C163" s="1380">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6" hidden="1" thickTop="1">
      <c r="B164" s="1377" t="s">
        <v>335</v>
      </c>
      <c r="C164" s="1380">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6" hidden="1" thickTop="1">
      <c r="B165" s="1377" t="s">
        <v>336</v>
      </c>
      <c r="C165" s="1380">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6" hidden="1" thickTop="1">
      <c r="B166" s="1377" t="s">
        <v>337</v>
      </c>
      <c r="C166" s="1380">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6" hidden="1" thickTop="1">
      <c r="B167" s="1377" t="s">
        <v>338</v>
      </c>
      <c r="C167" s="1380">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6" hidden="1" thickTop="1">
      <c r="B168" s="1377" t="s">
        <v>339</v>
      </c>
      <c r="C168" s="1380">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6" hidden="1" thickTop="1">
      <c r="B169" s="1377" t="s">
        <v>340</v>
      </c>
      <c r="C169" s="1380">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6" hidden="1" thickTop="1">
      <c r="B170" s="1377" t="s">
        <v>341</v>
      </c>
      <c r="C170" s="1380">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6" hidden="1" thickTop="1">
      <c r="B171" s="1377" t="s">
        <v>342</v>
      </c>
      <c r="C171" s="1380">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6" hidden="1" thickTop="1">
      <c r="B172" s="1377" t="s">
        <v>343</v>
      </c>
      <c r="C172" s="1380">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6" hidden="1" thickTop="1">
      <c r="B173" s="1377" t="s">
        <v>344</v>
      </c>
      <c r="C173" s="1380">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6" hidden="1" thickTop="1">
      <c r="B174" s="1383"/>
      <c r="C174" s="1380"/>
      <c r="D174" s="1659"/>
      <c r="E174" s="1688"/>
      <c r="F174" s="1672"/>
      <c r="G174" s="1672"/>
      <c r="H174" s="1672"/>
      <c r="I174" s="1672"/>
      <c r="J174" s="1688"/>
      <c r="K174" s="1672"/>
      <c r="L174" s="1672"/>
      <c r="M174" s="1688"/>
      <c r="N174" s="1688"/>
      <c r="O174" s="1672"/>
      <c r="P174" s="1672"/>
    </row>
    <row r="175" spans="2:16" ht="15.6" hidden="1" thickTop="1">
      <c r="B175" s="1384">
        <v>2015</v>
      </c>
      <c r="C175" s="1380"/>
      <c r="D175" s="1659"/>
      <c r="E175" s="1688"/>
      <c r="F175" s="1672"/>
      <c r="G175" s="1672"/>
      <c r="H175" s="1672"/>
      <c r="I175" s="1672"/>
      <c r="J175" s="1688"/>
      <c r="K175" s="1672"/>
      <c r="L175" s="1672"/>
      <c r="M175" s="1688"/>
      <c r="N175" s="1688"/>
      <c r="O175" s="1672"/>
      <c r="P175" s="1672"/>
    </row>
    <row r="176" spans="2:16" ht="15.6" hidden="1" thickTop="1">
      <c r="B176" s="1385" t="s">
        <v>345</v>
      </c>
      <c r="C176" s="1380">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6" hidden="1" thickTop="1">
      <c r="B177" s="1385" t="s">
        <v>334</v>
      </c>
      <c r="C177" s="1380">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6" hidden="1" thickTop="1">
      <c r="B178" s="1385" t="s">
        <v>335</v>
      </c>
      <c r="C178" s="1380">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6" hidden="1" thickTop="1">
      <c r="B179" s="1385" t="s">
        <v>336</v>
      </c>
      <c r="C179" s="1378">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6" hidden="1" thickTop="1">
      <c r="B180" s="1385" t="s">
        <v>337</v>
      </c>
      <c r="C180" s="1378">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6" hidden="1" thickTop="1">
      <c r="B181" s="1385" t="s">
        <v>338</v>
      </c>
      <c r="C181" s="1378">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6" hidden="1" thickTop="1">
      <c r="B182" s="1385" t="s">
        <v>339</v>
      </c>
      <c r="C182" s="1378">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6" hidden="1" thickTop="1">
      <c r="B183" s="1385" t="s">
        <v>340</v>
      </c>
      <c r="C183" s="1386">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6" hidden="1" thickTop="1">
      <c r="B184" s="1385" t="s">
        <v>341</v>
      </c>
      <c r="C184" s="1387">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6" hidden="1" thickTop="1">
      <c r="B185" s="1175" t="s">
        <v>342</v>
      </c>
      <c r="C185" s="1174">
        <v>-0.43</v>
      </c>
      <c r="D185" s="1387">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6" hidden="1" thickTop="1">
      <c r="B186" s="1175" t="s">
        <v>343</v>
      </c>
      <c r="C186" s="1174">
        <v>-0.14575868826649518</v>
      </c>
      <c r="D186" s="1387">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6" hidden="1" thickTop="1">
      <c r="B187" s="1175" t="s">
        <v>344</v>
      </c>
      <c r="C187" s="1174">
        <v>-0.41</v>
      </c>
      <c r="D187" s="1387">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6" hidden="1" thickTop="1">
      <c r="B188" s="948"/>
      <c r="C188" s="925"/>
      <c r="D188" s="1661"/>
      <c r="E188" s="1690"/>
      <c r="F188" s="1674"/>
      <c r="G188" s="1674"/>
      <c r="H188" s="1674"/>
      <c r="I188" s="1674"/>
      <c r="J188" s="1690"/>
      <c r="K188" s="1674"/>
      <c r="L188" s="1674"/>
      <c r="M188" s="1690"/>
      <c r="N188" s="1690"/>
      <c r="O188" s="1674"/>
      <c r="P188" s="1674"/>
    </row>
    <row r="189" spans="2:16" ht="15.6" hidden="1" thickTop="1">
      <c r="B189" s="1173">
        <v>2016</v>
      </c>
      <c r="C189" s="1174"/>
      <c r="D189" s="1387"/>
      <c r="E189" s="1689"/>
      <c r="F189" s="1673"/>
      <c r="G189" s="1673"/>
      <c r="H189" s="1673"/>
      <c r="I189" s="1673"/>
      <c r="J189" s="1689"/>
      <c r="K189" s="1673"/>
      <c r="L189" s="1673"/>
      <c r="M189" s="1689"/>
      <c r="N189" s="1689"/>
      <c r="O189" s="1673"/>
      <c r="P189" s="1673"/>
    </row>
    <row r="190" spans="2:16" ht="15.6" hidden="1" thickTop="1">
      <c r="B190" s="1175" t="s">
        <v>345</v>
      </c>
      <c r="C190" s="1174">
        <v>0.05</v>
      </c>
      <c r="D190" s="1387">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6" hidden="1" thickTop="1">
      <c r="B191" s="1175" t="s">
        <v>334</v>
      </c>
      <c r="C191" s="1174">
        <v>-0.14000000000000001</v>
      </c>
      <c r="D191" s="1387">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6" hidden="1" thickTop="1">
      <c r="B192" s="1175" t="s">
        <v>335</v>
      </c>
      <c r="C192" s="1174">
        <v>-0.1452037104729631</v>
      </c>
      <c r="D192" s="1387">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6" hidden="1" thickTop="1">
      <c r="B193" s="1175" t="s">
        <v>336</v>
      </c>
      <c r="C193" s="1174">
        <v>2.5539133061580621E-2</v>
      </c>
      <c r="D193" s="1387">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6" hidden="1" thickTop="1">
      <c r="B194" s="1175" t="s">
        <v>337</v>
      </c>
      <c r="C194" s="1174">
        <v>-0.28774136792316662</v>
      </c>
      <c r="D194" s="1387">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6" hidden="1" thickTop="1">
      <c r="B195" s="1175" t="s">
        <v>338</v>
      </c>
      <c r="C195" s="1174">
        <v>6.986640140853595E-2</v>
      </c>
      <c r="D195" s="1387">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5" t="s">
        <v>339</v>
      </c>
      <c r="C196" s="1176">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5" t="s">
        <v>340</v>
      </c>
      <c r="C197" s="1176">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5" t="s">
        <v>341</v>
      </c>
      <c r="C198" s="1176">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5" t="s">
        <v>342</v>
      </c>
      <c r="C199" s="1176">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5" t="s">
        <v>343</v>
      </c>
      <c r="C200" s="1176">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5" t="s">
        <v>344</v>
      </c>
      <c r="C201" s="1176">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7"/>
      <c r="C202" s="1176"/>
      <c r="D202" s="1662"/>
      <c r="E202" s="1691"/>
      <c r="F202" s="1675"/>
      <c r="G202" s="1675"/>
      <c r="H202" s="1675"/>
      <c r="I202" s="1675"/>
      <c r="J202" s="1691"/>
      <c r="K202" s="1675"/>
      <c r="L202" s="1675"/>
      <c r="M202" s="1691"/>
      <c r="N202" s="1691"/>
      <c r="O202" s="1675"/>
      <c r="P202" s="1675"/>
    </row>
    <row r="203" spans="2:16" ht="15" customHeight="1">
      <c r="B203" s="1173">
        <v>2017</v>
      </c>
      <c r="C203" s="1176"/>
      <c r="D203" s="1662"/>
      <c r="E203" s="1691"/>
      <c r="F203" s="1675"/>
      <c r="G203" s="1675"/>
      <c r="H203" s="1675"/>
      <c r="I203" s="1675"/>
      <c r="J203" s="1691"/>
      <c r="K203" s="1675"/>
      <c r="L203" s="1675"/>
      <c r="M203" s="1691"/>
      <c r="N203" s="1691"/>
      <c r="O203" s="1675"/>
      <c r="P203" s="1675"/>
    </row>
    <row r="204" spans="2:16">
      <c r="B204" s="1177" t="s">
        <v>345</v>
      </c>
      <c r="C204" s="1176">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7" t="s">
        <v>334</v>
      </c>
      <c r="C205" s="1176">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7" t="s">
        <v>335</v>
      </c>
      <c r="C206" s="1176">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7" t="s">
        <v>336</v>
      </c>
      <c r="C207" s="1176">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7" t="s">
        <v>337</v>
      </c>
      <c r="C208" s="1176">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7" t="s">
        <v>338</v>
      </c>
      <c r="C209" s="1176">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7" t="s">
        <v>339</v>
      </c>
      <c r="C210" s="1176">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7" t="s">
        <v>340</v>
      </c>
      <c r="C211" s="1176">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7" t="s">
        <v>341</v>
      </c>
      <c r="C212" s="1176">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7" t="s">
        <v>342</v>
      </c>
      <c r="C213" s="1176">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7" t="s">
        <v>343</v>
      </c>
      <c r="C214" s="1176">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6">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6"/>
      <c r="D216" s="1662"/>
      <c r="E216" s="1691"/>
      <c r="F216" s="1675"/>
      <c r="G216" s="1675"/>
      <c r="H216" s="1675"/>
      <c r="I216" s="1675"/>
      <c r="J216" s="1691"/>
      <c r="K216" s="1675"/>
      <c r="L216" s="1675"/>
      <c r="M216" s="1691"/>
      <c r="N216" s="1691"/>
      <c r="O216" s="1675"/>
      <c r="P216" s="1675"/>
    </row>
    <row r="217" spans="2:16">
      <c r="B217" s="932">
        <v>2018</v>
      </c>
      <c r="C217" s="1176"/>
      <c r="D217" s="1662"/>
      <c r="E217" s="1691"/>
      <c r="F217" s="1675"/>
      <c r="G217" s="1675"/>
      <c r="H217" s="1675"/>
      <c r="I217" s="1675"/>
      <c r="J217" s="1691"/>
      <c r="K217" s="1675"/>
      <c r="L217" s="1675"/>
      <c r="M217" s="1691"/>
      <c r="N217" s="1691"/>
      <c r="O217" s="1675"/>
      <c r="P217" s="1675"/>
    </row>
    <row r="218" spans="2:16">
      <c r="B218" s="1177" t="s">
        <v>345</v>
      </c>
      <c r="C218" s="1176">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6">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6">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6">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6">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6">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6">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6">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6">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6">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6">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6">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60"/>
      <c r="C230" s="1176"/>
      <c r="D230" s="1662"/>
      <c r="E230" s="1691"/>
      <c r="F230" s="1675"/>
      <c r="G230" s="1675"/>
      <c r="H230" s="1675"/>
      <c r="I230" s="1675"/>
      <c r="J230" s="1691"/>
      <c r="K230" s="1675"/>
      <c r="L230" s="1675"/>
      <c r="M230" s="1691"/>
      <c r="N230" s="1691"/>
      <c r="O230" s="1675"/>
      <c r="P230" s="1675"/>
    </row>
    <row r="231" spans="1:16" ht="18" customHeight="1">
      <c r="A231" s="21"/>
      <c r="B231" s="932">
        <v>2019</v>
      </c>
      <c r="C231" s="1176"/>
      <c r="D231" s="1662"/>
      <c r="E231" s="1691"/>
      <c r="F231" s="1675"/>
      <c r="G231" s="1675"/>
      <c r="H231" s="1675"/>
      <c r="I231" s="1675"/>
      <c r="J231" s="1691"/>
      <c r="K231" s="1675"/>
      <c r="L231" s="1675"/>
      <c r="M231" s="1691"/>
      <c r="N231" s="1691"/>
      <c r="O231" s="1675"/>
      <c r="P231" s="1675"/>
    </row>
    <row r="232" spans="1:16" ht="18" customHeight="1">
      <c r="A232" s="21"/>
      <c r="B232" s="932" t="s">
        <v>345</v>
      </c>
      <c r="C232" s="1176">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21"/>
      <c r="B233" s="932" t="s">
        <v>334</v>
      </c>
      <c r="C233" s="1176">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21"/>
      <c r="B234" s="932" t="s">
        <v>335</v>
      </c>
      <c r="C234" s="1176">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21"/>
      <c r="B235" s="932" t="s">
        <v>336</v>
      </c>
      <c r="C235" s="1176">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21"/>
      <c r="B236" s="932" t="s">
        <v>337</v>
      </c>
      <c r="C236" s="1176">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21"/>
      <c r="B237" s="932" t="s">
        <v>338</v>
      </c>
      <c r="C237" s="1176">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21"/>
      <c r="B238" s="932" t="s">
        <v>339</v>
      </c>
      <c r="C238" s="1176">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21"/>
      <c r="B239" s="932" t="s">
        <v>340</v>
      </c>
      <c r="C239" s="1178">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21"/>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21"/>
      <c r="B241" s="1499"/>
      <c r="C241" s="1470"/>
      <c r="D241" s="1470"/>
      <c r="E241" s="1470"/>
      <c r="F241" s="1470"/>
      <c r="G241" s="1470"/>
      <c r="H241" s="1470"/>
      <c r="I241" s="1470"/>
      <c r="J241" s="1470"/>
      <c r="K241" s="1470"/>
      <c r="L241" s="1470"/>
      <c r="M241" s="1470"/>
      <c r="N241" s="1470"/>
      <c r="O241" s="1498"/>
      <c r="P241" s="1471"/>
    </row>
    <row r="242" spans="1:18" ht="15.6">
      <c r="A242" s="21"/>
      <c r="B242" s="966" t="s">
        <v>1776</v>
      </c>
      <c r="R242" s="912"/>
    </row>
    <row r="243" spans="1:18">
      <c r="A243" s="21"/>
      <c r="C243" s="912"/>
      <c r="D243" s="912"/>
      <c r="E243" s="912"/>
      <c r="F243" s="912"/>
      <c r="G243" s="912"/>
      <c r="H243" s="912"/>
      <c r="I243" s="912"/>
      <c r="J243" s="912"/>
      <c r="K243" s="912"/>
      <c r="L243" s="912"/>
      <c r="M243" s="912"/>
      <c r="N243" s="912"/>
      <c r="O243" s="912"/>
      <c r="P243" s="912"/>
    </row>
    <row r="244" spans="1:18">
      <c r="A244" s="21"/>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4"/>
    <col min="3" max="3" width="17.453125" style="14" customWidth="1"/>
    <col min="4" max="5" width="12.6328125" style="14"/>
    <col min="6" max="6" width="13.453125" style="14" bestFit="1" customWidth="1"/>
    <col min="7" max="16384" width="12.6328125" style="14"/>
  </cols>
  <sheetData>
    <row r="1" spans="3:27" ht="22.8">
      <c r="C1" s="6"/>
      <c r="D1" s="6"/>
      <c r="E1" s="13"/>
      <c r="F1" s="6" t="s">
        <v>17</v>
      </c>
      <c r="G1" s="6"/>
      <c r="H1" s="6"/>
      <c r="I1" s="6"/>
      <c r="J1" s="6"/>
      <c r="K1" s="9"/>
      <c r="L1" s="6"/>
      <c r="M1" s="3"/>
      <c r="N1" s="4"/>
      <c r="O1" s="4"/>
      <c r="P1" s="4"/>
      <c r="Q1" s="4"/>
      <c r="R1" s="4"/>
      <c r="S1" s="4"/>
      <c r="T1" s="4"/>
      <c r="U1" s="4"/>
      <c r="V1" s="4"/>
      <c r="W1" s="4"/>
      <c r="X1" s="4"/>
      <c r="Y1" s="4"/>
      <c r="Z1" s="4"/>
      <c r="AA1" s="4"/>
    </row>
    <row r="2" spans="3:27" ht="12.9" customHeight="1">
      <c r="C2" s="6"/>
      <c r="D2" s="6"/>
      <c r="E2" s="6"/>
      <c r="F2" s="6"/>
      <c r="G2" s="6"/>
      <c r="H2" s="6"/>
      <c r="I2" s="6"/>
      <c r="J2" s="6"/>
      <c r="K2" s="6"/>
      <c r="L2" s="6"/>
      <c r="M2" s="3"/>
      <c r="N2" s="4"/>
      <c r="O2" s="4"/>
      <c r="P2" s="4"/>
      <c r="Q2" s="4"/>
      <c r="R2" s="4"/>
      <c r="S2" s="4"/>
      <c r="T2" s="4"/>
      <c r="U2" s="4"/>
      <c r="V2" s="4"/>
      <c r="W2" s="4"/>
      <c r="X2" s="4"/>
      <c r="Y2" s="4"/>
      <c r="Z2" s="4"/>
      <c r="AA2" s="4"/>
    </row>
    <row r="3" spans="3:27" ht="12.9" customHeight="1">
      <c r="C3" s="8"/>
      <c r="D3" s="8"/>
      <c r="E3" s="5"/>
      <c r="F3" s="5"/>
      <c r="G3" s="5"/>
      <c r="H3" s="5"/>
      <c r="I3" s="5"/>
      <c r="J3" s="5"/>
      <c r="K3" s="5"/>
      <c r="L3" s="5"/>
      <c r="M3" s="19"/>
    </row>
    <row r="4" spans="3:27" ht="18">
      <c r="C4" s="15" t="s">
        <v>263</v>
      </c>
      <c r="D4" s="15" t="s">
        <v>18</v>
      </c>
      <c r="E4" s="16" t="s">
        <v>19</v>
      </c>
      <c r="F4" s="16" t="s">
        <v>20</v>
      </c>
      <c r="G4" s="16" t="s">
        <v>21</v>
      </c>
      <c r="H4" s="16" t="s">
        <v>22</v>
      </c>
      <c r="I4" s="16" t="s">
        <v>23</v>
      </c>
      <c r="J4" s="16" t="s">
        <v>24</v>
      </c>
      <c r="K4" s="16" t="s">
        <v>25</v>
      </c>
      <c r="L4" s="16" t="s">
        <v>26</v>
      </c>
      <c r="M4" s="19"/>
    </row>
    <row r="5" spans="3:27" ht="12.75" customHeight="1">
      <c r="C5" s="15"/>
      <c r="D5" s="7"/>
      <c r="E5" s="6"/>
      <c r="F5" s="6"/>
      <c r="G5" s="6"/>
      <c r="H5" s="6"/>
      <c r="I5" s="6"/>
      <c r="J5" s="6"/>
      <c r="K5" s="6"/>
      <c r="L5" s="6"/>
      <c r="M5" s="19"/>
    </row>
    <row r="6" spans="3:27" ht="12.9" customHeight="1">
      <c r="C6" s="7"/>
      <c r="D6" s="11"/>
      <c r="E6" s="9"/>
      <c r="F6" s="9"/>
      <c r="G6" s="9"/>
      <c r="H6" s="9"/>
      <c r="I6" s="9"/>
      <c r="J6" s="9"/>
      <c r="K6" s="9"/>
      <c r="L6" s="9"/>
      <c r="M6" s="19"/>
    </row>
    <row r="7" spans="3:27" ht="12.75" customHeight="1">
      <c r="C7" s="8"/>
      <c r="D7" s="12"/>
      <c r="E7" s="10"/>
      <c r="F7" s="10"/>
      <c r="G7" s="10"/>
      <c r="H7" s="10"/>
      <c r="I7" s="10"/>
      <c r="J7" s="10"/>
      <c r="K7" s="10"/>
      <c r="L7" s="10"/>
      <c r="M7" s="31"/>
    </row>
    <row r="8" spans="3:27" ht="12.75" hidden="1" customHeight="1">
      <c r="C8" s="15" t="s">
        <v>297</v>
      </c>
      <c r="D8" s="11"/>
      <c r="E8" s="9"/>
      <c r="F8" s="9"/>
      <c r="G8" s="9"/>
      <c r="H8" s="9"/>
      <c r="I8" s="9"/>
      <c r="J8" s="9"/>
      <c r="K8" s="9"/>
      <c r="L8" s="9"/>
      <c r="M8" s="31"/>
    </row>
    <row r="9" spans="3:27" ht="12.75" hidden="1" customHeight="1">
      <c r="C9" s="11" t="s">
        <v>298</v>
      </c>
      <c r="D9" s="11"/>
      <c r="E9" s="9"/>
      <c r="F9" s="9"/>
      <c r="G9" s="9"/>
      <c r="H9" s="9"/>
      <c r="I9" s="9"/>
      <c r="J9" s="9"/>
      <c r="K9" s="9"/>
      <c r="L9" s="9"/>
      <c r="M9" s="31"/>
    </row>
    <row r="10" spans="3:27" ht="12.75" hidden="1" customHeight="1">
      <c r="C10" s="32" t="s">
        <v>412</v>
      </c>
      <c r="D10" s="18">
        <v>8.0898000000000003</v>
      </c>
      <c r="E10" s="17">
        <v>12.0966</v>
      </c>
      <c r="F10" s="17">
        <v>2.3698000000000001</v>
      </c>
      <c r="G10" s="17">
        <v>4.6360999999999999</v>
      </c>
      <c r="H10" s="17">
        <v>7.3700000000000002E-2</v>
      </c>
      <c r="I10" s="17">
        <v>5.5050999999999997</v>
      </c>
      <c r="J10" s="17">
        <v>1.3655999999999999</v>
      </c>
      <c r="K10" s="17">
        <v>4.7000000000000002E-3</v>
      </c>
      <c r="L10" s="17">
        <v>3.1307</v>
      </c>
      <c r="M10" s="31"/>
    </row>
    <row r="11" spans="3:27" ht="12.75" hidden="1" customHeight="1">
      <c r="C11" s="32" t="s">
        <v>27</v>
      </c>
      <c r="D11" s="18">
        <v>8.4943000000000008</v>
      </c>
      <c r="E11" s="17">
        <v>12.701499999999999</v>
      </c>
      <c r="F11" s="17">
        <v>2.4882</v>
      </c>
      <c r="G11" s="17">
        <v>4.8678999999999997</v>
      </c>
      <c r="H11" s="17">
        <v>7.7399999999999997E-2</v>
      </c>
      <c r="I11" s="17">
        <v>5.7804000000000002</v>
      </c>
      <c r="J11" s="17">
        <v>1.4339</v>
      </c>
      <c r="K11" s="33">
        <v>5.0000000000000001E-3</v>
      </c>
      <c r="L11" s="17">
        <v>3.2873000000000001</v>
      </c>
      <c r="M11" s="31"/>
    </row>
    <row r="12" spans="3:27" ht="12.75" hidden="1" customHeight="1">
      <c r="C12" s="11"/>
      <c r="D12" s="18">
        <f>D11+D10</f>
        <v>16.584099999999999</v>
      </c>
      <c r="E12" s="17"/>
      <c r="F12" s="17"/>
      <c r="G12" s="17"/>
      <c r="H12" s="17"/>
      <c r="I12" s="17"/>
      <c r="J12" s="17"/>
      <c r="K12" s="17"/>
      <c r="L12" s="17"/>
      <c r="M12" s="31"/>
    </row>
    <row r="13" spans="3:27" ht="12.75" hidden="1" customHeight="1">
      <c r="C13" s="11" t="s">
        <v>299</v>
      </c>
      <c r="D13" s="34">
        <f>D12/2</f>
        <v>8.2920499999999997</v>
      </c>
      <c r="E13" s="33"/>
      <c r="F13" s="33"/>
      <c r="G13" s="33"/>
      <c r="H13" s="33"/>
      <c r="I13" s="33"/>
      <c r="J13" s="33"/>
      <c r="K13" s="33"/>
      <c r="L13" s="33"/>
      <c r="M13" s="31"/>
    </row>
    <row r="14" spans="3:27" ht="12.75" hidden="1" customHeight="1">
      <c r="C14" s="32" t="s">
        <v>412</v>
      </c>
      <c r="D14" s="34">
        <v>8.0284999999999993</v>
      </c>
      <c r="E14" s="33">
        <v>11.9452</v>
      </c>
      <c r="F14" s="33">
        <v>2.3115000000000001</v>
      </c>
      <c r="G14" s="33">
        <v>4.7004999999999999</v>
      </c>
      <c r="H14" s="33">
        <v>7.7100000000000002E-2</v>
      </c>
      <c r="I14" s="33">
        <v>5.6326000000000001</v>
      </c>
      <c r="J14" s="33">
        <v>1.3832</v>
      </c>
      <c r="K14" s="33">
        <v>4.7000000000000002E-3</v>
      </c>
      <c r="L14" s="33">
        <v>3.0773000000000001</v>
      </c>
      <c r="M14" s="31"/>
    </row>
    <row r="15" spans="3:27" ht="12.75" hidden="1" customHeight="1">
      <c r="C15" s="32" t="s">
        <v>27</v>
      </c>
      <c r="D15" s="34">
        <v>8.1402999999999999</v>
      </c>
      <c r="E15" s="33">
        <v>12.1112</v>
      </c>
      <c r="F15" s="33">
        <v>2.3435999999999999</v>
      </c>
      <c r="G15" s="33">
        <v>4.7657999999999996</v>
      </c>
      <c r="H15" s="33">
        <v>7.8100000000000003E-2</v>
      </c>
      <c r="I15" s="33">
        <v>5.7108999999999996</v>
      </c>
      <c r="J15" s="33">
        <v>1.4025000000000001</v>
      </c>
      <c r="K15" s="33">
        <v>4.7999999999999996E-3</v>
      </c>
      <c r="L15" s="33">
        <v>3.1200999999999999</v>
      </c>
      <c r="M15" s="31"/>
    </row>
    <row r="16" spans="3:27" ht="12.75" hidden="1" customHeight="1">
      <c r="C16" s="11"/>
      <c r="D16" s="34"/>
      <c r="E16" s="33"/>
      <c r="F16" s="33"/>
      <c r="G16" s="33"/>
      <c r="H16" s="33"/>
      <c r="I16" s="33"/>
      <c r="J16" s="33"/>
      <c r="K16" s="33"/>
      <c r="L16" s="33"/>
      <c r="M16" s="31"/>
    </row>
    <row r="17" spans="3:13" ht="12.75" hidden="1" customHeight="1">
      <c r="C17" s="11" t="s">
        <v>300</v>
      </c>
      <c r="D17" s="34"/>
      <c r="E17" s="33"/>
      <c r="F17" s="33"/>
      <c r="G17" s="33"/>
      <c r="H17" s="33"/>
      <c r="I17" s="33"/>
      <c r="J17" s="33"/>
      <c r="K17" s="33"/>
      <c r="L17" s="33"/>
      <c r="M17" s="31"/>
    </row>
    <row r="18" spans="3:13" ht="12.75" hidden="1" customHeight="1">
      <c r="C18" s="32" t="s">
        <v>412</v>
      </c>
      <c r="D18" s="34">
        <v>7.9568000000000003</v>
      </c>
      <c r="E18" s="33">
        <v>11.792</v>
      </c>
      <c r="F18" s="33">
        <v>2.2869000000000002</v>
      </c>
      <c r="G18" s="33">
        <v>4.7564000000000002</v>
      </c>
      <c r="H18" s="33">
        <v>7.7299999999999994E-2</v>
      </c>
      <c r="I18" s="33">
        <v>5.6172000000000004</v>
      </c>
      <c r="J18" s="33">
        <v>1.3923000000000001</v>
      </c>
      <c r="K18" s="33">
        <v>4.7999999999999996E-3</v>
      </c>
      <c r="L18" s="33">
        <v>3.0808</v>
      </c>
      <c r="M18" s="31"/>
    </row>
    <row r="19" spans="3:13" ht="12.75" hidden="1" customHeight="1">
      <c r="C19" s="32" t="s">
        <v>27</v>
      </c>
      <c r="D19" s="34">
        <v>8.0640000000000001</v>
      </c>
      <c r="E19" s="33">
        <v>11.9512</v>
      </c>
      <c r="F19" s="33">
        <v>2.3178000000000001</v>
      </c>
      <c r="G19" s="33">
        <v>4.8205999999999998</v>
      </c>
      <c r="H19" s="33">
        <v>7.8399999999999997E-2</v>
      </c>
      <c r="I19" s="33">
        <v>5.6929999999999996</v>
      </c>
      <c r="J19" s="33">
        <v>1.4111</v>
      </c>
      <c r="K19" s="33">
        <v>4.8999999999999998E-3</v>
      </c>
      <c r="L19" s="33">
        <v>3.1223999999999998</v>
      </c>
      <c r="M19" s="31"/>
    </row>
    <row r="20" spans="3:13" ht="12.75" hidden="1" customHeight="1">
      <c r="C20" s="11"/>
      <c r="D20" s="34"/>
      <c r="E20" s="33"/>
      <c r="F20" s="33"/>
      <c r="G20" s="33"/>
      <c r="H20" s="33"/>
      <c r="I20" s="33"/>
      <c r="J20" s="33"/>
      <c r="K20" s="33"/>
      <c r="L20" s="33"/>
      <c r="M20" s="31"/>
    </row>
    <row r="21" spans="3:13" ht="12.75" hidden="1" customHeight="1">
      <c r="C21" s="11" t="s">
        <v>301</v>
      </c>
      <c r="D21" s="34"/>
      <c r="E21" s="33"/>
      <c r="F21" s="33"/>
      <c r="G21" s="33"/>
      <c r="H21" s="33"/>
      <c r="I21" s="33"/>
      <c r="J21" s="33"/>
      <c r="K21" s="33"/>
      <c r="L21" s="33"/>
      <c r="M21" s="31"/>
    </row>
    <row r="22" spans="3:13" ht="12.75" hidden="1" customHeight="1">
      <c r="C22" s="32" t="s">
        <v>412</v>
      </c>
      <c r="D22" s="34">
        <v>7.9229000000000003</v>
      </c>
      <c r="E22" s="33">
        <v>11.9861</v>
      </c>
      <c r="F22" s="33">
        <v>2.2107000000000001</v>
      </c>
      <c r="G22" s="33">
        <v>4.7622999999999998</v>
      </c>
      <c r="H22" s="33">
        <v>7.8100000000000003E-2</v>
      </c>
      <c r="I22" s="33">
        <v>5.6090999999999998</v>
      </c>
      <c r="J22" s="33">
        <v>1.3895999999999999</v>
      </c>
      <c r="K22" s="33">
        <v>4.8999999999999998E-3</v>
      </c>
      <c r="L22" s="33">
        <v>2.9901</v>
      </c>
      <c r="M22" s="31"/>
    </row>
    <row r="23" spans="3:13" ht="12.75" hidden="1" customHeight="1">
      <c r="C23" s="32" t="s">
        <v>27</v>
      </c>
      <c r="D23" s="34">
        <v>8.0893999999999995</v>
      </c>
      <c r="E23" s="33">
        <v>12.2379</v>
      </c>
      <c r="F23" s="33">
        <v>2.2572000000000001</v>
      </c>
      <c r="G23" s="33">
        <v>4.8623000000000003</v>
      </c>
      <c r="H23" s="33">
        <v>7.9699999999999993E-2</v>
      </c>
      <c r="I23" s="33">
        <v>5.7268999999999997</v>
      </c>
      <c r="J23" s="33">
        <v>1.4188000000000001</v>
      </c>
      <c r="K23" s="33">
        <v>5.0000000000000001E-3</v>
      </c>
      <c r="L23" s="33">
        <v>3.0529000000000002</v>
      </c>
      <c r="M23" s="31"/>
    </row>
    <row r="24" spans="3:13" ht="12.75" hidden="1" customHeight="1">
      <c r="C24" s="11"/>
      <c r="D24" s="34"/>
      <c r="E24" s="33"/>
      <c r="F24" s="33"/>
      <c r="G24" s="33"/>
      <c r="H24" s="33"/>
      <c r="I24" s="33"/>
      <c r="J24" s="33"/>
      <c r="K24" s="33"/>
      <c r="L24" s="33"/>
      <c r="M24" s="31"/>
    </row>
    <row r="25" spans="3:13" ht="12.75" hidden="1" customHeight="1">
      <c r="C25" s="11" t="s">
        <v>302</v>
      </c>
      <c r="D25" s="34"/>
      <c r="E25" s="33"/>
      <c r="F25" s="33"/>
      <c r="G25" s="33"/>
      <c r="H25" s="33"/>
      <c r="I25" s="33"/>
      <c r="J25" s="33"/>
      <c r="K25" s="33"/>
      <c r="L25" s="33"/>
      <c r="M25" s="31"/>
    </row>
    <row r="26" spans="3:13" ht="12.75" hidden="1" customHeight="1">
      <c r="C26" s="32" t="s">
        <v>412</v>
      </c>
      <c r="D26" s="34">
        <v>7.9489000000000001</v>
      </c>
      <c r="E26" s="33">
        <v>11.989000000000001</v>
      </c>
      <c r="F26" s="33">
        <v>2.1865999999999999</v>
      </c>
      <c r="G26" s="33">
        <v>4.8281999999999998</v>
      </c>
      <c r="H26" s="33">
        <v>7.6100000000000001E-2</v>
      </c>
      <c r="I26" s="33">
        <v>5.6622000000000003</v>
      </c>
      <c r="J26" s="33">
        <v>1.4125000000000001</v>
      </c>
      <c r="K26" s="33">
        <v>4.8999999999999998E-3</v>
      </c>
      <c r="L26" s="33">
        <v>2.9493999999999998</v>
      </c>
      <c r="M26" s="31"/>
    </row>
    <row r="27" spans="3:13" ht="12.75" hidden="1" customHeight="1">
      <c r="C27" s="32" t="s">
        <v>27</v>
      </c>
      <c r="D27" s="34">
        <v>8.0266000000000002</v>
      </c>
      <c r="E27" s="33">
        <v>12.1065</v>
      </c>
      <c r="F27" s="33">
        <v>2.2080000000000002</v>
      </c>
      <c r="G27" s="33">
        <v>4.8754999999999997</v>
      </c>
      <c r="H27" s="33">
        <v>7.6799999999999993E-2</v>
      </c>
      <c r="I27" s="33">
        <v>5.7176999999999998</v>
      </c>
      <c r="J27" s="33">
        <v>1.4262999999999999</v>
      </c>
      <c r="K27" s="33">
        <v>5.0000000000000001E-3</v>
      </c>
      <c r="L27" s="33">
        <v>2.9782999999999999</v>
      </c>
      <c r="M27" s="31"/>
    </row>
    <row r="28" spans="3:13" ht="12.75" hidden="1" customHeight="1">
      <c r="C28" s="11"/>
      <c r="D28" s="34"/>
      <c r="E28" s="33"/>
      <c r="F28" s="33"/>
      <c r="G28" s="33"/>
      <c r="H28" s="33"/>
      <c r="I28" s="33"/>
      <c r="J28" s="33"/>
      <c r="K28" s="33"/>
      <c r="L28" s="33"/>
      <c r="M28" s="31"/>
    </row>
    <row r="29" spans="3:13" ht="12.75" hidden="1" customHeight="1">
      <c r="C29" s="11" t="s">
        <v>303</v>
      </c>
      <c r="D29" s="34"/>
      <c r="E29" s="33"/>
      <c r="F29" s="33"/>
      <c r="G29" s="33"/>
      <c r="H29" s="33"/>
      <c r="I29" s="33"/>
      <c r="J29" s="33"/>
      <c r="K29" s="33"/>
      <c r="L29" s="33"/>
      <c r="M29" s="31"/>
    </row>
    <row r="30" spans="3:13" ht="12.75" hidden="1" customHeight="1">
      <c r="C30" s="32" t="s">
        <v>412</v>
      </c>
      <c r="D30" s="34">
        <v>8.1067999999999998</v>
      </c>
      <c r="E30" s="33">
        <v>12.520899999999999</v>
      </c>
      <c r="F30" s="33">
        <v>2.2242999999999999</v>
      </c>
      <c r="G30" s="33">
        <v>5.1055000000000001</v>
      </c>
      <c r="H30" s="33">
        <v>8.1799999999999998E-2</v>
      </c>
      <c r="I30" s="33">
        <v>6.0693000000000001</v>
      </c>
      <c r="J30" s="33">
        <v>1.4899</v>
      </c>
      <c r="K30" s="33">
        <v>5.1999999999999998E-3</v>
      </c>
      <c r="L30" s="33">
        <v>2.9430999999999998</v>
      </c>
      <c r="M30" s="31"/>
    </row>
    <row r="31" spans="3:13" ht="12.75" hidden="1" customHeight="1">
      <c r="C31" s="32" t="s">
        <v>27</v>
      </c>
      <c r="D31" s="34">
        <v>8.1302000000000003</v>
      </c>
      <c r="E31" s="33">
        <v>12.5572</v>
      </c>
      <c r="F31" s="33">
        <v>2.2307999999999999</v>
      </c>
      <c r="G31" s="33">
        <v>5.1203000000000003</v>
      </c>
      <c r="H31" s="33">
        <v>8.2000000000000003E-2</v>
      </c>
      <c r="I31" s="33">
        <v>6.0869</v>
      </c>
      <c r="J31" s="33">
        <v>1.4942</v>
      </c>
      <c r="K31" s="33">
        <v>5.1999999999999998E-3</v>
      </c>
      <c r="L31" s="33">
        <v>2.9432</v>
      </c>
      <c r="M31" s="31"/>
    </row>
    <row r="32" spans="3:13" ht="12.75" hidden="1" customHeight="1">
      <c r="C32" s="11"/>
      <c r="D32" s="34"/>
      <c r="E32" s="33"/>
      <c r="F32" s="33"/>
      <c r="G32" s="33"/>
      <c r="H32" s="33"/>
      <c r="I32" s="33"/>
      <c r="J32" s="33"/>
      <c r="K32" s="33"/>
      <c r="L32" s="33"/>
      <c r="M32" s="31"/>
    </row>
    <row r="33" spans="3:13" ht="12.75" hidden="1" customHeight="1">
      <c r="C33" s="11" t="s">
        <v>28</v>
      </c>
      <c r="D33" s="34">
        <v>8.0821000000000005</v>
      </c>
      <c r="E33" s="33">
        <v>12.3292</v>
      </c>
      <c r="F33" s="33">
        <v>2.2059000000000002</v>
      </c>
      <c r="G33" s="33">
        <v>5.0766999999999998</v>
      </c>
      <c r="H33" s="33">
        <v>8.0799999999999997E-2</v>
      </c>
      <c r="I33" s="33">
        <v>5.9844999999999997</v>
      </c>
      <c r="J33" s="33">
        <v>1.4899</v>
      </c>
      <c r="K33" s="33">
        <v>5.0000000000000001E-3</v>
      </c>
      <c r="L33" s="33">
        <v>2.9083000000000001</v>
      </c>
      <c r="M33" s="31"/>
    </row>
    <row r="34" spans="3:13" ht="12.75" hidden="1" customHeight="1">
      <c r="C34" s="11"/>
      <c r="D34" s="34"/>
      <c r="E34" s="33"/>
      <c r="F34" s="33"/>
      <c r="G34" s="33"/>
      <c r="H34" s="33"/>
      <c r="I34" s="33"/>
      <c r="J34" s="33"/>
      <c r="K34" s="33"/>
      <c r="L34" s="33"/>
      <c r="M34" s="31"/>
    </row>
    <row r="35" spans="3:13" ht="12.75" hidden="1" customHeight="1">
      <c r="C35" s="11" t="s">
        <v>305</v>
      </c>
      <c r="D35" s="34">
        <v>8.1372999999999998</v>
      </c>
      <c r="E35" s="33">
        <v>12.492800000000001</v>
      </c>
      <c r="F35" s="33">
        <v>2.2686999999999999</v>
      </c>
      <c r="G35" s="33">
        <v>5.1666999999999996</v>
      </c>
      <c r="H35" s="33">
        <v>8.1600000000000006E-2</v>
      </c>
      <c r="I35" s="33">
        <v>6.1284000000000001</v>
      </c>
      <c r="J35" s="33">
        <v>1.5076000000000001</v>
      </c>
      <c r="K35" s="33">
        <v>5.1000000000000004E-3</v>
      </c>
      <c r="L35" s="33">
        <v>2.9689000000000001</v>
      </c>
      <c r="M35" s="31"/>
    </row>
    <row r="36" spans="3:13" ht="12.75" hidden="1" customHeight="1">
      <c r="C36" s="11"/>
      <c r="D36" s="34"/>
      <c r="E36" s="33"/>
      <c r="F36" s="33"/>
      <c r="G36" s="33"/>
      <c r="H36" s="33"/>
      <c r="I36" s="33"/>
      <c r="J36" s="33"/>
      <c r="K36" s="33"/>
      <c r="L36" s="33"/>
      <c r="M36" s="31"/>
    </row>
    <row r="37" spans="3:13" ht="12.75" hidden="1" customHeight="1">
      <c r="C37" s="11" t="s">
        <v>306</v>
      </c>
      <c r="D37" s="34">
        <v>8.3208000000000002</v>
      </c>
      <c r="E37" s="33">
        <v>13.142300000000001</v>
      </c>
      <c r="F37" s="33">
        <v>2.3334000000000001</v>
      </c>
      <c r="G37" s="33">
        <v>5.3752000000000004</v>
      </c>
      <c r="H37" s="33">
        <v>8.4400000000000003E-2</v>
      </c>
      <c r="I37" s="33">
        <v>6.4713000000000003</v>
      </c>
      <c r="J37" s="33">
        <v>1.5757000000000001</v>
      </c>
      <c r="K37" s="33">
        <v>5.3E-3</v>
      </c>
      <c r="L37" s="33">
        <v>3.0573999999999999</v>
      </c>
      <c r="M37" s="31"/>
    </row>
    <row r="38" spans="3:13" ht="12.75" hidden="1" customHeight="1">
      <c r="C38" s="11"/>
      <c r="D38" s="18"/>
      <c r="E38" s="17"/>
      <c r="F38" s="17"/>
      <c r="G38" s="17"/>
      <c r="H38" s="17"/>
      <c r="I38" s="17"/>
      <c r="J38" s="17"/>
      <c r="K38" s="17"/>
      <c r="L38" s="17"/>
      <c r="M38" s="31"/>
    </row>
    <row r="39" spans="3:13" ht="12.75" hidden="1" customHeight="1">
      <c r="C39" s="11" t="s">
        <v>307</v>
      </c>
      <c r="D39" s="34">
        <v>8.3249999999999993</v>
      </c>
      <c r="E39" s="33">
        <v>13.5031</v>
      </c>
      <c r="F39" s="33">
        <v>2.3797000000000001</v>
      </c>
      <c r="G39" s="33">
        <v>5.5096999999999996</v>
      </c>
      <c r="H39" s="33">
        <v>8.5500000000000007E-2</v>
      </c>
      <c r="I39" s="33">
        <v>6.6044999999999998</v>
      </c>
      <c r="J39" s="33">
        <v>1.6096999999999999</v>
      </c>
      <c r="K39" s="33">
        <v>5.3E-3</v>
      </c>
      <c r="L39" s="33">
        <v>3.1097999999999999</v>
      </c>
      <c r="M39" s="31"/>
    </row>
    <row r="40" spans="3:13" ht="12.75" hidden="1" customHeight="1">
      <c r="C40" s="11"/>
      <c r="D40" s="18"/>
      <c r="E40" s="17"/>
      <c r="F40" s="17"/>
      <c r="G40" s="17"/>
      <c r="H40" s="17"/>
      <c r="I40" s="17"/>
      <c r="J40" s="17"/>
      <c r="K40" s="17"/>
      <c r="L40" s="17"/>
      <c r="M40" s="31"/>
    </row>
    <row r="41" spans="3:13" ht="12.75" hidden="1" customHeight="1">
      <c r="C41" s="11" t="s">
        <v>308</v>
      </c>
      <c r="D41" s="34">
        <v>8.3492999999999995</v>
      </c>
      <c r="E41" s="33">
        <v>13.0374</v>
      </c>
      <c r="F41" s="33">
        <v>2.3544</v>
      </c>
      <c r="G41" s="33">
        <v>5.3103999999999996</v>
      </c>
      <c r="H41" s="33">
        <v>8.43E-2</v>
      </c>
      <c r="I41" s="33">
        <v>6.2824</v>
      </c>
      <c r="J41" s="33">
        <v>1.5481</v>
      </c>
      <c r="K41" s="33">
        <v>5.1000000000000004E-3</v>
      </c>
      <c r="L41" s="33">
        <v>3.0771000000000002</v>
      </c>
      <c r="M41" s="31"/>
    </row>
    <row r="42" spans="3:13" ht="12.75" hidden="1" customHeight="1">
      <c r="C42" s="11"/>
      <c r="D42" s="18"/>
      <c r="E42" s="17"/>
      <c r="F42" s="17"/>
      <c r="G42" s="17"/>
      <c r="H42" s="17"/>
      <c r="I42" s="17"/>
      <c r="J42" s="17"/>
      <c r="K42" s="17"/>
      <c r="L42" s="17"/>
      <c r="M42" s="31"/>
    </row>
    <row r="43" spans="3:13" ht="12.75" hidden="1" customHeight="1">
      <c r="C43" s="11" t="s">
        <v>311</v>
      </c>
      <c r="D43" s="18">
        <v>8.3871000000000002</v>
      </c>
      <c r="E43" s="17">
        <v>13.079700000000001</v>
      </c>
      <c r="F43" s="33">
        <v>2.3639999999999999</v>
      </c>
      <c r="G43" s="17">
        <v>5.4013</v>
      </c>
      <c r="H43" s="33">
        <v>8.4000000000000005E-2</v>
      </c>
      <c r="I43" s="17">
        <v>6.3876999999999997</v>
      </c>
      <c r="J43" s="17">
        <v>1.5653999999999999</v>
      </c>
      <c r="K43" s="17">
        <v>5.1000000000000004E-3</v>
      </c>
      <c r="L43" s="17">
        <v>3.0884999999999998</v>
      </c>
      <c r="M43" s="31"/>
    </row>
    <row r="44" spans="3:13" ht="12.75" hidden="1" customHeight="1">
      <c r="C44" s="11"/>
      <c r="D44" s="18"/>
      <c r="E44" s="17"/>
      <c r="F44" s="17"/>
      <c r="G44" s="17"/>
      <c r="H44" s="17"/>
      <c r="I44" s="17"/>
      <c r="J44" s="17"/>
      <c r="K44" s="17"/>
      <c r="L44" s="17"/>
      <c r="M44" s="31"/>
    </row>
    <row r="45" spans="3:13" ht="12.75" hidden="1" customHeight="1">
      <c r="C45" s="15" t="s">
        <v>312</v>
      </c>
      <c r="D45" s="18"/>
      <c r="E45" s="17"/>
      <c r="F45" s="17"/>
      <c r="G45" s="17"/>
      <c r="H45" s="17"/>
      <c r="I45" s="17"/>
      <c r="J45" s="17"/>
      <c r="K45" s="17"/>
      <c r="L45" s="17"/>
      <c r="M45" s="31"/>
    </row>
    <row r="46" spans="3:13" ht="12.75" hidden="1" customHeight="1">
      <c r="C46" s="7"/>
      <c r="D46" s="18"/>
      <c r="E46" s="17"/>
      <c r="F46" s="17"/>
      <c r="G46" s="17"/>
      <c r="H46" s="17"/>
      <c r="I46" s="17"/>
      <c r="J46" s="17"/>
      <c r="K46" s="17"/>
      <c r="L46" s="17"/>
      <c r="M46" s="31"/>
    </row>
    <row r="47" spans="3:13" ht="12.75" hidden="1" customHeight="1">
      <c r="C47" s="11" t="s">
        <v>306</v>
      </c>
      <c r="D47" s="18">
        <v>8.8003999999999998</v>
      </c>
      <c r="E47" s="17">
        <v>13.9087</v>
      </c>
      <c r="F47" s="17">
        <v>2.4125000000000001</v>
      </c>
      <c r="G47" s="17">
        <v>6.2084000000000001</v>
      </c>
      <c r="H47" s="17">
        <v>8.9499999999999996E-2</v>
      </c>
      <c r="I47" s="17">
        <v>7.7142999999999997</v>
      </c>
      <c r="J47" s="33">
        <v>1.798</v>
      </c>
      <c r="K47" s="17">
        <v>5.4000000000000003E-3</v>
      </c>
      <c r="L47" s="17">
        <v>3.1341999999999999</v>
      </c>
      <c r="M47" s="31"/>
    </row>
    <row r="48" spans="3:13" ht="12.75" hidden="1" customHeight="1">
      <c r="C48" s="11" t="s">
        <v>307</v>
      </c>
      <c r="D48" s="18">
        <v>9.2687000000000008</v>
      </c>
      <c r="E48" s="17">
        <v>14.6051</v>
      </c>
      <c r="F48" s="17">
        <v>2.5405000000000002</v>
      </c>
      <c r="G48" s="17">
        <v>6.5663</v>
      </c>
      <c r="H48" s="17">
        <v>9.0899999999999995E-2</v>
      </c>
      <c r="I48" s="17">
        <v>8.1303999999999998</v>
      </c>
      <c r="J48" s="33">
        <v>1.8959999999999999</v>
      </c>
      <c r="K48" s="17">
        <v>5.7000000000000002E-3</v>
      </c>
      <c r="L48" s="17">
        <v>3.2964000000000002</v>
      </c>
      <c r="M48" s="31"/>
    </row>
    <row r="49" spans="3:13" ht="12.75" hidden="1" customHeight="1">
      <c r="C49" s="11" t="s">
        <v>308</v>
      </c>
      <c r="D49" s="34">
        <v>9.2644000000000002</v>
      </c>
      <c r="E49" s="33">
        <v>14.237</v>
      </c>
      <c r="F49" s="33">
        <v>2.5297000000000001</v>
      </c>
      <c r="G49" s="33">
        <v>6.4581999999999997</v>
      </c>
      <c r="H49" s="33">
        <v>9.1200000000000003E-2</v>
      </c>
      <c r="I49" s="33">
        <v>7.9645000000000001</v>
      </c>
      <c r="J49" s="33">
        <v>1.8774999999999999</v>
      </c>
      <c r="K49" s="33">
        <v>5.7999999999999996E-3</v>
      </c>
      <c r="L49" s="33">
        <v>3.2795999999999998</v>
      </c>
      <c r="M49" s="31"/>
    </row>
    <row r="50" spans="3:13" ht="12.75" hidden="1" customHeight="1">
      <c r="C50" s="11" t="s">
        <v>311</v>
      </c>
      <c r="D50" s="34">
        <v>9.3109000000000002</v>
      </c>
      <c r="E50" s="33">
        <v>14.420299999999999</v>
      </c>
      <c r="F50" s="33">
        <v>2.5518000000000001</v>
      </c>
      <c r="G50" s="33">
        <v>6.476</v>
      </c>
      <c r="H50" s="33">
        <v>9.0399999999999994E-2</v>
      </c>
      <c r="I50" s="33">
        <v>8.0684000000000005</v>
      </c>
      <c r="J50" s="33">
        <v>1.8953</v>
      </c>
      <c r="K50" s="33">
        <v>5.7999999999999996E-3</v>
      </c>
      <c r="L50" s="33">
        <v>3.3020999999999998</v>
      </c>
      <c r="M50" s="31"/>
    </row>
    <row r="51" spans="3:13" ht="12.75" hidden="1" customHeight="1">
      <c r="C51" s="11"/>
      <c r="D51" s="34"/>
      <c r="E51" s="33"/>
      <c r="F51" s="33"/>
      <c r="G51" s="33"/>
      <c r="H51" s="33"/>
      <c r="I51" s="33"/>
      <c r="J51" s="33"/>
      <c r="K51" s="33"/>
      <c r="L51" s="33"/>
      <c r="M51" s="31"/>
    </row>
    <row r="52" spans="3:13" ht="12.75" hidden="1" customHeight="1">
      <c r="C52" s="15" t="s">
        <v>313</v>
      </c>
      <c r="D52" s="34"/>
      <c r="E52" s="33"/>
      <c r="F52" s="33"/>
      <c r="G52" s="33"/>
      <c r="H52" s="33"/>
      <c r="I52" s="33"/>
      <c r="J52" s="33"/>
      <c r="K52" s="33"/>
      <c r="L52" s="33"/>
      <c r="M52" s="31"/>
    </row>
    <row r="53" spans="3:13" ht="12.75" hidden="1" customHeight="1">
      <c r="C53" s="7"/>
      <c r="D53" s="34"/>
      <c r="E53" s="33"/>
      <c r="F53" s="33"/>
      <c r="G53" s="33"/>
      <c r="H53" s="33"/>
      <c r="I53" s="33"/>
      <c r="J53" s="33"/>
      <c r="K53" s="33"/>
      <c r="L53" s="33"/>
      <c r="M53" s="31"/>
    </row>
    <row r="54" spans="3:13" ht="12.75" hidden="1" customHeight="1">
      <c r="C54" s="11" t="s">
        <v>298</v>
      </c>
      <c r="D54" s="34">
        <v>9.4509000000000007</v>
      </c>
      <c r="E54" s="33">
        <v>14.2354</v>
      </c>
      <c r="F54" s="33">
        <v>2.5876000000000001</v>
      </c>
      <c r="G54" s="33">
        <v>6.3524000000000003</v>
      </c>
      <c r="H54" s="33">
        <v>8.8099999999999998E-2</v>
      </c>
      <c r="I54" s="33">
        <v>7.7804000000000002</v>
      </c>
      <c r="J54" s="33">
        <v>1.8487</v>
      </c>
      <c r="K54" s="33">
        <v>5.8999999999999999E-3</v>
      </c>
      <c r="L54" s="33">
        <v>3.3130000000000002</v>
      </c>
      <c r="M54" s="31"/>
    </row>
    <row r="55" spans="3:13" ht="12.75" hidden="1" customHeight="1">
      <c r="C55" s="11" t="s">
        <v>299</v>
      </c>
      <c r="D55" s="34">
        <v>9.4588999999999999</v>
      </c>
      <c r="E55" s="33">
        <v>14.4963</v>
      </c>
      <c r="F55" s="33">
        <v>2.4796999999999998</v>
      </c>
      <c r="G55" s="33">
        <v>6.4412000000000003</v>
      </c>
      <c r="H55" s="33">
        <v>9.0399999999999994E-2</v>
      </c>
      <c r="I55" s="33">
        <v>7.8985000000000003</v>
      </c>
      <c r="J55" s="33">
        <v>1.8807</v>
      </c>
      <c r="K55" s="33">
        <v>6.1000000000000004E-3</v>
      </c>
      <c r="L55" s="33">
        <v>3.2244999999999999</v>
      </c>
      <c r="M55" s="31"/>
    </row>
    <row r="56" spans="3:13" ht="12.75" hidden="1" customHeight="1">
      <c r="C56" s="11" t="s">
        <v>300</v>
      </c>
      <c r="D56" s="34">
        <v>9.6515000000000004</v>
      </c>
      <c r="E56" s="33">
        <v>14.7287</v>
      </c>
      <c r="F56" s="33">
        <v>2.41</v>
      </c>
      <c r="G56" s="33">
        <v>6.5446999999999997</v>
      </c>
      <c r="H56" s="33">
        <v>9.06E-2</v>
      </c>
      <c r="I56" s="33">
        <v>8.1183999999999994</v>
      </c>
      <c r="J56" s="33">
        <v>1.9201999999999999</v>
      </c>
      <c r="K56" s="33">
        <v>6.1000000000000004E-3</v>
      </c>
      <c r="L56" s="33">
        <v>3.1522000000000001</v>
      </c>
      <c r="M56" s="31"/>
    </row>
    <row r="57" spans="3:13" ht="12.75" hidden="1" customHeight="1">
      <c r="C57" s="11" t="s">
        <v>301</v>
      </c>
      <c r="D57" s="34">
        <v>9.8183000000000007</v>
      </c>
      <c r="E57" s="33">
        <v>14.8109</v>
      </c>
      <c r="F57" s="33">
        <v>2.2467000000000001</v>
      </c>
      <c r="G57" s="33">
        <v>6.4409999999999998</v>
      </c>
      <c r="H57" s="33">
        <v>9.4100000000000003E-2</v>
      </c>
      <c r="I57" s="33">
        <v>7.95</v>
      </c>
      <c r="J57" s="33">
        <v>1.9069</v>
      </c>
      <c r="K57" s="33">
        <v>6.1999999999999998E-3</v>
      </c>
      <c r="L57" s="33">
        <v>2.9243000000000001</v>
      </c>
      <c r="M57" s="31"/>
    </row>
    <row r="58" spans="3:13" ht="12.75" hidden="1" customHeight="1">
      <c r="C58" s="11" t="s">
        <v>302</v>
      </c>
      <c r="D58" s="34">
        <v>9.8317999999999994</v>
      </c>
      <c r="E58" s="33">
        <v>15.0732</v>
      </c>
      <c r="F58" s="33">
        <v>2.2484999999999999</v>
      </c>
      <c r="G58" s="33">
        <v>6.407</v>
      </c>
      <c r="H58" s="33">
        <v>9.0800000000000006E-2</v>
      </c>
      <c r="I58" s="33">
        <v>7.7965</v>
      </c>
      <c r="J58" s="33">
        <v>1.8945000000000001</v>
      </c>
      <c r="K58" s="33">
        <v>6.3E-3</v>
      </c>
      <c r="L58" s="33">
        <v>2.9007999999999998</v>
      </c>
      <c r="M58" s="31"/>
    </row>
    <row r="59" spans="3:13" ht="12.75" hidden="1" customHeight="1">
      <c r="C59" s="11" t="s">
        <v>303</v>
      </c>
      <c r="D59" s="34">
        <v>9.8744999999999994</v>
      </c>
      <c r="E59" s="33">
        <v>15.2829</v>
      </c>
      <c r="F59" s="33">
        <v>2.2765</v>
      </c>
      <c r="G59" s="33">
        <v>6.4915000000000003</v>
      </c>
      <c r="H59" s="33">
        <v>9.01E-2</v>
      </c>
      <c r="I59" s="33">
        <v>7.8964999999999996</v>
      </c>
      <c r="J59" s="33">
        <v>1.9198</v>
      </c>
      <c r="K59" s="33">
        <v>6.4000000000000003E-3</v>
      </c>
      <c r="L59" s="33">
        <v>2.9312</v>
      </c>
      <c r="M59" s="31"/>
    </row>
    <row r="60" spans="3:13" ht="12.75" hidden="1" customHeight="1">
      <c r="C60" s="11" t="s">
        <v>304</v>
      </c>
      <c r="D60" s="34">
        <v>9.9611000000000001</v>
      </c>
      <c r="E60" s="33">
        <v>15.5344</v>
      </c>
      <c r="F60" s="33">
        <v>2.2296</v>
      </c>
      <c r="G60" s="33">
        <v>6.7690999999999999</v>
      </c>
      <c r="H60" s="33">
        <v>9.2499999999999999E-2</v>
      </c>
      <c r="I60" s="33">
        <v>8.3425999999999991</v>
      </c>
      <c r="J60" s="33">
        <v>1.9950000000000001</v>
      </c>
      <c r="K60" s="33">
        <v>6.4999999999999997E-3</v>
      </c>
      <c r="L60" s="33">
        <v>2.9041000000000001</v>
      </c>
      <c r="M60" s="31"/>
    </row>
    <row r="61" spans="3:13" ht="12.75" hidden="1" customHeight="1">
      <c r="C61" s="11" t="s">
        <v>305</v>
      </c>
      <c r="D61" s="34">
        <v>10.2532</v>
      </c>
      <c r="E61" s="33">
        <v>15.9689</v>
      </c>
      <c r="F61" s="33">
        <v>2.2747000000000002</v>
      </c>
      <c r="G61" s="33">
        <v>6.9481999999999999</v>
      </c>
      <c r="H61" s="33">
        <v>9.4600000000000004E-2</v>
      </c>
      <c r="I61" s="33">
        <v>8.5858000000000008</v>
      </c>
      <c r="J61" s="33">
        <v>2.0274000000000001</v>
      </c>
      <c r="K61" s="33">
        <v>6.7000000000000002E-3</v>
      </c>
      <c r="L61" s="33">
        <v>2.9380000000000002</v>
      </c>
      <c r="M61" s="31"/>
    </row>
    <row r="62" spans="3:13" ht="12.75" hidden="1" customHeight="1">
      <c r="C62" s="11" t="s">
        <v>306</v>
      </c>
      <c r="D62" s="34">
        <v>10.3401</v>
      </c>
      <c r="E62" s="33">
        <v>16.159600000000001</v>
      </c>
      <c r="F62" s="33">
        <v>2.282</v>
      </c>
      <c r="G62" s="33">
        <v>6.7816999999999998</v>
      </c>
      <c r="H62" s="33">
        <v>9.2999999999999999E-2</v>
      </c>
      <c r="I62" s="33">
        <v>8.2394999999999996</v>
      </c>
      <c r="J62" s="33">
        <v>2.0049999999999999</v>
      </c>
      <c r="K62" s="33">
        <v>6.7000000000000002E-3</v>
      </c>
      <c r="L62" s="33">
        <v>2.9380999999999999</v>
      </c>
      <c r="M62" s="31"/>
    </row>
    <row r="63" spans="3:13" ht="12.75" hidden="1" customHeight="1">
      <c r="C63" s="11" t="s">
        <v>307</v>
      </c>
      <c r="D63" s="34">
        <v>10.5954</v>
      </c>
      <c r="E63" s="33">
        <v>17.290199999999999</v>
      </c>
      <c r="F63" s="33">
        <v>2.2328999999999999</v>
      </c>
      <c r="G63" s="33">
        <v>6.9993999999999996</v>
      </c>
      <c r="H63" s="33">
        <v>9.3100000000000002E-2</v>
      </c>
      <c r="I63" s="33">
        <v>8.4375</v>
      </c>
      <c r="J63" s="33">
        <v>2.0746000000000002</v>
      </c>
      <c r="K63" s="33">
        <v>6.8999999999999999E-3</v>
      </c>
      <c r="L63" s="33">
        <v>2.9089</v>
      </c>
      <c r="M63" s="31"/>
    </row>
    <row r="64" spans="3:13" ht="12.75" hidden="1" customHeight="1">
      <c r="C64" s="11" t="s">
        <v>308</v>
      </c>
      <c r="D64" s="34">
        <v>10.764200000000001</v>
      </c>
      <c r="E64" s="33">
        <v>18.0731</v>
      </c>
      <c r="F64" s="33">
        <v>2.3515000000000001</v>
      </c>
      <c r="G64" s="33">
        <v>7.0258000000000003</v>
      </c>
      <c r="H64" s="33">
        <v>9.4799999999999995E-2</v>
      </c>
      <c r="I64" s="33">
        <v>8.3169000000000004</v>
      </c>
      <c r="J64" s="33">
        <v>2.0686</v>
      </c>
      <c r="K64" s="33">
        <v>7.0000000000000001E-3</v>
      </c>
      <c r="L64" s="33">
        <v>3.0112999999999999</v>
      </c>
      <c r="M64" s="31"/>
    </row>
    <row r="65" spans="3:13" ht="12.75" hidden="1" customHeight="1">
      <c r="C65" s="11" t="s">
        <v>311</v>
      </c>
      <c r="D65" s="34">
        <v>10.838900000000001</v>
      </c>
      <c r="E65" s="33">
        <v>18.325900000000001</v>
      </c>
      <c r="F65" s="33">
        <v>2.3172000000000001</v>
      </c>
      <c r="G65" s="33">
        <v>6.9737</v>
      </c>
      <c r="H65" s="33">
        <v>9.3299999999999994E-2</v>
      </c>
      <c r="I65" s="33">
        <v>8.0376999999999992</v>
      </c>
      <c r="J65" s="33">
        <v>2.0691000000000002</v>
      </c>
      <c r="K65" s="33">
        <v>7.0000000000000001E-3</v>
      </c>
      <c r="L65" s="33">
        <v>2.9725000000000001</v>
      </c>
      <c r="M65" s="31"/>
    </row>
    <row r="66" spans="3:13" ht="12.75" hidden="1" customHeight="1">
      <c r="C66" s="11"/>
      <c r="D66" s="34"/>
      <c r="E66" s="33"/>
      <c r="F66" s="33"/>
      <c r="G66" s="33"/>
      <c r="H66" s="33"/>
      <c r="I66" s="33"/>
      <c r="J66" s="33"/>
      <c r="K66" s="33"/>
      <c r="L66" s="33"/>
      <c r="M66" s="31"/>
    </row>
    <row r="67" spans="3:13" ht="12.75" hidden="1" customHeight="1">
      <c r="C67" s="15" t="s">
        <v>314</v>
      </c>
      <c r="D67" s="34"/>
      <c r="E67" s="33"/>
      <c r="F67" s="33"/>
      <c r="G67" s="33"/>
      <c r="H67" s="33"/>
      <c r="I67" s="33"/>
      <c r="J67" s="33"/>
      <c r="K67" s="33"/>
      <c r="L67" s="33"/>
      <c r="M67" s="31"/>
    </row>
    <row r="68" spans="3:13" ht="12.75" hidden="1" customHeight="1">
      <c r="C68" s="7"/>
      <c r="D68" s="34"/>
      <c r="E68" s="33"/>
      <c r="F68" s="33"/>
      <c r="G68" s="33"/>
      <c r="H68" s="33"/>
      <c r="I68" s="33"/>
      <c r="J68" s="33"/>
      <c r="K68" s="33"/>
      <c r="L68" s="33"/>
      <c r="M68" s="31"/>
    </row>
    <row r="69" spans="3:13" ht="12.75" hidden="1" customHeight="1">
      <c r="C69" s="7" t="s">
        <v>298</v>
      </c>
      <c r="D69" s="35">
        <v>10.963699999999999</v>
      </c>
      <c r="E69" s="36">
        <v>17.642800000000001</v>
      </c>
      <c r="F69" s="36">
        <v>2.3986999999999998</v>
      </c>
      <c r="G69" s="36">
        <v>6.7039</v>
      </c>
      <c r="H69" s="36">
        <v>8.9800000000000005E-2</v>
      </c>
      <c r="I69" s="36">
        <v>7.7065000000000001</v>
      </c>
      <c r="J69" s="36">
        <v>1.9859</v>
      </c>
      <c r="K69" s="36">
        <v>6.7999999999999996E-3</v>
      </c>
      <c r="L69" s="36">
        <v>3.0352999999999999</v>
      </c>
      <c r="M69" s="31"/>
    </row>
    <row r="70" spans="3:13" ht="12.75" hidden="1" customHeight="1">
      <c r="C70" s="7" t="s">
        <v>299</v>
      </c>
      <c r="D70" s="35">
        <v>11.1731</v>
      </c>
      <c r="E70" s="36">
        <v>18.172599999999999</v>
      </c>
      <c r="F70" s="36">
        <v>2.4967999999999999</v>
      </c>
      <c r="G70" s="36">
        <v>6.6207000000000003</v>
      </c>
      <c r="H70" s="36">
        <v>9.2700000000000005E-2</v>
      </c>
      <c r="I70" s="36">
        <v>7.5804</v>
      </c>
      <c r="J70" s="36">
        <v>1.9629000000000001</v>
      </c>
      <c r="K70" s="36">
        <v>6.6E-3</v>
      </c>
      <c r="L70" s="36">
        <v>3.1368</v>
      </c>
      <c r="M70" s="31"/>
    </row>
    <row r="71" spans="3:13" ht="12.75" hidden="1" customHeight="1">
      <c r="C71" s="7" t="s">
        <v>300</v>
      </c>
      <c r="D71" s="35">
        <v>11.273899999999999</v>
      </c>
      <c r="E71" s="36">
        <v>18.399000000000001</v>
      </c>
      <c r="F71" s="36">
        <v>2.5497999999999998</v>
      </c>
      <c r="G71" s="36">
        <v>6.6957000000000004</v>
      </c>
      <c r="H71" s="36">
        <v>9.11E-2</v>
      </c>
      <c r="I71" s="36">
        <v>7.7484000000000002</v>
      </c>
      <c r="J71" s="36">
        <v>1.9915</v>
      </c>
      <c r="K71" s="36">
        <v>6.7000000000000002E-3</v>
      </c>
      <c r="L71" s="36">
        <v>3.1798000000000002</v>
      </c>
      <c r="M71" s="31"/>
    </row>
    <row r="72" spans="3:13" ht="12.75" hidden="1" customHeight="1">
      <c r="C72" s="7" t="s">
        <v>301</v>
      </c>
      <c r="D72" s="35">
        <v>11.324999999999999</v>
      </c>
      <c r="E72" s="36">
        <v>18.467700000000001</v>
      </c>
      <c r="F72" s="36">
        <v>2.5491999999999999</v>
      </c>
      <c r="G72" s="36">
        <v>6.5719000000000003</v>
      </c>
      <c r="H72" s="36">
        <v>8.9200000000000002E-2</v>
      </c>
      <c r="I72" s="36">
        <v>7.7251000000000003</v>
      </c>
      <c r="J72" s="36">
        <v>1.9488000000000001</v>
      </c>
      <c r="K72" s="36">
        <v>6.6E-3</v>
      </c>
      <c r="L72" s="36">
        <v>3.1738</v>
      </c>
      <c r="M72" s="31"/>
    </row>
    <row r="73" spans="3:13" ht="12.75" hidden="1" customHeight="1">
      <c r="C73" s="7" t="s">
        <v>302</v>
      </c>
      <c r="D73" s="35">
        <v>11.2956</v>
      </c>
      <c r="E73" s="36">
        <v>18.513400000000001</v>
      </c>
      <c r="F73" s="36">
        <v>2.5272000000000001</v>
      </c>
      <c r="G73" s="36">
        <v>6.6551999999999998</v>
      </c>
      <c r="H73" s="36">
        <v>9.7100000000000006E-2</v>
      </c>
      <c r="I73" s="36">
        <v>7.9912000000000001</v>
      </c>
      <c r="J73" s="36">
        <v>1.9686999999999999</v>
      </c>
      <c r="K73" s="36">
        <v>6.7000000000000002E-3</v>
      </c>
      <c r="L73" s="36">
        <v>3.1711999999999998</v>
      </c>
      <c r="M73" s="31"/>
    </row>
    <row r="74" spans="3:13" ht="12.75" hidden="1" customHeight="1">
      <c r="C74" s="7" t="s">
        <v>303</v>
      </c>
      <c r="D74" s="35">
        <v>11.3908</v>
      </c>
      <c r="E74" s="36">
        <v>18.941700000000001</v>
      </c>
      <c r="F74" s="36">
        <v>2.4668000000000001</v>
      </c>
      <c r="G74" s="36">
        <v>6.5598000000000001</v>
      </c>
      <c r="H74" s="36">
        <v>9.9699999999999997E-2</v>
      </c>
      <c r="I74" s="36">
        <v>7.8395000000000001</v>
      </c>
      <c r="J74" s="36">
        <v>1.9449000000000001</v>
      </c>
      <c r="K74" s="36">
        <v>6.7000000000000002E-3</v>
      </c>
      <c r="L74" s="36">
        <v>3.1739999999999999</v>
      </c>
      <c r="M74" s="31"/>
    </row>
    <row r="75" spans="3:13" ht="12.75" hidden="1" customHeight="1">
      <c r="C75" s="7" t="s">
        <v>304</v>
      </c>
      <c r="D75" s="35">
        <v>11.609</v>
      </c>
      <c r="E75" s="36">
        <v>19.015499999999999</v>
      </c>
      <c r="F75" s="36">
        <v>2.5238999999999998</v>
      </c>
      <c r="G75" s="36">
        <v>6.3205</v>
      </c>
      <c r="H75" s="36">
        <v>9.8400000000000001E-2</v>
      </c>
      <c r="I75" s="36">
        <v>7.6623999999999999</v>
      </c>
      <c r="J75" s="36">
        <v>1.8745000000000001</v>
      </c>
      <c r="K75" s="36">
        <v>6.4000000000000003E-3</v>
      </c>
      <c r="L75" s="36">
        <v>3.1715</v>
      </c>
      <c r="M75" s="31"/>
    </row>
    <row r="76" spans="3:13" ht="12.75" hidden="1" customHeight="1">
      <c r="C76" s="7" t="s">
        <v>305</v>
      </c>
      <c r="D76" s="35">
        <v>11.889099999999999</v>
      </c>
      <c r="E76" s="36">
        <v>19.224799999999998</v>
      </c>
      <c r="F76" s="36">
        <v>2.5314999999999999</v>
      </c>
      <c r="G76" s="36">
        <v>6.6239999999999997</v>
      </c>
      <c r="H76" s="36">
        <v>9.9699999999999997E-2</v>
      </c>
      <c r="I76" s="36">
        <v>8.0152999999999999</v>
      </c>
      <c r="J76" s="36">
        <v>1.9676</v>
      </c>
      <c r="K76" s="36">
        <v>6.7000000000000002E-3</v>
      </c>
      <c r="L76" s="36">
        <v>3.1922000000000001</v>
      </c>
      <c r="M76" s="31"/>
    </row>
    <row r="77" spans="3:13" ht="12.75" hidden="1" customHeight="1">
      <c r="C77" s="7" t="s">
        <v>306</v>
      </c>
      <c r="D77" s="35">
        <v>12.6823</v>
      </c>
      <c r="E77" s="36">
        <v>20.438099999999999</v>
      </c>
      <c r="F77" s="36">
        <v>2.7183000000000002</v>
      </c>
      <c r="G77" s="36">
        <v>7.1731999999999996</v>
      </c>
      <c r="H77" s="36">
        <v>0.1048</v>
      </c>
      <c r="I77" s="36">
        <v>8.7120999999999995</v>
      </c>
      <c r="J77" s="36">
        <v>2.1364999999999998</v>
      </c>
      <c r="K77" s="36">
        <v>7.3000000000000001E-3</v>
      </c>
      <c r="L77" s="36">
        <v>3.4337</v>
      </c>
      <c r="M77" s="31"/>
    </row>
    <row r="78" spans="3:13" ht="12.75" hidden="1" customHeight="1">
      <c r="C78" s="7" t="s">
        <v>307</v>
      </c>
      <c r="D78" s="35">
        <v>12.640599999999999</v>
      </c>
      <c r="E78" s="36">
        <v>21.087700000000002</v>
      </c>
      <c r="F78" s="36">
        <v>2.6179000000000001</v>
      </c>
      <c r="G78" s="36">
        <v>7.3510999999999997</v>
      </c>
      <c r="H78" s="36">
        <v>0.10489999999999999</v>
      </c>
      <c r="I78" s="36">
        <v>9.0244999999999997</v>
      </c>
      <c r="J78" s="36">
        <v>2.1957</v>
      </c>
      <c r="K78" s="36">
        <v>7.4000000000000003E-3</v>
      </c>
      <c r="L78" s="36">
        <v>3.3605</v>
      </c>
      <c r="M78" s="31"/>
    </row>
    <row r="79" spans="3:13" ht="12.75" hidden="1" customHeight="1">
      <c r="C79" s="7" t="s">
        <v>308</v>
      </c>
      <c r="D79" s="35">
        <v>14.4717</v>
      </c>
      <c r="E79" s="36">
        <v>24.247399999999999</v>
      </c>
      <c r="F79" s="36">
        <v>2.9828999999999999</v>
      </c>
      <c r="G79" s="36">
        <v>8.2177000000000007</v>
      </c>
      <c r="H79" s="36">
        <v>0.1134</v>
      </c>
      <c r="I79" s="36">
        <v>10.1777</v>
      </c>
      <c r="J79" s="36">
        <v>2.4548000000000001</v>
      </c>
      <c r="K79" s="36">
        <v>8.3000000000000001E-3</v>
      </c>
      <c r="L79" s="36">
        <v>3.8176000000000001</v>
      </c>
      <c r="M79" s="31"/>
    </row>
    <row r="80" spans="3:13" ht="12.75" hidden="1" customHeight="1">
      <c r="C80" s="7" t="s">
        <v>311</v>
      </c>
      <c r="D80" s="35">
        <v>18.6081</v>
      </c>
      <c r="E80" s="36">
        <v>30.861499999999999</v>
      </c>
      <c r="F80" s="36">
        <v>3.8096000000000001</v>
      </c>
      <c r="G80" s="36">
        <v>10.402200000000001</v>
      </c>
      <c r="H80" s="36">
        <v>0.14319999999999999</v>
      </c>
      <c r="I80" s="36">
        <v>12.796099999999999</v>
      </c>
      <c r="J80" s="36">
        <v>3.1095000000000002</v>
      </c>
      <c r="K80" s="36">
        <v>1.0500000000000001E-2</v>
      </c>
      <c r="L80" s="36">
        <v>4.8874000000000004</v>
      </c>
      <c r="M80" s="31"/>
    </row>
    <row r="81" spans="3:13" ht="12.75" hidden="1" customHeight="1">
      <c r="C81" s="11"/>
      <c r="D81" s="34"/>
      <c r="E81" s="33"/>
      <c r="F81" s="33"/>
      <c r="G81" s="33"/>
      <c r="H81" s="33"/>
      <c r="I81" s="33"/>
      <c r="J81" s="33"/>
      <c r="K81" s="33"/>
      <c r="L81" s="33"/>
      <c r="M81" s="31"/>
    </row>
    <row r="82" spans="3:13" ht="12.75" hidden="1" customHeight="1">
      <c r="C82" s="15" t="s">
        <v>315</v>
      </c>
      <c r="D82" s="34"/>
      <c r="E82" s="33"/>
      <c r="F82" s="33"/>
      <c r="G82" s="33"/>
      <c r="H82" s="33"/>
      <c r="I82" s="33"/>
      <c r="J82" s="33"/>
      <c r="K82" s="33"/>
      <c r="L82" s="33"/>
      <c r="M82" s="31"/>
    </row>
    <row r="83" spans="3:13" ht="12.75" hidden="1" customHeight="1">
      <c r="C83" s="7"/>
      <c r="D83" s="34"/>
      <c r="E83" s="33"/>
      <c r="F83" s="33"/>
      <c r="G83" s="33"/>
      <c r="H83" s="33"/>
      <c r="I83" s="33"/>
      <c r="J83" s="33"/>
      <c r="K83" s="33"/>
      <c r="L83" s="33"/>
      <c r="M83" s="31"/>
    </row>
    <row r="84" spans="3:13" ht="12.75" hidden="1" customHeight="1">
      <c r="C84" s="7" t="s">
        <v>298</v>
      </c>
      <c r="D84" s="35">
        <v>18.2348</v>
      </c>
      <c r="E84" s="36">
        <v>29.8504</v>
      </c>
      <c r="F84" s="36">
        <v>3.6964999999999999</v>
      </c>
      <c r="G84" s="36">
        <v>9.9600000000000009</v>
      </c>
      <c r="H84" s="36">
        <v>0.14299999999999999</v>
      </c>
      <c r="I84" s="36">
        <v>12.3483</v>
      </c>
      <c r="J84" s="36">
        <v>2.9685999999999999</v>
      </c>
      <c r="K84" s="36">
        <v>0.01</v>
      </c>
      <c r="L84" s="36">
        <v>4.7583000000000002</v>
      </c>
      <c r="M84" s="31"/>
    </row>
    <row r="85" spans="3:13" ht="12.75" hidden="1" customHeight="1">
      <c r="C85" s="7" t="s">
        <v>299</v>
      </c>
      <c r="D85" s="35">
        <v>16.2258</v>
      </c>
      <c r="E85" s="36">
        <v>26.658999999999999</v>
      </c>
      <c r="F85" s="36">
        <v>3.2786</v>
      </c>
      <c r="G85" s="36">
        <v>8.9268000000000001</v>
      </c>
      <c r="H85" s="36">
        <v>0.12759999999999999</v>
      </c>
      <c r="I85" s="36">
        <v>11.045500000000001</v>
      </c>
      <c r="J85" s="36">
        <v>2.6627000000000001</v>
      </c>
      <c r="K85" s="36">
        <v>8.9999999999999993E-3</v>
      </c>
      <c r="L85" s="36">
        <v>4.2057000000000002</v>
      </c>
      <c r="M85" s="31"/>
    </row>
    <row r="86" spans="3:13" ht="12.75" hidden="1" customHeight="1">
      <c r="C86" s="7" t="s">
        <v>300</v>
      </c>
      <c r="D86" s="35">
        <v>16.139399999999998</v>
      </c>
      <c r="E86" s="36">
        <v>27.094899999999999</v>
      </c>
      <c r="F86" s="36">
        <v>3.2301000000000002</v>
      </c>
      <c r="G86" s="36">
        <v>8.74</v>
      </c>
      <c r="H86" s="36">
        <v>0.12180000000000001</v>
      </c>
      <c r="I86" s="36">
        <v>10.611000000000001</v>
      </c>
      <c r="J86" s="36">
        <v>2.6084999999999998</v>
      </c>
      <c r="K86" s="36">
        <v>8.8000000000000005E-3</v>
      </c>
      <c r="L86" s="36">
        <v>4.1445999999999996</v>
      </c>
      <c r="M86" s="31"/>
    </row>
    <row r="87" spans="3:13" ht="12.75" hidden="1" customHeight="1">
      <c r="C87" s="7" t="s">
        <v>301</v>
      </c>
      <c r="D87" s="35">
        <v>17.056100000000001</v>
      </c>
      <c r="E87" s="36">
        <v>28.4999</v>
      </c>
      <c r="F87" s="36">
        <v>3.3767</v>
      </c>
      <c r="G87" s="36">
        <v>9.5101999999999993</v>
      </c>
      <c r="H87" s="36">
        <v>0.12909999999999999</v>
      </c>
      <c r="I87" s="36">
        <v>11.4034</v>
      </c>
      <c r="J87" s="36">
        <v>2.8365999999999998</v>
      </c>
      <c r="K87" s="36">
        <v>9.5999999999999992E-3</v>
      </c>
      <c r="L87" s="36">
        <v>4.3646000000000003</v>
      </c>
      <c r="M87" s="31"/>
    </row>
    <row r="88" spans="3:13" ht="12.75" hidden="1" customHeight="1">
      <c r="C88" s="7" t="s">
        <v>302</v>
      </c>
      <c r="D88" s="35">
        <v>18.014700000000001</v>
      </c>
      <c r="E88" s="36">
        <v>29.355</v>
      </c>
      <c r="F88" s="36">
        <v>3.4887999999999999</v>
      </c>
      <c r="G88" s="36">
        <v>10.1061</v>
      </c>
      <c r="H88" s="36">
        <v>0.12939999999999999</v>
      </c>
      <c r="I88" s="36">
        <v>12.1495</v>
      </c>
      <c r="J88" s="36">
        <v>3.0137</v>
      </c>
      <c r="K88" s="36">
        <v>1.0200000000000001E-2</v>
      </c>
      <c r="L88" s="36">
        <v>4.5361000000000002</v>
      </c>
      <c r="M88" s="31"/>
    </row>
    <row r="89" spans="3:13" ht="12.75" hidden="1" customHeight="1">
      <c r="C89" s="7" t="s">
        <v>303</v>
      </c>
      <c r="D89" s="35">
        <v>18.011500000000002</v>
      </c>
      <c r="E89" s="36">
        <v>30.022500000000001</v>
      </c>
      <c r="F89" s="36">
        <v>3.0842000000000001</v>
      </c>
      <c r="G89" s="36">
        <v>9.9560999999999993</v>
      </c>
      <c r="H89" s="36">
        <v>0.12820000000000001</v>
      </c>
      <c r="I89" s="36">
        <v>11.7851</v>
      </c>
      <c r="J89" s="36">
        <v>2.9716999999999998</v>
      </c>
      <c r="K89" s="36">
        <v>1.01E-2</v>
      </c>
      <c r="L89" s="36">
        <v>4.1390000000000002</v>
      </c>
      <c r="M89" s="31"/>
    </row>
    <row r="90" spans="3:13" ht="12.75" hidden="1" customHeight="1">
      <c r="C90" s="7" t="s">
        <v>304</v>
      </c>
      <c r="D90" s="35">
        <v>19.135000000000002</v>
      </c>
      <c r="E90" s="36">
        <v>31.324100000000001</v>
      </c>
      <c r="F90" s="36">
        <v>3.1265999999999998</v>
      </c>
      <c r="G90" s="36">
        <v>10.7485</v>
      </c>
      <c r="H90" s="36">
        <v>0.13300000000000001</v>
      </c>
      <c r="I90" s="36">
        <v>13.3247</v>
      </c>
      <c r="J90" s="36">
        <v>3.206</v>
      </c>
      <c r="K90" s="36">
        <v>1.0800000000000001E-2</v>
      </c>
      <c r="L90" s="36">
        <v>4.1532</v>
      </c>
      <c r="M90" s="31"/>
    </row>
    <row r="91" spans="3:13" ht="12.75" hidden="1" customHeight="1">
      <c r="C91" s="7" t="s">
        <v>305</v>
      </c>
      <c r="D91" s="35">
        <v>25.7864</v>
      </c>
      <c r="E91" s="36">
        <v>42.779699999999998</v>
      </c>
      <c r="F91" s="36">
        <v>3.8372000000000002</v>
      </c>
      <c r="G91" s="36">
        <v>14.3329</v>
      </c>
      <c r="H91" s="36">
        <v>0.18140000000000001</v>
      </c>
      <c r="I91" s="36">
        <v>17.4115</v>
      </c>
      <c r="J91" s="36">
        <v>4.2750000000000004</v>
      </c>
      <c r="K91" s="36">
        <v>1.4500000000000001E-2</v>
      </c>
      <c r="L91" s="36">
        <v>5.3261000000000003</v>
      </c>
      <c r="M91" s="31"/>
    </row>
    <row r="92" spans="3:13" ht="12.75" hidden="1" customHeight="1">
      <c r="C92" s="7" t="s">
        <v>306</v>
      </c>
      <c r="D92" s="35">
        <v>33.478400000000001</v>
      </c>
      <c r="E92" s="36">
        <v>56.792700000000004</v>
      </c>
      <c r="F92" s="36">
        <v>5.7325999999999997</v>
      </c>
      <c r="G92" s="36">
        <v>19.979900000000001</v>
      </c>
      <c r="H92" s="36">
        <v>0.24909999999999999</v>
      </c>
      <c r="I92" s="36">
        <v>24.1799</v>
      </c>
      <c r="J92" s="36">
        <v>5.9574999999999996</v>
      </c>
      <c r="K92" s="36">
        <v>2.0199999999999999E-2</v>
      </c>
      <c r="L92" s="36">
        <v>7.4555999999999996</v>
      </c>
      <c r="M92" s="31"/>
    </row>
    <row r="93" spans="3:13" ht="12.75" hidden="1" customHeight="1">
      <c r="C93" s="7" t="s">
        <v>307</v>
      </c>
      <c r="D93" s="35">
        <v>35.726999999999997</v>
      </c>
      <c r="E93" s="36">
        <v>59.996400000000001</v>
      </c>
      <c r="F93" s="36">
        <v>6.2733999999999996</v>
      </c>
      <c r="G93" s="36">
        <v>21.632999999999999</v>
      </c>
      <c r="H93" s="36">
        <v>0.3085</v>
      </c>
      <c r="I93" s="36">
        <v>26.598400000000002</v>
      </c>
      <c r="J93" s="36">
        <v>6.4558</v>
      </c>
      <c r="K93" s="36">
        <v>2.18E-2</v>
      </c>
      <c r="L93" s="36">
        <v>8.1636000000000006</v>
      </c>
      <c r="M93" s="31"/>
    </row>
    <row r="94" spans="3:13" ht="12.75" hidden="1" customHeight="1">
      <c r="C94" s="7" t="s">
        <v>308</v>
      </c>
      <c r="D94" s="35">
        <v>37.313400000000001</v>
      </c>
      <c r="E94" s="36">
        <v>61.634300000000003</v>
      </c>
      <c r="F94" s="36">
        <v>6.5404</v>
      </c>
      <c r="G94" s="36">
        <v>21.82</v>
      </c>
      <c r="H94" s="36">
        <v>0.30149999999999999</v>
      </c>
      <c r="I94" s="36">
        <v>26.461500000000001</v>
      </c>
      <c r="J94" s="36">
        <v>6.5088999999999997</v>
      </c>
      <c r="K94" s="36">
        <v>2.1999999999999999E-2</v>
      </c>
      <c r="L94" s="36">
        <v>8.4626000000000001</v>
      </c>
      <c r="M94" s="31"/>
    </row>
    <row r="95" spans="3:13" ht="12.75" hidden="1" customHeight="1">
      <c r="C95" s="7" t="s">
        <v>311</v>
      </c>
      <c r="D95" s="35">
        <v>37.369199999999999</v>
      </c>
      <c r="E95" s="36">
        <v>62.249600000000001</v>
      </c>
      <c r="F95" s="36">
        <v>6.3552999999999997</v>
      </c>
      <c r="G95" s="36">
        <v>22.282</v>
      </c>
      <c r="H95" s="36">
        <v>0.32840000000000003</v>
      </c>
      <c r="I95" s="36">
        <v>27.036000000000001</v>
      </c>
      <c r="J95" s="36">
        <v>6.6418999999999997</v>
      </c>
      <c r="K95" s="36">
        <v>2.2499999999999999E-2</v>
      </c>
      <c r="L95" s="36">
        <v>8.3688000000000002</v>
      </c>
      <c r="M95" s="31"/>
    </row>
    <row r="96" spans="3:13" ht="12.75" hidden="1" customHeight="1">
      <c r="C96" s="31"/>
      <c r="D96" s="34"/>
      <c r="E96" s="33"/>
      <c r="F96" s="33"/>
      <c r="G96" s="33"/>
      <c r="H96" s="33"/>
      <c r="I96" s="33"/>
      <c r="K96" s="33"/>
      <c r="L96" s="33"/>
      <c r="M96" s="31"/>
    </row>
    <row r="97" spans="3:13" ht="12.75" hidden="1" customHeight="1">
      <c r="C97" s="15" t="s">
        <v>333</v>
      </c>
      <c r="D97" s="34"/>
      <c r="E97" s="33"/>
      <c r="F97" s="33"/>
      <c r="G97" s="33"/>
      <c r="H97" s="33"/>
      <c r="I97" s="33"/>
      <c r="J97" s="33"/>
      <c r="K97" s="33"/>
      <c r="L97" s="33"/>
      <c r="M97" s="31"/>
    </row>
    <row r="98" spans="3:13" ht="12.75" hidden="1" customHeight="1">
      <c r="C98" s="7"/>
      <c r="D98" s="34"/>
      <c r="E98" s="33"/>
      <c r="F98" s="33"/>
      <c r="G98" s="33"/>
      <c r="H98" s="33"/>
      <c r="I98" s="33"/>
      <c r="J98" s="33"/>
      <c r="K98" s="33"/>
      <c r="L98" s="33"/>
      <c r="M98" s="31"/>
    </row>
    <row r="99" spans="3:13" ht="12.75" hidden="1" customHeight="1">
      <c r="C99" s="7" t="s">
        <v>298</v>
      </c>
      <c r="D99" s="35">
        <v>39.246468</v>
      </c>
      <c r="E99" s="36">
        <v>64.654630999999995</v>
      </c>
      <c r="F99" s="36">
        <v>6.6085349999999998</v>
      </c>
      <c r="G99" s="36">
        <v>22.918983999999998</v>
      </c>
      <c r="H99" s="36">
        <v>0.33806900000000001</v>
      </c>
      <c r="I99" s="36">
        <v>27.830753999999999</v>
      </c>
      <c r="J99" s="36">
        <v>6.5710930000000003</v>
      </c>
      <c r="K99" s="36">
        <v>2.315E-2</v>
      </c>
      <c r="L99" s="36">
        <v>8.6008630000000004</v>
      </c>
      <c r="M99" s="31"/>
    </row>
    <row r="100" spans="3:13" ht="12.75" hidden="1" customHeight="1">
      <c r="C100" s="7" t="s">
        <v>299</v>
      </c>
      <c r="D100" s="35">
        <v>38.505899999999997</v>
      </c>
      <c r="E100" s="36">
        <v>61.594099999999997</v>
      </c>
      <c r="F100" s="36">
        <v>6.2256999999999998</v>
      </c>
      <c r="G100" s="36">
        <v>21.630099999999999</v>
      </c>
      <c r="H100" s="36">
        <v>0.31919999999999998</v>
      </c>
      <c r="I100" s="36">
        <v>26.6145</v>
      </c>
      <c r="J100" s="36">
        <v>6.4492000000000003</v>
      </c>
      <c r="K100" s="36">
        <v>2.18E-2</v>
      </c>
      <c r="L100" s="36">
        <v>8.2652999999999999</v>
      </c>
      <c r="M100" s="31"/>
    </row>
    <row r="101" spans="3:13" ht="12.75" hidden="1" customHeight="1">
      <c r="C101" s="7" t="s">
        <v>300</v>
      </c>
      <c r="D101" s="35">
        <v>38.153300000000002</v>
      </c>
      <c r="E101" s="36">
        <v>61.476500000000001</v>
      </c>
      <c r="F101" s="36">
        <v>6.1437999999999997</v>
      </c>
      <c r="G101" s="36">
        <v>20.929400000000001</v>
      </c>
      <c r="H101" s="36">
        <v>0.31769999999999998</v>
      </c>
      <c r="I101" s="36">
        <v>25.6389</v>
      </c>
      <c r="J101" s="36">
        <v>6.2404000000000002</v>
      </c>
      <c r="K101" s="36">
        <v>2.1100000000000001E-2</v>
      </c>
      <c r="L101" s="36">
        <v>8.14</v>
      </c>
      <c r="M101" s="31"/>
    </row>
    <row r="102" spans="3:13" ht="12.75" hidden="1" customHeight="1">
      <c r="C102" s="7" t="s">
        <v>301</v>
      </c>
      <c r="D102" s="35">
        <v>38.153300000000002</v>
      </c>
      <c r="E102" s="36">
        <v>61.4574</v>
      </c>
      <c r="F102" s="36">
        <v>6.2984999999999998</v>
      </c>
      <c r="G102" s="36">
        <v>20.7315</v>
      </c>
      <c r="H102" s="36">
        <v>0.32</v>
      </c>
      <c r="I102" s="36">
        <v>25.165400000000002</v>
      </c>
      <c r="J102" s="36">
        <v>6.1814</v>
      </c>
      <c r="K102" s="36">
        <v>2.0899999999999998E-2</v>
      </c>
      <c r="L102" s="36">
        <v>8.2621000000000002</v>
      </c>
      <c r="M102" s="31"/>
    </row>
    <row r="103" spans="3:13" ht="12.75" hidden="1" customHeight="1">
      <c r="C103" s="7" t="s">
        <v>302</v>
      </c>
      <c r="D103" s="35">
        <v>38.167900000000003</v>
      </c>
      <c r="E103" s="36">
        <v>61.200299999999999</v>
      </c>
      <c r="F103" s="36">
        <v>6.1363000000000003</v>
      </c>
      <c r="G103" s="36">
        <v>20.423200000000001</v>
      </c>
      <c r="H103" s="36">
        <v>0.3145</v>
      </c>
      <c r="I103" s="36">
        <v>25.077400000000001</v>
      </c>
      <c r="J103" s="36">
        <v>6.0876999999999999</v>
      </c>
      <c r="K103" s="36">
        <v>2.06E-2</v>
      </c>
      <c r="L103" s="36">
        <v>8.0744000000000007</v>
      </c>
      <c r="M103" s="31"/>
    </row>
    <row r="104" spans="3:13" ht="12.75" hidden="1" customHeight="1">
      <c r="C104" s="7" t="s">
        <v>303</v>
      </c>
      <c r="D104" s="35">
        <v>37.965000000000003</v>
      </c>
      <c r="E104" s="36">
        <v>59.770299999999999</v>
      </c>
      <c r="F104" s="36">
        <v>6.2881999999999998</v>
      </c>
      <c r="G104" s="36">
        <v>20.059200000000001</v>
      </c>
      <c r="H104" s="36">
        <v>0.31409999999999999</v>
      </c>
      <c r="I104" s="36">
        <v>24.505400000000002</v>
      </c>
      <c r="J104" s="36">
        <v>5.9809999999999999</v>
      </c>
      <c r="K104" s="36">
        <v>2.0199999999999999E-2</v>
      </c>
      <c r="L104" s="36">
        <v>8.1890000000000001</v>
      </c>
      <c r="M104" s="31"/>
    </row>
    <row r="105" spans="3:13" ht="12.75" hidden="1" customHeight="1">
      <c r="C105" s="7" t="s">
        <v>304</v>
      </c>
      <c r="D105" s="35">
        <v>38.182499999999997</v>
      </c>
      <c r="E105" s="36">
        <v>61.712400000000002</v>
      </c>
      <c r="F105" s="36">
        <v>6.1924000000000001</v>
      </c>
      <c r="G105" s="36">
        <v>20.978200000000001</v>
      </c>
      <c r="H105" s="36">
        <v>0.33160000000000001</v>
      </c>
      <c r="I105" s="36">
        <v>25.677600000000002</v>
      </c>
      <c r="J105" s="36">
        <v>6.2545000000000002</v>
      </c>
      <c r="K105" s="36">
        <v>2.1100000000000001E-2</v>
      </c>
      <c r="L105" s="36">
        <v>8.2111000000000001</v>
      </c>
      <c r="M105" s="31"/>
    </row>
    <row r="106" spans="3:13" ht="12.75" hidden="1" customHeight="1">
      <c r="C106" s="7" t="s">
        <v>305</v>
      </c>
      <c r="D106" s="35">
        <v>38.197000000000003</v>
      </c>
      <c r="E106" s="36">
        <v>60.878500000000003</v>
      </c>
      <c r="F106" s="36">
        <v>6.2721</v>
      </c>
      <c r="G106" s="36">
        <v>20.537099999999999</v>
      </c>
      <c r="H106" s="36">
        <v>0.34420000000000001</v>
      </c>
      <c r="I106" s="36">
        <v>25.1007</v>
      </c>
      <c r="J106" s="36">
        <v>6.1243999999999996</v>
      </c>
      <c r="K106" s="36">
        <v>2.07E-2</v>
      </c>
      <c r="L106" s="36">
        <v>8.2696000000000005</v>
      </c>
      <c r="M106" s="31"/>
    </row>
    <row r="107" spans="3:13" ht="12.75" hidden="1" customHeight="1">
      <c r="C107" s="7" t="s">
        <v>306</v>
      </c>
      <c r="D107" s="35">
        <v>38.109699999999997</v>
      </c>
      <c r="E107" s="36">
        <v>62.673299999999998</v>
      </c>
      <c r="F107" s="36">
        <v>6.3326000000000002</v>
      </c>
      <c r="G107" s="36">
        <v>20.725300000000001</v>
      </c>
      <c r="H107" s="36">
        <v>0.35909999999999997</v>
      </c>
      <c r="I107" s="36">
        <v>25.3263</v>
      </c>
      <c r="J107" s="36">
        <v>6.1795</v>
      </c>
      <c r="K107" s="36">
        <v>2.0899999999999998E-2</v>
      </c>
      <c r="L107" s="36">
        <v>8.3668999999999993</v>
      </c>
      <c r="M107" s="31"/>
    </row>
    <row r="108" spans="3:13" ht="12.75" hidden="1" customHeight="1">
      <c r="C108" s="7" t="s">
        <v>307</v>
      </c>
      <c r="D108" s="35">
        <v>38.138800000000003</v>
      </c>
      <c r="E108" s="36">
        <v>62.5458</v>
      </c>
      <c r="F108" s="36">
        <v>6.2023999999999999</v>
      </c>
      <c r="G108" s="36">
        <v>20.540600000000001</v>
      </c>
      <c r="H108" s="36">
        <v>0.36270000000000002</v>
      </c>
      <c r="I108" s="36">
        <v>25.0534</v>
      </c>
      <c r="J108" s="36">
        <v>6.1243999999999996</v>
      </c>
      <c r="K108" s="36">
        <v>2.07E-2</v>
      </c>
      <c r="L108" s="36">
        <v>8.2798999999999996</v>
      </c>
      <c r="M108" s="31"/>
    </row>
    <row r="109" spans="3:13" ht="12.75" hidden="1" customHeight="1">
      <c r="C109" s="7" t="s">
        <v>308</v>
      </c>
      <c r="D109" s="35">
        <v>38.095199999999998</v>
      </c>
      <c r="E109" s="36">
        <v>61.043799999999997</v>
      </c>
      <c r="F109" s="36">
        <v>6.1592000000000002</v>
      </c>
      <c r="G109" s="36">
        <v>19.662500000000001</v>
      </c>
      <c r="H109" s="36">
        <v>0.37330000000000002</v>
      </c>
      <c r="I109" s="36">
        <v>24.000699999999998</v>
      </c>
      <c r="J109" s="36">
        <v>5.8627000000000002</v>
      </c>
      <c r="K109" s="36">
        <v>1.9800000000000002E-2</v>
      </c>
      <c r="L109" s="36">
        <v>8.2323000000000004</v>
      </c>
      <c r="M109" s="31"/>
    </row>
    <row r="110" spans="3:13" ht="12.75" hidden="1" customHeight="1">
      <c r="C110" s="7" t="s">
        <v>311</v>
      </c>
      <c r="D110" s="35">
        <v>38.138800000000003</v>
      </c>
      <c r="E110" s="36">
        <v>61.758099999999999</v>
      </c>
      <c r="F110" s="36">
        <v>6.1969000000000003</v>
      </c>
      <c r="G110" s="36">
        <v>19.6328</v>
      </c>
      <c r="H110" s="36">
        <v>0.37340000000000001</v>
      </c>
      <c r="I110" s="36">
        <v>23.929400000000001</v>
      </c>
      <c r="J110" s="36">
        <v>5.8536999999999999</v>
      </c>
      <c r="K110" s="36">
        <v>1.9800000000000002E-2</v>
      </c>
      <c r="L110" s="36">
        <v>8.2398000000000007</v>
      </c>
      <c r="M110" s="31"/>
    </row>
    <row r="111" spans="3:13" ht="12.75" hidden="1" customHeight="1">
      <c r="C111" s="7"/>
      <c r="D111" s="35"/>
      <c r="E111" s="36"/>
      <c r="F111" s="36"/>
      <c r="G111" s="36"/>
      <c r="H111" s="36"/>
      <c r="I111" s="36"/>
      <c r="J111" s="36"/>
      <c r="K111" s="36"/>
      <c r="L111" s="36"/>
      <c r="M111" s="31"/>
    </row>
    <row r="112" spans="3:13" ht="12.75" hidden="1" customHeight="1">
      <c r="C112" s="15">
        <v>2000</v>
      </c>
      <c r="D112" s="35"/>
      <c r="E112" s="36"/>
      <c r="F112" s="36"/>
      <c r="G112" s="36"/>
      <c r="H112" s="36"/>
      <c r="I112" s="36"/>
      <c r="J112" s="36"/>
      <c r="K112" s="36"/>
      <c r="L112" s="36"/>
      <c r="M112" s="31"/>
    </row>
    <row r="113" spans="3:13" ht="12.75" hidden="1" customHeight="1">
      <c r="C113" s="7"/>
      <c r="D113" s="35"/>
      <c r="E113" s="36"/>
      <c r="F113" s="36"/>
      <c r="G113" s="36"/>
      <c r="H113" s="36"/>
      <c r="I113" s="36"/>
      <c r="J113" s="36"/>
      <c r="K113" s="36"/>
      <c r="L113" s="36"/>
      <c r="M113" s="31"/>
    </row>
    <row r="114" spans="3:13" ht="12.75" hidden="1" customHeight="1">
      <c r="C114" s="7" t="s">
        <v>298</v>
      </c>
      <c r="D114" s="35">
        <v>38.138800000000003</v>
      </c>
      <c r="E114" s="36">
        <v>61.760100000000001</v>
      </c>
      <c r="F114" s="36">
        <v>6.0136000000000003</v>
      </c>
      <c r="G114" s="36">
        <v>19.0185</v>
      </c>
      <c r="H114" s="36">
        <v>0.35589999999999999</v>
      </c>
      <c r="I114" s="36">
        <v>23.107399999999998</v>
      </c>
      <c r="J114" s="36">
        <v>5.6706000000000003</v>
      </c>
      <c r="K114" s="36">
        <v>1.9199999999999998E-2</v>
      </c>
      <c r="L114" s="36">
        <v>8.2246000000000006</v>
      </c>
      <c r="M114" s="31"/>
    </row>
    <row r="115" spans="3:13" ht="12.75" hidden="1" customHeight="1">
      <c r="C115" s="7" t="s">
        <v>299</v>
      </c>
      <c r="D115" s="35">
        <v>38.109699999999997</v>
      </c>
      <c r="E115" s="36">
        <v>60.845999999999997</v>
      </c>
      <c r="F115" s="36">
        <v>5.9943999999999997</v>
      </c>
      <c r="G115" s="36">
        <v>18.8764</v>
      </c>
      <c r="H115" s="36">
        <v>0.3458</v>
      </c>
      <c r="I115" s="36">
        <v>22.979800000000001</v>
      </c>
      <c r="J115" s="36">
        <v>5.6281999999999996</v>
      </c>
      <c r="K115" s="36">
        <v>1.9E-2</v>
      </c>
      <c r="L115" s="36">
        <v>8.0068000000000001</v>
      </c>
      <c r="M115" s="31"/>
    </row>
    <row r="116" spans="3:13" ht="12.75" hidden="1" customHeight="1">
      <c r="C116" s="7" t="s">
        <v>300</v>
      </c>
      <c r="D116" s="35">
        <v>38.153300000000002</v>
      </c>
      <c r="E116" s="36">
        <v>60.7821</v>
      </c>
      <c r="F116" s="36">
        <v>5.7953000000000001</v>
      </c>
      <c r="G116" s="36">
        <v>18.726900000000001</v>
      </c>
      <c r="H116" s="36">
        <v>0.36270000000000002</v>
      </c>
      <c r="I116" s="36">
        <v>22.979800000000001</v>
      </c>
      <c r="J116" s="36">
        <v>5.5838000000000001</v>
      </c>
      <c r="K116" s="36">
        <v>1.89E-2</v>
      </c>
      <c r="L116" s="36">
        <v>7.8423999999999996</v>
      </c>
      <c r="M116" s="31"/>
    </row>
    <row r="117" spans="3:13" ht="12.75" hidden="1" customHeight="1">
      <c r="C117" s="7" t="s">
        <v>301</v>
      </c>
      <c r="D117" s="35">
        <v>38.167900000000003</v>
      </c>
      <c r="E117" s="36">
        <v>60.017099999999999</v>
      </c>
      <c r="F117" s="36">
        <v>5.5857999999999999</v>
      </c>
      <c r="G117" s="36">
        <v>17.810500000000001</v>
      </c>
      <c r="H117" s="36">
        <v>0.35849999999999999</v>
      </c>
      <c r="I117" s="36">
        <v>22.157800000000002</v>
      </c>
      <c r="J117" s="36">
        <v>5.3102999999999998</v>
      </c>
      <c r="K117" s="36">
        <v>1.7899999999999999E-2</v>
      </c>
      <c r="L117" s="36">
        <v>7.54</v>
      </c>
      <c r="M117" s="31"/>
    </row>
    <row r="118" spans="3:13" ht="12.75" hidden="1" customHeight="1">
      <c r="C118" s="7" t="s">
        <v>302</v>
      </c>
      <c r="D118" s="35">
        <v>38.153300000000002</v>
      </c>
      <c r="E118" s="36">
        <v>57.0869</v>
      </c>
      <c r="F118" s="36">
        <v>5.4581999999999997</v>
      </c>
      <c r="G118" s="36">
        <v>18.127199999999998</v>
      </c>
      <c r="H118" s="36">
        <v>0.35780000000000001</v>
      </c>
      <c r="I118" s="36">
        <v>22.565899999999999</v>
      </c>
      <c r="J118" s="36">
        <v>5.4048999999999996</v>
      </c>
      <c r="K118" s="36">
        <v>1.83E-2</v>
      </c>
      <c r="L118" s="36">
        <v>7.2701000000000002</v>
      </c>
      <c r="M118" s="31"/>
    </row>
    <row r="119" spans="3:13" ht="12.75" hidden="1" customHeight="1">
      <c r="C119" s="7" t="s">
        <v>303</v>
      </c>
      <c r="D119" s="35">
        <v>38.197000000000003</v>
      </c>
      <c r="E119" s="36">
        <v>57.985100000000003</v>
      </c>
      <c r="F119" s="36">
        <v>5.6089000000000002</v>
      </c>
      <c r="G119" s="36">
        <v>18.5946</v>
      </c>
      <c r="H119" s="36">
        <v>0.36180000000000001</v>
      </c>
      <c r="I119" s="36">
        <v>23.357099999999999</v>
      </c>
      <c r="J119" s="36">
        <v>5.5441000000000003</v>
      </c>
      <c r="K119" s="36">
        <v>1.8700000000000001E-2</v>
      </c>
      <c r="L119" s="36">
        <v>7.4618000000000002</v>
      </c>
      <c r="M119" s="31"/>
    </row>
    <row r="120" spans="3:13" ht="12.75" hidden="1" customHeight="1">
      <c r="C120" s="7" t="s">
        <v>304</v>
      </c>
      <c r="D120" s="35">
        <v>38.197000000000003</v>
      </c>
      <c r="E120" s="36">
        <v>57.450299999999999</v>
      </c>
      <c r="F120" s="36">
        <v>5.492</v>
      </c>
      <c r="G120" s="36">
        <v>18.0349</v>
      </c>
      <c r="H120" s="36">
        <v>0.34949999999999998</v>
      </c>
      <c r="I120" s="36">
        <v>22.763400000000001</v>
      </c>
      <c r="J120" s="36">
        <v>5.3773</v>
      </c>
      <c r="K120" s="36">
        <v>1.8200000000000001E-2</v>
      </c>
      <c r="L120" s="36">
        <v>7.3624000000000001</v>
      </c>
      <c r="M120" s="31"/>
    </row>
    <row r="121" spans="3:13" ht="12.75" hidden="1" customHeight="1">
      <c r="C121" s="7" t="s">
        <v>305</v>
      </c>
      <c r="D121" s="35">
        <v>50.200800000000001</v>
      </c>
      <c r="E121" s="36">
        <v>73.137500000000003</v>
      </c>
      <c r="F121" s="36">
        <v>7.2205000000000004</v>
      </c>
      <c r="G121" s="36">
        <v>22.957799999999999</v>
      </c>
      <c r="H121" s="36">
        <v>0.47199999999999998</v>
      </c>
      <c r="I121" s="36">
        <v>29.016100000000002</v>
      </c>
      <c r="J121" s="36">
        <v>6.8452000000000002</v>
      </c>
      <c r="K121" s="36">
        <v>2.3099999999999999E-2</v>
      </c>
      <c r="L121" s="36">
        <v>9.7414000000000005</v>
      </c>
      <c r="M121" s="31"/>
    </row>
    <row r="122" spans="3:13" ht="12.75" hidden="1" customHeight="1">
      <c r="C122" s="7" t="s">
        <v>306</v>
      </c>
      <c r="D122" s="35">
        <v>53.022199999999998</v>
      </c>
      <c r="E122" s="36">
        <v>77.579499999999996</v>
      </c>
      <c r="F122" s="36">
        <v>7.2657999999999996</v>
      </c>
      <c r="G122" s="36">
        <v>23.874199999999998</v>
      </c>
      <c r="H122" s="36">
        <v>0.49159999999999998</v>
      </c>
      <c r="I122" s="36">
        <v>30.645099999999999</v>
      </c>
      <c r="J122" s="36">
        <v>7.1184000000000003</v>
      </c>
      <c r="K122" s="36">
        <v>2.41E-2</v>
      </c>
      <c r="L122" s="36">
        <v>10.098000000000001</v>
      </c>
      <c r="M122" s="31"/>
    </row>
    <row r="123" spans="3:13" ht="12.75" hidden="1" customHeight="1">
      <c r="C123" s="7" t="s">
        <v>307</v>
      </c>
      <c r="D123" s="35">
        <v>54.975200000000001</v>
      </c>
      <c r="E123" s="36">
        <v>79.535399999999996</v>
      </c>
      <c r="F123" s="36">
        <v>7.2382999999999997</v>
      </c>
      <c r="G123" s="36">
        <v>23.595500000000001</v>
      </c>
      <c r="H123" s="36">
        <v>0.50519999999999998</v>
      </c>
      <c r="I123" s="36">
        <v>30.4251</v>
      </c>
      <c r="J123" s="36">
        <v>7.0353000000000003</v>
      </c>
      <c r="K123" s="36">
        <v>2.3800000000000002E-2</v>
      </c>
      <c r="L123" s="36">
        <v>10.206099999999999</v>
      </c>
      <c r="M123" s="31"/>
    </row>
    <row r="124" spans="3:13" ht="12.75" hidden="1" customHeight="1">
      <c r="C124" s="7" t="s">
        <v>308</v>
      </c>
      <c r="D124" s="35">
        <v>55.035699999999999</v>
      </c>
      <c r="E124" s="36">
        <v>78.258099999999999</v>
      </c>
      <c r="F124" s="36">
        <v>7.0675999999999997</v>
      </c>
      <c r="G124" s="36">
        <v>24.193100000000001</v>
      </c>
      <c r="H124" s="36">
        <v>0.49559999999999998</v>
      </c>
      <c r="I124" s="36">
        <v>31.3522</v>
      </c>
      <c r="J124" s="36">
        <v>7.2134</v>
      </c>
      <c r="K124" s="36">
        <v>2.4400000000000002E-2</v>
      </c>
      <c r="L124" s="36">
        <v>10.038500000000001</v>
      </c>
      <c r="M124" s="31"/>
    </row>
    <row r="125" spans="3:13" ht="12.75" hidden="1" customHeight="1">
      <c r="C125" s="7" t="s">
        <v>311</v>
      </c>
      <c r="D125" s="35">
        <v>55.066000000000003</v>
      </c>
      <c r="E125" s="36">
        <v>82.1751</v>
      </c>
      <c r="F125" s="36">
        <v>7.2789999999999999</v>
      </c>
      <c r="G125" s="36">
        <v>26.149000000000001</v>
      </c>
      <c r="H125" s="36">
        <v>0.4798</v>
      </c>
      <c r="I125" s="36">
        <v>33.624000000000002</v>
      </c>
      <c r="J125" s="36">
        <v>7.7965999999999998</v>
      </c>
      <c r="K125" s="36">
        <v>2.64E-2</v>
      </c>
      <c r="L125" s="36">
        <v>10.2643</v>
      </c>
      <c r="M125" s="31"/>
    </row>
    <row r="126" spans="3:13" ht="12.9" hidden="1" customHeight="1">
      <c r="C126" s="7"/>
      <c r="D126" s="35"/>
      <c r="E126" s="36"/>
      <c r="F126" s="36"/>
      <c r="G126" s="36"/>
      <c r="H126" s="36"/>
      <c r="I126" s="36"/>
      <c r="J126" s="36"/>
      <c r="K126" s="36"/>
      <c r="L126" s="36"/>
      <c r="M126" s="31"/>
    </row>
    <row r="127" spans="3:13" ht="12.75" hidden="1" customHeight="1">
      <c r="C127" s="15">
        <v>2001</v>
      </c>
      <c r="D127" s="35"/>
      <c r="E127" s="36"/>
      <c r="F127" s="36"/>
      <c r="G127" s="36"/>
      <c r="H127" s="36"/>
      <c r="I127" s="36"/>
      <c r="J127" s="36"/>
      <c r="K127" s="36"/>
      <c r="L127" s="36"/>
      <c r="M127" s="31"/>
    </row>
    <row r="128" spans="3:13" ht="12.75" hidden="1" customHeight="1">
      <c r="C128" s="7"/>
      <c r="D128" s="35"/>
      <c r="E128" s="36"/>
      <c r="F128" s="36"/>
      <c r="G128" s="36"/>
      <c r="H128" s="36"/>
      <c r="I128" s="36"/>
      <c r="J128" s="36"/>
      <c r="K128" s="36"/>
      <c r="L128" s="36"/>
      <c r="M128" s="31"/>
    </row>
    <row r="129" spans="3:13" ht="12.75" hidden="1" customHeight="1">
      <c r="C129" s="7" t="s">
        <v>298</v>
      </c>
      <c r="D129" s="35">
        <v>55.066000000000003</v>
      </c>
      <c r="E129" s="36">
        <v>80.492800000000003</v>
      </c>
      <c r="F129" s="36">
        <v>7.0688000000000004</v>
      </c>
      <c r="G129" s="36">
        <v>26.092099999999999</v>
      </c>
      <c r="H129" s="36">
        <v>0.47320000000000001</v>
      </c>
      <c r="I129" s="36">
        <v>33.464599999999997</v>
      </c>
      <c r="J129" s="36">
        <v>7.7797999999999998</v>
      </c>
      <c r="K129" s="36">
        <v>2.63E-2</v>
      </c>
      <c r="L129" s="36">
        <v>10.0495</v>
      </c>
      <c r="M129" s="31"/>
    </row>
    <row r="130" spans="3:13" ht="12.75" hidden="1" customHeight="1">
      <c r="C130" s="7" t="s">
        <v>299</v>
      </c>
      <c r="D130" s="35">
        <v>55.066000000000003</v>
      </c>
      <c r="E130" s="36">
        <v>79.421800000000005</v>
      </c>
      <c r="F130" s="36">
        <v>7.1607000000000003</v>
      </c>
      <c r="G130" s="36">
        <v>25.8447</v>
      </c>
      <c r="H130" s="36">
        <v>0.47449999999999998</v>
      </c>
      <c r="I130" s="36">
        <v>32.8536</v>
      </c>
      <c r="J130" s="36">
        <v>7.7058999999999997</v>
      </c>
      <c r="K130" s="36">
        <v>2.6100000000000002E-2</v>
      </c>
      <c r="L130" s="36">
        <v>10.132099999999999</v>
      </c>
      <c r="M130" s="31"/>
    </row>
    <row r="131" spans="3:13" ht="12.75" hidden="1" customHeight="1">
      <c r="C131" s="7" t="s">
        <v>300</v>
      </c>
      <c r="D131" s="35">
        <v>55.096400000000003</v>
      </c>
      <c r="E131" s="36">
        <v>78.603300000000004</v>
      </c>
      <c r="F131" s="36">
        <v>6.8441999999999998</v>
      </c>
      <c r="G131" s="36">
        <v>24.762899999999998</v>
      </c>
      <c r="H131" s="36">
        <v>0.442</v>
      </c>
      <c r="I131" s="36">
        <v>31.779599999999999</v>
      </c>
      <c r="J131" s="36">
        <v>7.3834999999999997</v>
      </c>
      <c r="K131" s="36">
        <v>2.5010000000000001E-2</v>
      </c>
      <c r="L131" s="36">
        <v>9.7520000000000007</v>
      </c>
      <c r="M131" s="31"/>
    </row>
    <row r="132" spans="3:13" ht="12.75" hidden="1" customHeight="1">
      <c r="C132" s="7" t="s">
        <v>301</v>
      </c>
      <c r="D132" s="35">
        <v>55.066000000000003</v>
      </c>
      <c r="E132" s="36">
        <v>79.036299999999997</v>
      </c>
      <c r="F132" s="36">
        <v>6.9058999999999999</v>
      </c>
      <c r="G132" s="36">
        <v>25.0761</v>
      </c>
      <c r="H132" s="36">
        <v>0.4446</v>
      </c>
      <c r="I132" s="36">
        <v>31.9131</v>
      </c>
      <c r="J132" s="36">
        <v>7.4767000000000001</v>
      </c>
      <c r="K132" s="36">
        <v>2.53E-2</v>
      </c>
      <c r="L132" s="36">
        <v>9.8264999999999993</v>
      </c>
      <c r="M132" s="31"/>
    </row>
    <row r="133" spans="3:13" ht="12.75" hidden="1" customHeight="1">
      <c r="C133" s="7" t="s">
        <v>302</v>
      </c>
      <c r="D133" s="35">
        <v>55.066000000000003</v>
      </c>
      <c r="E133" s="36">
        <v>78.383799999999994</v>
      </c>
      <c r="F133" s="36">
        <v>6.8832000000000004</v>
      </c>
      <c r="G133" s="36">
        <v>23.9923</v>
      </c>
      <c r="H133" s="36">
        <v>0.46210000000000001</v>
      </c>
      <c r="I133" s="36">
        <v>30.802700000000002</v>
      </c>
      <c r="J133" s="36">
        <v>7.1536</v>
      </c>
      <c r="K133" s="36">
        <v>2.4199999999999999E-2</v>
      </c>
      <c r="L133" s="36">
        <v>9.7906999999999993</v>
      </c>
      <c r="M133" s="31"/>
    </row>
    <row r="134" spans="3:13" ht="12.75" hidden="1" customHeight="1">
      <c r="C134" s="7" t="s">
        <v>303</v>
      </c>
      <c r="D134" s="35">
        <v>55.066000000000003</v>
      </c>
      <c r="E134" s="36">
        <v>77.480699999999999</v>
      </c>
      <c r="F134" s="36">
        <v>6.8217999999999996</v>
      </c>
      <c r="G134" s="36">
        <v>23.813300000000002</v>
      </c>
      <c r="H134" s="36">
        <v>0.44400000000000001</v>
      </c>
      <c r="I134" s="36">
        <v>30.6143</v>
      </c>
      <c r="J134" s="36">
        <v>7.1002999999999998</v>
      </c>
      <c r="K134" s="36">
        <v>2.4E-2</v>
      </c>
      <c r="L134" s="36">
        <v>9.6971000000000007</v>
      </c>
      <c r="M134" s="31"/>
    </row>
    <row r="135" spans="3:13" ht="12.75" hidden="1" customHeight="1">
      <c r="C135" s="7" t="s">
        <v>304</v>
      </c>
      <c r="D135" s="35">
        <v>55.005499999999998</v>
      </c>
      <c r="E135" s="36">
        <v>78.536799999999999</v>
      </c>
      <c r="F135" s="36">
        <v>6.6780999999999997</v>
      </c>
      <c r="G135" s="36">
        <v>24.619199999999999</v>
      </c>
      <c r="H135" s="36">
        <v>0.44040000000000001</v>
      </c>
      <c r="I135" s="36">
        <v>31.872399999999999</v>
      </c>
      <c r="J135" s="36">
        <v>7.3406000000000002</v>
      </c>
      <c r="K135" s="36">
        <v>2.4799999999999999E-2</v>
      </c>
      <c r="L135" s="36">
        <v>9.5957000000000008</v>
      </c>
      <c r="M135" s="31"/>
    </row>
    <row r="136" spans="3:13" ht="12.75" hidden="1" customHeight="1">
      <c r="C136" s="7" t="s">
        <v>305</v>
      </c>
      <c r="D136" s="35">
        <v>55.035699999999999</v>
      </c>
      <c r="E136" s="36">
        <v>80.357699999999994</v>
      </c>
      <c r="F136" s="36">
        <v>6.5759999999999996</v>
      </c>
      <c r="G136" s="36">
        <v>25.8553</v>
      </c>
      <c r="H136" s="36">
        <v>0.46310000000000001</v>
      </c>
      <c r="I136" s="36">
        <v>33.360999999999997</v>
      </c>
      <c r="J136" s="36">
        <v>7.7092000000000001</v>
      </c>
      <c r="K136" s="36">
        <v>2.6100000000000002E-2</v>
      </c>
      <c r="L136" s="36">
        <v>9.5927000000000007</v>
      </c>
      <c r="M136" s="31"/>
    </row>
    <row r="137" spans="3:13" ht="12.75" hidden="1" customHeight="1">
      <c r="C137" s="7" t="s">
        <v>306</v>
      </c>
      <c r="D137" s="35">
        <v>55.035772999999999</v>
      </c>
      <c r="E137" s="36">
        <v>80.883324000000002</v>
      </c>
      <c r="F137" s="36">
        <v>6.106401</v>
      </c>
      <c r="G137" s="36">
        <v>25.747128</v>
      </c>
      <c r="H137" s="36">
        <v>0.46196100000000001</v>
      </c>
      <c r="I137" s="36">
        <v>34.082098999999999</v>
      </c>
      <c r="J137" s="36">
        <v>7.6770180000000003</v>
      </c>
      <c r="K137" s="36">
        <v>2.6008E-2</v>
      </c>
      <c r="L137" s="36">
        <v>9.1717119999999994</v>
      </c>
      <c r="M137" s="31"/>
    </row>
    <row r="138" spans="3:13" ht="12.75" hidden="1" customHeight="1">
      <c r="C138" s="7" t="s">
        <v>307</v>
      </c>
      <c r="D138" s="35">
        <v>55.035772999999999</v>
      </c>
      <c r="E138" s="36">
        <v>80.002751000000004</v>
      </c>
      <c r="F138" s="36">
        <v>5.8486479999999998</v>
      </c>
      <c r="G138" s="36">
        <v>25.529164999999999</v>
      </c>
      <c r="H138" s="36">
        <v>0.45176100000000002</v>
      </c>
      <c r="I138" s="36">
        <v>33.932901999999999</v>
      </c>
      <c r="J138" s="36">
        <v>7.6119300000000001</v>
      </c>
      <c r="K138" s="36">
        <v>2.5787000000000001E-2</v>
      </c>
      <c r="L138" s="36">
        <v>8.9157949999999992</v>
      </c>
      <c r="M138" s="31"/>
    </row>
    <row r="139" spans="3:13" ht="12.75" hidden="1" customHeight="1">
      <c r="C139" s="7" t="s">
        <v>308</v>
      </c>
      <c r="D139" s="35">
        <v>55.035699999999999</v>
      </c>
      <c r="E139" s="36">
        <v>78.406700000000001</v>
      </c>
      <c r="F139" s="36">
        <v>5.3609</v>
      </c>
      <c r="G139" s="36">
        <v>24.959499999999998</v>
      </c>
      <c r="H139" s="36">
        <v>0.44379999999999997</v>
      </c>
      <c r="I139" s="36">
        <v>33.2361</v>
      </c>
      <c r="J139" s="36">
        <v>7.4420000000000002</v>
      </c>
      <c r="K139" s="36">
        <v>2.52E-2</v>
      </c>
      <c r="L139" s="36">
        <v>8.4368999999999996</v>
      </c>
      <c r="M139" s="31"/>
    </row>
    <row r="140" spans="3:13" ht="12.75" hidden="1" customHeight="1">
      <c r="C140" s="7" t="s">
        <v>311</v>
      </c>
      <c r="D140" s="35">
        <v>55.035699999999999</v>
      </c>
      <c r="E140" s="36">
        <v>79.774299999999997</v>
      </c>
      <c r="F140" s="36">
        <v>4.5843999999999996</v>
      </c>
      <c r="G140" s="36">
        <v>24.918800000000001</v>
      </c>
      <c r="H140" s="36">
        <v>0.41909999999999997</v>
      </c>
      <c r="I140" s="36">
        <v>32.914099999999998</v>
      </c>
      <c r="J140" s="36">
        <v>7.4298000000000002</v>
      </c>
      <c r="K140" s="36">
        <v>2.5100000000000001E-2</v>
      </c>
      <c r="L140" s="36">
        <v>7.8811</v>
      </c>
      <c r="M140" s="31"/>
    </row>
    <row r="141" spans="3:13" ht="12.75" hidden="1" customHeight="1">
      <c r="C141" s="7"/>
      <c r="D141" s="35"/>
      <c r="E141" s="36"/>
      <c r="F141" s="36"/>
      <c r="G141" s="36"/>
      <c r="H141" s="36"/>
      <c r="I141" s="36"/>
      <c r="J141" s="36"/>
      <c r="K141" s="36"/>
      <c r="L141" s="36"/>
      <c r="M141" s="31"/>
    </row>
    <row r="142" spans="3:13" ht="12.9" customHeight="1">
      <c r="C142" s="15">
        <v>2002</v>
      </c>
      <c r="D142" s="35"/>
      <c r="E142" s="36"/>
      <c r="F142" s="36"/>
      <c r="G142" s="36"/>
      <c r="H142" s="36"/>
      <c r="I142" s="36"/>
      <c r="J142" s="36"/>
      <c r="K142" s="36"/>
      <c r="L142" s="36"/>
      <c r="M142" s="31"/>
    </row>
    <row r="143" spans="3:13" ht="12.9" customHeight="1">
      <c r="C143" s="15"/>
      <c r="D143" s="35"/>
      <c r="E143" s="36"/>
      <c r="F143" s="36"/>
      <c r="G143" s="36"/>
      <c r="H143" s="36"/>
      <c r="I143" s="36"/>
      <c r="J143" s="36"/>
      <c r="K143" s="36"/>
      <c r="L143" s="36"/>
      <c r="M143" s="31"/>
    </row>
    <row r="144" spans="3:13" ht="15.6">
      <c r="C144" s="7" t="s">
        <v>298</v>
      </c>
      <c r="D144" s="35">
        <v>55.035699999999999</v>
      </c>
      <c r="E144" s="36">
        <v>77.8536</v>
      </c>
      <c r="F144" s="36">
        <v>4.8045</v>
      </c>
      <c r="G144" s="36">
        <v>24.279499999999999</v>
      </c>
      <c r="H144" s="36">
        <v>0.41420000000000001</v>
      </c>
      <c r="I144" s="36">
        <v>32.224200000000003</v>
      </c>
      <c r="J144" s="36">
        <v>7.2393999999999998</v>
      </c>
      <c r="K144" s="36">
        <v>2.4500000000000001E-2</v>
      </c>
      <c r="L144" s="36">
        <v>8.1095000000000006</v>
      </c>
      <c r="M144" s="31"/>
    </row>
    <row r="145" spans="3:13" ht="15.6">
      <c r="C145" s="7" t="s">
        <v>299</v>
      </c>
      <c r="D145" s="35">
        <v>55.035699999999999</v>
      </c>
      <c r="E145" s="36">
        <v>78.093000000000004</v>
      </c>
      <c r="F145" s="36">
        <v>4.8129</v>
      </c>
      <c r="G145" s="36">
        <v>24.323499999999999</v>
      </c>
      <c r="H145" s="36">
        <v>0.41049999999999998</v>
      </c>
      <c r="I145" s="36">
        <v>32.222299999999997</v>
      </c>
      <c r="J145" s="36">
        <v>7.2523999999999997</v>
      </c>
      <c r="K145" s="36">
        <v>2.4500000000000001E-2</v>
      </c>
      <c r="L145" s="36">
        <v>8.1176999999999992</v>
      </c>
      <c r="M145" s="31"/>
    </row>
    <row r="146" spans="3:13" ht="15.6">
      <c r="C146" s="7" t="s">
        <v>300</v>
      </c>
      <c r="D146" s="35">
        <v>55.035699999999999</v>
      </c>
      <c r="E146" s="36">
        <v>78.489199999999997</v>
      </c>
      <c r="F146" s="36">
        <v>4.8254999999999999</v>
      </c>
      <c r="G146" s="36">
        <v>24.832799999999999</v>
      </c>
      <c r="H146" s="36">
        <v>0.41510000000000002</v>
      </c>
      <c r="I146" s="36">
        <v>32.804200000000002</v>
      </c>
      <c r="J146" s="36">
        <v>7.4042000000000003</v>
      </c>
      <c r="K146" s="36">
        <v>2.5000000000000001E-2</v>
      </c>
      <c r="L146" s="36">
        <v>8.1341999999999999</v>
      </c>
      <c r="M146" s="31"/>
    </row>
    <row r="147" spans="3:13" ht="15.6">
      <c r="C147" s="7" t="s">
        <v>301</v>
      </c>
      <c r="D147" s="35">
        <v>55.035699999999999</v>
      </c>
      <c r="E147" s="36">
        <v>80.181600000000003</v>
      </c>
      <c r="F147" s="36">
        <v>5.1896000000000004</v>
      </c>
      <c r="G147" s="36">
        <v>24.832799999999999</v>
      </c>
      <c r="H147" s="36">
        <v>0.43</v>
      </c>
      <c r="I147" s="36">
        <v>33.9465</v>
      </c>
      <c r="J147" s="36">
        <v>7.4042000000000003</v>
      </c>
      <c r="K147" s="36">
        <v>2.5000000000000001E-2</v>
      </c>
      <c r="L147" s="36">
        <v>8.58</v>
      </c>
      <c r="M147" s="31"/>
    </row>
    <row r="148" spans="3:13" ht="15.6">
      <c r="C148" s="7" t="s">
        <v>302</v>
      </c>
      <c r="D148" s="35">
        <v>55.035699999999999</v>
      </c>
      <c r="E148" s="36">
        <v>80.375799999999998</v>
      </c>
      <c r="F148" s="36">
        <v>5.4142000000000001</v>
      </c>
      <c r="G148" s="36">
        <v>24.832799999999999</v>
      </c>
      <c r="H148" s="36">
        <v>0.4345</v>
      </c>
      <c r="I148" s="36">
        <v>34.640500000000003</v>
      </c>
      <c r="J148" s="36">
        <v>7.4042000000000003</v>
      </c>
      <c r="K148" s="36">
        <v>2.5000000000000001E-2</v>
      </c>
      <c r="L148" s="36">
        <v>8.8244000000000007</v>
      </c>
      <c r="M148" s="31"/>
    </row>
    <row r="149" spans="3:13" ht="15.6">
      <c r="C149" s="7" t="s">
        <v>303</v>
      </c>
      <c r="D149" s="35">
        <v>55.035699999999999</v>
      </c>
      <c r="E149" s="36">
        <v>84.020300000000006</v>
      </c>
      <c r="F149" s="36">
        <v>5.3083999999999998</v>
      </c>
      <c r="G149" s="36">
        <v>24.832799999999999</v>
      </c>
      <c r="H149" s="36">
        <v>0.46060000000000001</v>
      </c>
      <c r="I149" s="36">
        <v>36.924300000000002</v>
      </c>
      <c r="J149" s="36">
        <v>7.4042000000000003</v>
      </c>
      <c r="K149" s="36">
        <v>2.5000000000000001E-2</v>
      </c>
      <c r="L149" s="36">
        <v>8.8056999999999999</v>
      </c>
      <c r="M149" s="31"/>
    </row>
    <row r="150" spans="3:13" ht="15.6">
      <c r="C150" s="7" t="s">
        <v>304</v>
      </c>
      <c r="D150" s="35">
        <v>55.035699999999999</v>
      </c>
      <c r="E150" s="36">
        <v>86.571200000000005</v>
      </c>
      <c r="F150" s="36">
        <v>5.4195000000000002</v>
      </c>
      <c r="G150" s="36">
        <v>24.832799999999999</v>
      </c>
      <c r="H150" s="36">
        <v>0.46079999999999999</v>
      </c>
      <c r="I150" s="36">
        <v>37.146099999999997</v>
      </c>
      <c r="J150" s="36">
        <v>7.4042000000000003</v>
      </c>
      <c r="K150" s="36">
        <v>2.5000000000000001E-2</v>
      </c>
      <c r="L150" s="36">
        <v>8.9708000000000006</v>
      </c>
      <c r="M150" s="31"/>
    </row>
    <row r="151" spans="3:13" ht="15.6">
      <c r="C151" s="7" t="s">
        <v>305</v>
      </c>
      <c r="D151" s="35">
        <v>55.035699999999999</v>
      </c>
      <c r="E151" s="36">
        <v>85.242099999999994</v>
      </c>
      <c r="F151" s="36">
        <v>5.1820000000000004</v>
      </c>
      <c r="G151" s="36">
        <v>24.832799999999999</v>
      </c>
      <c r="H151" s="36">
        <v>0.4667</v>
      </c>
      <c r="I151" s="36">
        <v>36.863700000000001</v>
      </c>
      <c r="J151" s="36">
        <v>7.4042000000000003</v>
      </c>
      <c r="K151" s="36">
        <v>2.5000000000000001E-2</v>
      </c>
      <c r="L151" s="36">
        <v>8.7175999999999991</v>
      </c>
      <c r="M151" s="31"/>
    </row>
    <row r="152" spans="3:13" ht="15.6">
      <c r="C152" s="7" t="s">
        <v>306</v>
      </c>
      <c r="D152" s="35">
        <v>55.035699999999999</v>
      </c>
      <c r="E152" s="36">
        <v>86.128200000000007</v>
      </c>
      <c r="F152" s="36">
        <v>5.2117000000000004</v>
      </c>
      <c r="G152" s="36">
        <v>24.832799999999999</v>
      </c>
      <c r="H152" s="36">
        <v>0.45319999999999999</v>
      </c>
      <c r="I152" s="36">
        <v>36.947899999999997</v>
      </c>
      <c r="J152" s="36">
        <v>7.4042000000000003</v>
      </c>
      <c r="K152" s="36">
        <v>2.5000000000000001E-2</v>
      </c>
      <c r="L152" s="36">
        <v>8.7615999999999996</v>
      </c>
      <c r="M152" s="31"/>
    </row>
    <row r="153" spans="3:13" ht="15.6">
      <c r="C153" s="7" t="s">
        <v>307</v>
      </c>
      <c r="D153" s="35">
        <v>55.035699999999999</v>
      </c>
      <c r="E153" s="36">
        <v>85.841999999999999</v>
      </c>
      <c r="F153" s="36">
        <v>5.4425999999999997</v>
      </c>
      <c r="G153" s="36">
        <v>24.832799999999999</v>
      </c>
      <c r="H153" s="36">
        <v>0.44940000000000002</v>
      </c>
      <c r="I153" s="36">
        <v>37.1023</v>
      </c>
      <c r="J153" s="36">
        <v>7.4042000000000003</v>
      </c>
      <c r="K153" s="36">
        <v>2.5000000000000001E-2</v>
      </c>
      <c r="L153" s="36">
        <v>8.9872999999999994</v>
      </c>
      <c r="M153" s="31"/>
    </row>
    <row r="154" spans="3:13" ht="15.6">
      <c r="C154" s="7" t="s">
        <v>308</v>
      </c>
      <c r="D154" s="35">
        <v>55.035699999999999</v>
      </c>
      <c r="E154" s="36">
        <v>85.393500000000003</v>
      </c>
      <c r="F154" s="36">
        <v>5.9272999999999998</v>
      </c>
      <c r="G154" s="36">
        <v>24.832799999999999</v>
      </c>
      <c r="H154" s="36">
        <v>0.45</v>
      </c>
      <c r="I154" s="36">
        <v>37.082299999999996</v>
      </c>
      <c r="J154" s="36">
        <v>7.4042000000000003</v>
      </c>
      <c r="K154" s="36">
        <v>2.5000000000000001E-2</v>
      </c>
      <c r="L154" s="36">
        <v>9.5155999999999992</v>
      </c>
      <c r="M154" s="31"/>
    </row>
    <row r="155" spans="3:13" ht="15.6">
      <c r="C155" s="7" t="s">
        <v>311</v>
      </c>
      <c r="D155" s="35">
        <v>55.035699999999999</v>
      </c>
      <c r="E155" s="36">
        <v>88.269099999999995</v>
      </c>
      <c r="F155" s="36">
        <v>6.3697999999999997</v>
      </c>
      <c r="G155" s="36">
        <v>24.832799999999999</v>
      </c>
      <c r="H155" s="36">
        <v>0.46439999999999998</v>
      </c>
      <c r="I155" s="36">
        <v>39.681100000000001</v>
      </c>
      <c r="J155" s="36">
        <v>7.4042000000000003</v>
      </c>
      <c r="K155" s="36">
        <v>2.5000000000000001E-2</v>
      </c>
      <c r="L155" s="36">
        <v>10.066000000000001</v>
      </c>
      <c r="M155" s="31"/>
    </row>
    <row r="156" spans="3:13" ht="12.9" customHeight="1">
      <c r="C156" s="7"/>
      <c r="D156" s="35"/>
      <c r="E156" s="36"/>
      <c r="F156" s="36"/>
      <c r="G156" s="36"/>
      <c r="H156" s="36"/>
      <c r="I156" s="36"/>
      <c r="J156" s="36"/>
      <c r="K156" s="36"/>
      <c r="L156" s="36"/>
      <c r="M156" s="31"/>
    </row>
    <row r="157" spans="3:13" ht="12.9" customHeight="1">
      <c r="C157" s="15">
        <v>2003</v>
      </c>
      <c r="D157" s="35"/>
      <c r="E157" s="36"/>
      <c r="F157" s="36"/>
      <c r="G157" s="36"/>
      <c r="H157" s="36"/>
      <c r="I157" s="36"/>
      <c r="J157" s="36"/>
      <c r="K157" s="36"/>
      <c r="L157" s="36"/>
      <c r="M157" s="31"/>
    </row>
    <row r="158" spans="3:13" ht="12.9" customHeight="1">
      <c r="C158" s="15"/>
      <c r="D158" s="35"/>
      <c r="E158" s="36"/>
      <c r="F158" s="36"/>
      <c r="G158" s="36"/>
      <c r="H158" s="36"/>
      <c r="I158" s="36"/>
      <c r="J158" s="36"/>
      <c r="K158" s="36"/>
      <c r="L158" s="36"/>
      <c r="M158" s="31"/>
    </row>
    <row r="159" spans="3:13" ht="15.6">
      <c r="C159" s="7" t="s">
        <v>298</v>
      </c>
      <c r="D159" s="35">
        <v>55.035699999999999</v>
      </c>
      <c r="E159" s="36">
        <v>90.583299999999994</v>
      </c>
      <c r="F159" s="36">
        <v>6.3723999999999998</v>
      </c>
      <c r="G159" s="36">
        <v>24.832799999999999</v>
      </c>
      <c r="H159" s="36">
        <v>0.46139999999999998</v>
      </c>
      <c r="I159" s="36">
        <v>40.271999999999998</v>
      </c>
      <c r="J159" s="36">
        <v>7.4042000000000003</v>
      </c>
      <c r="K159" s="36">
        <v>2.5000000000000001E-2</v>
      </c>
      <c r="L159" s="36">
        <v>10.1265</v>
      </c>
      <c r="M159" s="31"/>
    </row>
    <row r="160" spans="3:13" ht="15.6">
      <c r="C160" s="7" t="s">
        <v>299</v>
      </c>
      <c r="D160" s="35">
        <v>55.035699999999999</v>
      </c>
      <c r="E160" s="36">
        <v>86.8767</v>
      </c>
      <c r="F160" s="36">
        <v>6.8750999999999998</v>
      </c>
      <c r="G160" s="36">
        <v>24.832799999999999</v>
      </c>
      <c r="H160" s="36">
        <v>0.46760000000000002</v>
      </c>
      <c r="I160" s="36">
        <v>40.445099999999996</v>
      </c>
      <c r="J160" s="36">
        <v>7.4042000000000003</v>
      </c>
      <c r="K160" s="36">
        <v>2.5000000000000001E-2</v>
      </c>
      <c r="L160" s="36">
        <v>10.6136</v>
      </c>
      <c r="M160" s="31"/>
    </row>
    <row r="161" spans="3:13" ht="15.6">
      <c r="C161" s="7" t="s">
        <v>300</v>
      </c>
      <c r="D161" s="35">
        <v>826.44619999999998</v>
      </c>
      <c r="E161" s="36">
        <v>1303.1404</v>
      </c>
      <c r="F161" s="36">
        <v>103.78440000000001</v>
      </c>
      <c r="G161" s="36">
        <v>372.90300000000002</v>
      </c>
      <c r="H161" s="36">
        <v>6.9335000000000004</v>
      </c>
      <c r="I161" s="36">
        <v>606.76639999999998</v>
      </c>
      <c r="J161" s="36">
        <v>111.18680000000001</v>
      </c>
      <c r="K161" s="36">
        <v>0.37659999999999999</v>
      </c>
      <c r="L161" s="36">
        <v>159.95859999999999</v>
      </c>
      <c r="M161" s="31"/>
    </row>
    <row r="162" spans="3:13" ht="15.6">
      <c r="C162" s="7" t="s">
        <v>301</v>
      </c>
      <c r="D162" s="35">
        <v>826.44619999999998</v>
      </c>
      <c r="E162" s="36">
        <v>1318.9256</v>
      </c>
      <c r="F162" s="36">
        <v>116.5963</v>
      </c>
      <c r="G162" s="36">
        <v>372.90300000000002</v>
      </c>
      <c r="H162" s="36">
        <v>6.9276999999999997</v>
      </c>
      <c r="I162" s="36">
        <v>607.90449999999998</v>
      </c>
      <c r="J162" s="36">
        <v>111.18680000000001</v>
      </c>
      <c r="K162" s="36">
        <v>0.37659999999999999</v>
      </c>
      <c r="L162" s="36">
        <v>173.3057</v>
      </c>
      <c r="M162" s="31"/>
    </row>
    <row r="163" spans="3:13" ht="15.6">
      <c r="C163" s="7" t="s">
        <v>302</v>
      </c>
      <c r="D163" s="35">
        <v>826.44619999999998</v>
      </c>
      <c r="E163" s="36">
        <v>1340.1197999999999</v>
      </c>
      <c r="F163" s="36">
        <v>101.70010000000001</v>
      </c>
      <c r="G163" s="36">
        <v>372.90300000000002</v>
      </c>
      <c r="H163" s="36">
        <v>7.0560999999999998</v>
      </c>
      <c r="I163" s="36">
        <v>643.32399999999996</v>
      </c>
      <c r="J163" s="36">
        <v>111.18680000000001</v>
      </c>
      <c r="K163" s="36">
        <v>0.37659999999999999</v>
      </c>
      <c r="L163" s="36">
        <v>162.39660000000001</v>
      </c>
      <c r="M163" s="31"/>
    </row>
    <row r="164" spans="3:13" ht="15.6">
      <c r="C164" s="7" t="s">
        <v>303</v>
      </c>
      <c r="D164" s="35">
        <v>826.44619999999998</v>
      </c>
      <c r="E164" s="36">
        <v>1366.0329999999999</v>
      </c>
      <c r="F164" s="36">
        <v>110.5613</v>
      </c>
      <c r="G164" s="36">
        <v>372.90300000000002</v>
      </c>
      <c r="H164" s="36">
        <v>6.8971</v>
      </c>
      <c r="I164" s="36">
        <v>611.29939999999999</v>
      </c>
      <c r="J164" s="36">
        <v>111.18680000000001</v>
      </c>
      <c r="K164" s="36">
        <v>0.37659999999999999</v>
      </c>
      <c r="L164" s="36">
        <v>168.22309999999999</v>
      </c>
      <c r="M164" s="31"/>
    </row>
    <row r="165" spans="3:13" ht="15.6">
      <c r="C165" s="7" t="s">
        <v>304</v>
      </c>
      <c r="D165" s="35">
        <v>826.44619999999998</v>
      </c>
      <c r="E165" s="36">
        <v>1333.3471</v>
      </c>
      <c r="F165" s="36">
        <v>111.6819</v>
      </c>
      <c r="G165" s="36">
        <v>372.90300000000002</v>
      </c>
      <c r="H165" s="36">
        <v>6.8902000000000001</v>
      </c>
      <c r="I165" s="36">
        <v>604.98969999999997</v>
      </c>
      <c r="J165" s="36">
        <v>111.18680000000001</v>
      </c>
      <c r="K165" s="36">
        <v>0.37659999999999999</v>
      </c>
      <c r="L165" s="36">
        <v>169.17349999999999</v>
      </c>
      <c r="M165" s="31"/>
    </row>
    <row r="166" spans="3:13" ht="15.6">
      <c r="C166" s="7" t="s">
        <v>305</v>
      </c>
      <c r="D166" s="35">
        <v>826.44619999999998</v>
      </c>
      <c r="E166" s="36">
        <v>1303.5536999999999</v>
      </c>
      <c r="F166" s="36">
        <v>112.2873</v>
      </c>
      <c r="G166" s="36">
        <v>372.90300000000002</v>
      </c>
      <c r="H166" s="36">
        <v>7.06</v>
      </c>
      <c r="I166" s="36">
        <v>584.61869999999999</v>
      </c>
      <c r="J166" s="36">
        <v>111.18680000000001</v>
      </c>
      <c r="K166" s="36">
        <v>0.37659999999999999</v>
      </c>
      <c r="L166" s="36">
        <v>169.04949999999999</v>
      </c>
      <c r="M166" s="31"/>
    </row>
    <row r="167" spans="3:13" ht="15.6">
      <c r="C167" s="7" t="s">
        <v>306</v>
      </c>
      <c r="D167" s="35">
        <v>826.44619999999998</v>
      </c>
      <c r="E167" s="36">
        <v>1371.4875999999999</v>
      </c>
      <c r="F167" s="36">
        <v>116.0934</v>
      </c>
      <c r="G167" s="36">
        <v>372.90300000000002</v>
      </c>
      <c r="H167" s="36">
        <v>7.3704000000000001</v>
      </c>
      <c r="I167" s="36">
        <v>613.7509</v>
      </c>
      <c r="J167" s="36">
        <v>111.18680000000001</v>
      </c>
      <c r="K167" s="36">
        <v>0.37659999999999999</v>
      </c>
      <c r="L167" s="36">
        <v>170.4545</v>
      </c>
      <c r="M167" s="31"/>
    </row>
    <row r="168" spans="3:13" ht="15.6">
      <c r="C168" s="7" t="s">
        <v>307</v>
      </c>
      <c r="D168" s="35">
        <v>826.44619999999998</v>
      </c>
      <c r="E168" s="36">
        <v>1401.4875999999999</v>
      </c>
      <c r="F168" s="36">
        <v>119.515</v>
      </c>
      <c r="G168" s="36">
        <v>372.90300000000002</v>
      </c>
      <c r="H168" s="36">
        <v>7.5768000000000004</v>
      </c>
      <c r="I168" s="36">
        <v>619.50170000000003</v>
      </c>
      <c r="J168" s="36">
        <v>111.18680000000001</v>
      </c>
      <c r="K168" s="36">
        <v>0.37659999999999999</v>
      </c>
      <c r="L168" s="36">
        <v>179.876</v>
      </c>
      <c r="M168" s="31"/>
    </row>
    <row r="169" spans="3:13" ht="15.6">
      <c r="C169" s="7" t="s">
        <v>308</v>
      </c>
      <c r="D169" s="35">
        <v>826.44619999999998</v>
      </c>
      <c r="E169" s="36">
        <v>1417.7272</v>
      </c>
      <c r="F169" s="36">
        <v>129.03139999999999</v>
      </c>
      <c r="G169" s="36">
        <v>372.90300000000002</v>
      </c>
      <c r="H169" s="36">
        <v>7.5511999999999997</v>
      </c>
      <c r="I169" s="36">
        <v>636.58479999999997</v>
      </c>
      <c r="J169" s="36">
        <v>111.18680000000001</v>
      </c>
      <c r="K169" s="36">
        <v>0.37659999999999999</v>
      </c>
      <c r="L169" s="36">
        <v>187.93379999999999</v>
      </c>
      <c r="M169" s="31"/>
    </row>
    <row r="170" spans="3:13" ht="15.6">
      <c r="C170" s="7" t="s">
        <v>311</v>
      </c>
      <c r="D170" s="35">
        <v>826.44619999999998</v>
      </c>
      <c r="E170" s="36">
        <v>1471.7768000000001</v>
      </c>
      <c r="F170" s="36">
        <v>125.12430000000001</v>
      </c>
      <c r="G170" s="36">
        <v>372.90300000000002</v>
      </c>
      <c r="H170" s="36">
        <v>7.7291999999999996</v>
      </c>
      <c r="I170" s="36">
        <v>666.8922</v>
      </c>
      <c r="J170" s="36">
        <v>111.18680000000001</v>
      </c>
      <c r="K170" s="36">
        <v>0.37659999999999999</v>
      </c>
      <c r="L170" s="36">
        <v>186.07429999999999</v>
      </c>
      <c r="M170" s="31"/>
    </row>
    <row r="171" spans="3:13" ht="15.6">
      <c r="C171" s="7"/>
      <c r="D171" s="35"/>
      <c r="E171" s="36"/>
      <c r="F171" s="36"/>
      <c r="G171" s="36"/>
      <c r="H171" s="36"/>
      <c r="I171" s="36"/>
      <c r="J171" s="36"/>
      <c r="K171" s="36"/>
      <c r="L171" s="36"/>
      <c r="M171" s="31"/>
    </row>
    <row r="172" spans="3:13" ht="15.6">
      <c r="C172" s="15">
        <v>2004</v>
      </c>
      <c r="D172" s="35"/>
      <c r="E172" s="36"/>
      <c r="F172" s="36"/>
      <c r="G172" s="36"/>
      <c r="H172" s="36"/>
      <c r="I172" s="36"/>
      <c r="J172" s="36"/>
      <c r="K172" s="36"/>
      <c r="L172" s="36"/>
      <c r="M172" s="31"/>
    </row>
    <row r="173" spans="3:13" ht="15.6">
      <c r="C173" s="7"/>
      <c r="D173" s="35"/>
      <c r="E173" s="36"/>
      <c r="F173" s="36"/>
      <c r="G173" s="36"/>
      <c r="H173" s="36"/>
      <c r="I173" s="36"/>
      <c r="J173" s="36"/>
      <c r="K173" s="36"/>
      <c r="L173" s="36"/>
      <c r="M173" s="31"/>
    </row>
    <row r="174" spans="3:13" ht="15.6">
      <c r="C174" s="7" t="s">
        <v>298</v>
      </c>
      <c r="D174" s="35">
        <v>3518.19</v>
      </c>
      <c r="E174" s="36">
        <v>6381.82</v>
      </c>
      <c r="F174" s="36">
        <v>497.97</v>
      </c>
      <c r="G174" s="36">
        <v>4359.21</v>
      </c>
      <c r="H174" s="36">
        <v>33.19</v>
      </c>
      <c r="I174" s="36">
        <v>2790.11</v>
      </c>
      <c r="J174" s="36">
        <v>4359.21</v>
      </c>
      <c r="K174" s="36">
        <v>4359.21</v>
      </c>
      <c r="L174" s="36">
        <v>758.17</v>
      </c>
      <c r="M174" s="31"/>
    </row>
    <row r="175" spans="3:13" ht="15.6">
      <c r="C175" s="7" t="s">
        <v>299</v>
      </c>
      <c r="D175" s="35"/>
      <c r="E175" s="36"/>
      <c r="F175" s="36"/>
      <c r="G175" s="36"/>
      <c r="H175" s="36"/>
      <c r="I175" s="36"/>
      <c r="J175" s="36"/>
      <c r="K175" s="36"/>
      <c r="L175" s="36"/>
      <c r="M175" s="31"/>
    </row>
    <row r="176" spans="3:13" ht="15.6">
      <c r="C176" s="7" t="s">
        <v>300</v>
      </c>
      <c r="D176" s="35"/>
      <c r="E176" s="36"/>
      <c r="F176" s="36"/>
      <c r="G176" s="36"/>
      <c r="H176" s="36"/>
      <c r="I176" s="36"/>
      <c r="J176" s="36"/>
      <c r="K176" s="36"/>
      <c r="L176" s="36"/>
      <c r="M176" s="31"/>
    </row>
    <row r="177" spans="3:13" ht="12.9" customHeight="1">
      <c r="C177" s="7"/>
      <c r="D177" s="34"/>
      <c r="E177" s="33"/>
      <c r="F177" s="33"/>
      <c r="G177" s="33"/>
      <c r="H177" s="33"/>
      <c r="I177" s="33"/>
      <c r="J177" s="33"/>
      <c r="K177" s="33"/>
      <c r="L177" s="33"/>
      <c r="M177" s="31"/>
    </row>
    <row r="178" spans="3:13" ht="12.9" customHeight="1">
      <c r="C178" s="7" t="s">
        <v>29</v>
      </c>
      <c r="D178" s="34"/>
      <c r="E178" s="33"/>
      <c r="F178" s="33"/>
      <c r="G178" s="33"/>
      <c r="H178" s="33"/>
      <c r="I178" s="33"/>
      <c r="J178" s="33"/>
      <c r="K178" s="33"/>
      <c r="L178" s="33"/>
      <c r="M178" s="31"/>
    </row>
    <row r="179" spans="3:13" ht="12.9" customHeight="1">
      <c r="C179" s="31"/>
      <c r="D179" s="34"/>
      <c r="E179" s="33"/>
      <c r="F179" s="33"/>
      <c r="G179" s="33"/>
      <c r="H179" s="33"/>
      <c r="I179" s="33"/>
      <c r="J179" s="33"/>
      <c r="K179" s="33"/>
      <c r="L179" s="33"/>
      <c r="M179" s="31"/>
    </row>
    <row r="180" spans="3:13" ht="15.6">
      <c r="C180" s="37" t="s">
        <v>1098</v>
      </c>
      <c r="D180" s="35">
        <v>826.44619999999998</v>
      </c>
      <c r="E180" s="36">
        <v>1423.595</v>
      </c>
      <c r="F180" s="36">
        <v>129.43549999999999</v>
      </c>
      <c r="G180" s="36">
        <v>372.90300000000002</v>
      </c>
      <c r="H180" s="36">
        <v>7.6257999999999999</v>
      </c>
      <c r="I180" s="36">
        <v>641.22760000000005</v>
      </c>
      <c r="J180" s="36">
        <v>111.18680000000001</v>
      </c>
      <c r="K180" s="36">
        <v>0.37659999999999999</v>
      </c>
      <c r="L180" s="36">
        <v>193.17349999999999</v>
      </c>
      <c r="M180" s="31"/>
    </row>
    <row r="181" spans="3:13" ht="15.6">
      <c r="C181" s="37" t="s">
        <v>1101</v>
      </c>
      <c r="D181" s="35">
        <v>826.44619999999998</v>
      </c>
      <c r="E181" s="36">
        <v>1443.0165</v>
      </c>
      <c r="F181" s="36">
        <v>129.43549999999999</v>
      </c>
      <c r="G181" s="36">
        <v>372.90300000000002</v>
      </c>
      <c r="H181" s="36">
        <v>7.6574999999999998</v>
      </c>
      <c r="I181" s="36">
        <v>651.54020000000003</v>
      </c>
      <c r="J181" s="36">
        <v>111.18680000000001</v>
      </c>
      <c r="K181" s="36">
        <v>0.37659999999999999</v>
      </c>
      <c r="L181" s="36">
        <v>189.42140000000001</v>
      </c>
      <c r="M181" s="31"/>
    </row>
    <row r="182" spans="3:13" ht="15.6">
      <c r="C182" s="37" t="s">
        <v>1099</v>
      </c>
      <c r="D182" s="35">
        <v>826.44619999999998</v>
      </c>
      <c r="E182" s="36">
        <v>1443.0578</v>
      </c>
      <c r="F182" s="36">
        <v>119.3424</v>
      </c>
      <c r="G182" s="36">
        <v>372.90300000000002</v>
      </c>
      <c r="H182" s="36">
        <v>7.6696</v>
      </c>
      <c r="I182" s="36">
        <v>656.45669999999996</v>
      </c>
      <c r="J182" s="36">
        <v>111.18680000000001</v>
      </c>
      <c r="K182" s="36">
        <v>0.37659999999999999</v>
      </c>
      <c r="L182" s="36">
        <v>189.58670000000001</v>
      </c>
      <c r="M182" s="31"/>
    </row>
    <row r="183" spans="3:13" ht="15.6">
      <c r="C183" s="37" t="s">
        <v>1100</v>
      </c>
      <c r="D183" s="35">
        <v>826.44619999999998</v>
      </c>
      <c r="E183" s="36">
        <v>1458.6362999999999</v>
      </c>
      <c r="F183" s="36">
        <v>119.688</v>
      </c>
      <c r="G183" s="36">
        <v>372.90300000000002</v>
      </c>
      <c r="H183" s="36">
        <v>7.6957000000000004</v>
      </c>
      <c r="I183" s="36">
        <v>657.99860000000001</v>
      </c>
      <c r="J183" s="36">
        <v>111.18680000000001</v>
      </c>
      <c r="K183" s="36">
        <v>0.37659999999999999</v>
      </c>
      <c r="L183" s="36">
        <v>181.07429999999999</v>
      </c>
      <c r="M183" s="31"/>
    </row>
    <row r="184" spans="3:13" ht="12.9" customHeight="1">
      <c r="C184" s="31"/>
      <c r="D184" s="35"/>
      <c r="E184" s="36"/>
      <c r="F184" s="36"/>
      <c r="G184" s="36"/>
      <c r="H184" s="36"/>
      <c r="I184" s="36"/>
      <c r="J184" s="36"/>
      <c r="K184" s="36"/>
      <c r="L184" s="36"/>
      <c r="M184" s="31"/>
    </row>
    <row r="185" spans="3:13" ht="12.9" customHeight="1">
      <c r="C185" s="10"/>
      <c r="D185" s="10"/>
      <c r="E185" s="10"/>
      <c r="F185" s="38"/>
      <c r="G185" s="38"/>
      <c r="H185" s="38"/>
      <c r="I185" s="38"/>
      <c r="J185" s="38"/>
      <c r="K185" s="38"/>
      <c r="L185" s="38"/>
      <c r="M185" s="3"/>
    </row>
    <row r="186" spans="3:13" ht="12.9" customHeight="1">
      <c r="C186" s="6" t="s">
        <v>30</v>
      </c>
      <c r="D186" s="9"/>
      <c r="E186" s="9"/>
      <c r="F186" s="9"/>
      <c r="G186" s="9"/>
      <c r="H186" s="9"/>
      <c r="I186" s="9"/>
      <c r="J186" s="9"/>
      <c r="K186" s="9"/>
      <c r="L186" s="39"/>
      <c r="M186" s="3"/>
    </row>
    <row r="187" spans="3:13" ht="14.1" customHeight="1">
      <c r="C187" s="9"/>
      <c r="D187" s="40"/>
      <c r="E187" s="40"/>
      <c r="F187" s="9"/>
      <c r="G187" s="9"/>
      <c r="H187" s="9"/>
      <c r="I187" s="9"/>
      <c r="J187" s="9"/>
      <c r="K187" s="9"/>
      <c r="L187" s="9"/>
    </row>
    <row r="188" spans="3:13" ht="14.1" customHeight="1">
      <c r="C188" s="9"/>
      <c r="D188" s="9"/>
      <c r="E188" s="9"/>
      <c r="F188" s="9"/>
      <c r="G188" s="9"/>
      <c r="H188" s="9"/>
      <c r="I188" s="9"/>
      <c r="J188" s="9"/>
      <c r="K188" s="9"/>
      <c r="L188" s="9"/>
    </row>
    <row r="189" spans="3:13" ht="14.1" customHeight="1">
      <c r="C189" s="6"/>
      <c r="D189" s="9"/>
      <c r="E189" s="9"/>
      <c r="F189" s="9"/>
      <c r="G189" s="9"/>
      <c r="H189" s="9"/>
      <c r="I189" s="9"/>
      <c r="J189" s="9"/>
      <c r="K189" s="9"/>
      <c r="L189" s="9"/>
    </row>
    <row r="190" spans="3:13" ht="14.1" customHeight="1">
      <c r="C190" s="9"/>
      <c r="D190" s="9"/>
      <c r="E190" s="9"/>
      <c r="F190" s="9"/>
      <c r="G190" s="9"/>
      <c r="H190" s="9"/>
      <c r="I190" s="9"/>
      <c r="J190" s="9"/>
      <c r="K190" s="9"/>
      <c r="L190" s="9"/>
    </row>
    <row r="191" spans="3:13" ht="14.1" customHeight="1">
      <c r="C191" s="9"/>
      <c r="D191" s="9"/>
      <c r="E191" s="9"/>
      <c r="F191" s="9"/>
      <c r="G191" s="9"/>
      <c r="H191" s="9"/>
      <c r="I191" s="9"/>
      <c r="J191" s="9"/>
      <c r="K191" s="9"/>
      <c r="L191" s="9"/>
    </row>
    <row r="192" spans="3:13" ht="14.1" customHeight="1">
      <c r="C192" s="9"/>
      <c r="D192" s="9"/>
      <c r="E192" s="9"/>
      <c r="F192" s="9"/>
      <c r="G192" s="9"/>
      <c r="H192" s="9"/>
      <c r="I192" s="9"/>
      <c r="J192" s="9"/>
      <c r="K192" s="9"/>
      <c r="L192" s="9"/>
    </row>
    <row r="193" spans="3:12" ht="14.1" customHeight="1">
      <c r="C193" s="9"/>
      <c r="D193" s="9"/>
      <c r="E193" s="9"/>
      <c r="F193" s="9"/>
      <c r="G193" s="9"/>
      <c r="H193" s="9"/>
      <c r="I193" s="9"/>
      <c r="J193" s="9"/>
      <c r="K193" s="9"/>
      <c r="L193" s="9"/>
    </row>
    <row r="194" spans="3:12" ht="12.9" customHeight="1">
      <c r="C194" s="9"/>
      <c r="D194" s="9"/>
      <c r="E194" s="9"/>
      <c r="F194" s="9"/>
      <c r="G194" s="9"/>
      <c r="H194" s="9"/>
      <c r="I194" s="9"/>
      <c r="J194" s="9"/>
      <c r="K194" s="9"/>
      <c r="L194" s="9"/>
    </row>
    <row r="195" spans="3:12" ht="12.9" customHeight="1">
      <c r="C195" s="9"/>
      <c r="D195" s="9"/>
      <c r="E195" s="9"/>
      <c r="F195" s="9"/>
      <c r="G195" s="9"/>
      <c r="H195" s="9"/>
      <c r="I195" s="9"/>
      <c r="J195" s="9"/>
      <c r="K195" s="9"/>
      <c r="L195" s="9"/>
    </row>
    <row r="196" spans="3:12" ht="12.9" customHeight="1">
      <c r="C196" s="9"/>
      <c r="D196" s="9"/>
      <c r="E196" s="9"/>
      <c r="F196" s="9"/>
      <c r="G196" s="9"/>
      <c r="H196" s="9"/>
      <c r="I196" s="9"/>
      <c r="J196" s="9"/>
      <c r="K196" s="9"/>
      <c r="L196" s="9"/>
    </row>
    <row r="197" spans="3:12" ht="15.6">
      <c r="C197" s="9"/>
      <c r="D197" s="9"/>
      <c r="E197" s="9"/>
      <c r="F197" s="9"/>
      <c r="G197" s="9"/>
      <c r="H197" s="9"/>
      <c r="I197" s="9"/>
      <c r="J197" s="9"/>
      <c r="K197" s="9"/>
      <c r="L197" s="9"/>
    </row>
    <row r="198" spans="3:12">
      <c r="C198" s="13"/>
    </row>
    <row r="199" spans="3:12">
      <c r="C199" s="13"/>
    </row>
    <row r="200" spans="3:12">
      <c r="C200" s="13"/>
    </row>
    <row r="201" spans="3:12">
      <c r="C201" s="13"/>
    </row>
    <row r="202" spans="3:12">
      <c r="C202" s="13"/>
    </row>
    <row r="203" spans="3:12">
      <c r="C203" s="13"/>
    </row>
    <row r="204" spans="3:12">
      <c r="C204" s="13"/>
    </row>
    <row r="205" spans="3:12">
      <c r="C205" s="13"/>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2"/>
    <col min="3" max="3" width="8.1796875" style="272" customWidth="1"/>
    <col min="4" max="4" width="8.90625" style="540" customWidth="1"/>
    <col min="5" max="5" width="9.6328125" style="540" customWidth="1"/>
    <col min="6" max="6" width="7.90625" style="540"/>
    <col min="7" max="7" width="6.81640625" style="540" customWidth="1"/>
    <col min="8" max="8" width="9.1796875" style="540" customWidth="1"/>
    <col min="9" max="9" width="11.54296875" style="540" customWidth="1"/>
    <col min="10" max="10" width="9.54296875" style="540" customWidth="1"/>
    <col min="11" max="11" width="8.36328125" style="540" customWidth="1"/>
    <col min="12" max="12" width="9.90625" style="540" customWidth="1"/>
    <col min="13" max="13" width="8" style="540" customWidth="1"/>
    <col min="14" max="14" width="7.90625" style="540"/>
    <col min="15" max="15" width="8.36328125" style="540" customWidth="1"/>
    <col min="16" max="17" width="7.90625" style="540"/>
    <col min="18" max="16384" width="7.90625" style="272"/>
  </cols>
  <sheetData>
    <row r="3" spans="2:17" ht="16.2" thickBot="1"/>
    <row r="4" spans="2:17" ht="16.2" thickTop="1">
      <c r="B4" s="630"/>
      <c r="C4" s="631"/>
      <c r="D4" s="631"/>
      <c r="E4" s="631"/>
      <c r="F4" s="631"/>
      <c r="G4" s="631"/>
      <c r="H4" s="631"/>
      <c r="I4" s="632"/>
      <c r="J4" s="632"/>
      <c r="K4" s="632"/>
      <c r="L4" s="631"/>
      <c r="M4" s="631"/>
      <c r="N4" s="631"/>
      <c r="O4" s="631"/>
      <c r="P4" s="631"/>
    </row>
    <row r="5" spans="2:17">
      <c r="B5" s="1883" t="s">
        <v>1753</v>
      </c>
      <c r="C5" s="1883"/>
      <c r="D5" s="1883"/>
      <c r="E5" s="1883"/>
      <c r="F5" s="1883"/>
      <c r="G5" s="1883"/>
      <c r="H5" s="1883"/>
      <c r="I5" s="1883"/>
      <c r="J5" s="1883"/>
      <c r="K5" s="1883"/>
      <c r="L5" s="1883"/>
      <c r="M5" s="1883"/>
      <c r="N5" s="1883"/>
      <c r="O5" s="1883"/>
      <c r="P5" s="1883"/>
    </row>
    <row r="6" spans="2:17" ht="16.2" thickBot="1">
      <c r="B6" s="1883" t="s">
        <v>1781</v>
      </c>
      <c r="C6" s="1883"/>
      <c r="D6" s="1883"/>
      <c r="E6" s="1883"/>
      <c r="F6" s="1883"/>
      <c r="G6" s="1883"/>
      <c r="H6" s="1883"/>
      <c r="I6" s="1883"/>
      <c r="J6" s="1883"/>
      <c r="K6" s="1883"/>
      <c r="L6" s="1883"/>
      <c r="M6" s="1883"/>
      <c r="N6" s="1883"/>
      <c r="O6" s="1883"/>
      <c r="P6" s="1883"/>
    </row>
    <row r="7" spans="2:17" ht="19.5" hidden="1" customHeight="1" thickTop="1" thickBot="1">
      <c r="B7" s="738"/>
      <c r="C7" s="1875" t="s">
        <v>1267</v>
      </c>
      <c r="D7" s="1876"/>
      <c r="E7" s="1876"/>
      <c r="F7" s="1876"/>
      <c r="G7" s="1876"/>
      <c r="H7" s="1876"/>
      <c r="I7" s="1876"/>
      <c r="J7" s="1876"/>
      <c r="K7" s="1876"/>
      <c r="L7" s="1876"/>
      <c r="M7" s="1876"/>
      <c r="N7" s="1876"/>
      <c r="O7" s="1877"/>
      <c r="P7" s="625" t="s">
        <v>1268</v>
      </c>
      <c r="Q7" s="612" t="s">
        <v>747</v>
      </c>
    </row>
    <row r="8" spans="2:17" ht="18" hidden="1" thickTop="1">
      <c r="B8" s="626"/>
      <c r="C8" s="612" t="s">
        <v>436</v>
      </c>
      <c r="D8" s="612" t="s">
        <v>743</v>
      </c>
      <c r="E8" s="612" t="s">
        <v>949</v>
      </c>
      <c r="F8" s="612" t="s">
        <v>744</v>
      </c>
      <c r="G8" s="612" t="s">
        <v>441</v>
      </c>
      <c r="H8" s="612" t="s">
        <v>406</v>
      </c>
      <c r="I8" s="612" t="s">
        <v>395</v>
      </c>
      <c r="J8" s="612" t="s">
        <v>442</v>
      </c>
      <c r="K8" s="612" t="s">
        <v>745</v>
      </c>
      <c r="L8" s="612" t="s">
        <v>443</v>
      </c>
      <c r="M8" s="612" t="s">
        <v>746</v>
      </c>
      <c r="N8" s="612" t="s">
        <v>1269</v>
      </c>
      <c r="O8" s="612" t="s">
        <v>438</v>
      </c>
      <c r="P8" s="603" t="s">
        <v>752</v>
      </c>
      <c r="Q8" s="272"/>
    </row>
    <row r="9" spans="2:17" ht="25.2" hidden="1">
      <c r="B9" s="627"/>
      <c r="C9" s="603" t="s">
        <v>437</v>
      </c>
      <c r="D9" s="603" t="s">
        <v>748</v>
      </c>
      <c r="E9" s="603" t="s">
        <v>950</v>
      </c>
      <c r="F9" s="603" t="s">
        <v>1271</v>
      </c>
      <c r="G9" s="627"/>
      <c r="H9" s="627"/>
      <c r="I9" s="627"/>
      <c r="J9" s="603" t="s">
        <v>434</v>
      </c>
      <c r="K9" s="627"/>
      <c r="L9" s="603" t="s">
        <v>435</v>
      </c>
      <c r="M9" s="603" t="s">
        <v>751</v>
      </c>
      <c r="N9" s="628" t="s">
        <v>742</v>
      </c>
      <c r="O9" s="603" t="s">
        <v>440</v>
      </c>
      <c r="P9" s="603"/>
      <c r="Q9" s="272"/>
    </row>
    <row r="10" spans="2:17" hidden="1">
      <c r="B10" s="627"/>
      <c r="C10" s="627"/>
      <c r="D10" s="627"/>
      <c r="E10" s="603" t="s">
        <v>951</v>
      </c>
      <c r="F10" s="603" t="s">
        <v>1272</v>
      </c>
      <c r="G10" s="627"/>
      <c r="H10" s="627"/>
      <c r="I10" s="627"/>
      <c r="J10" s="627"/>
      <c r="K10" s="627"/>
      <c r="L10" s="627"/>
      <c r="M10" s="603" t="s">
        <v>405</v>
      </c>
      <c r="N10" s="627"/>
      <c r="O10" s="627"/>
      <c r="P10" s="627"/>
      <c r="Q10" s="272"/>
    </row>
    <row r="11" spans="2:17" ht="16.2" hidden="1" thickBot="1">
      <c r="B11" s="629"/>
      <c r="C11" s="629"/>
      <c r="D11" s="629"/>
      <c r="E11" s="614" t="s">
        <v>952</v>
      </c>
      <c r="F11" s="629"/>
      <c r="G11" s="629"/>
      <c r="H11" s="629"/>
      <c r="I11" s="629"/>
      <c r="J11" s="629"/>
      <c r="K11" s="629"/>
      <c r="L11" s="629"/>
      <c r="M11" s="629"/>
      <c r="N11" s="629"/>
      <c r="O11" s="629"/>
      <c r="P11" s="629"/>
      <c r="Q11" s="272"/>
    </row>
    <row r="12" spans="2:17" ht="16.2" hidden="1" thickTop="1">
      <c r="B12" s="626"/>
      <c r="C12" s="626"/>
      <c r="D12" s="626"/>
      <c r="E12" s="626"/>
      <c r="F12" s="626"/>
      <c r="G12" s="626"/>
      <c r="H12" s="626"/>
      <c r="I12" s="626"/>
      <c r="J12" s="626"/>
      <c r="K12" s="626"/>
      <c r="L12" s="626"/>
      <c r="M12" s="626"/>
      <c r="N12" s="626"/>
      <c r="O12" s="626"/>
      <c r="P12" s="626"/>
      <c r="Q12" s="272"/>
    </row>
    <row r="13" spans="2:17" hidden="1">
      <c r="B13" s="604" t="s">
        <v>754</v>
      </c>
      <c r="C13" s="603">
        <v>4.38</v>
      </c>
      <c r="D13" s="603">
        <v>6.05</v>
      </c>
      <c r="E13" s="603">
        <v>17.739999999999998</v>
      </c>
      <c r="F13" s="603">
        <v>9.91</v>
      </c>
      <c r="G13" s="603">
        <v>2.16</v>
      </c>
      <c r="H13" s="603">
        <v>9.76</v>
      </c>
      <c r="I13" s="603">
        <v>3.41</v>
      </c>
      <c r="J13" s="603">
        <v>2.1</v>
      </c>
      <c r="K13" s="603">
        <v>5.67</v>
      </c>
      <c r="L13" s="603">
        <v>1.38</v>
      </c>
      <c r="M13" s="603">
        <v>3.91</v>
      </c>
      <c r="N13" s="603">
        <v>66.47</v>
      </c>
      <c r="O13" s="603">
        <v>33.53</v>
      </c>
      <c r="P13" s="603">
        <v>100</v>
      </c>
      <c r="Q13" s="272"/>
    </row>
    <row r="14" spans="2:17" ht="16.2" hidden="1" thickBot="1">
      <c r="B14" s="629"/>
      <c r="C14" s="629"/>
      <c r="D14" s="629"/>
      <c r="E14" s="629"/>
      <c r="F14" s="629"/>
      <c r="G14" s="629"/>
      <c r="H14" s="629"/>
      <c r="I14" s="629"/>
      <c r="J14" s="629"/>
      <c r="K14" s="629"/>
      <c r="L14" s="629"/>
      <c r="M14" s="629"/>
      <c r="N14" s="629"/>
      <c r="O14" s="629"/>
      <c r="P14" s="629"/>
      <c r="Q14" s="272"/>
    </row>
    <row r="15" spans="2:17" ht="16.2" hidden="1" thickTop="1">
      <c r="B15" s="643"/>
      <c r="C15" s="643"/>
      <c r="D15" s="643"/>
      <c r="E15" s="643"/>
      <c r="F15" s="643"/>
      <c r="G15" s="643"/>
      <c r="H15" s="643"/>
      <c r="I15" s="643"/>
      <c r="J15" s="643"/>
      <c r="K15" s="643"/>
      <c r="L15" s="643"/>
      <c r="M15" s="643"/>
      <c r="N15" s="643"/>
      <c r="O15" s="644"/>
      <c r="P15" s="644"/>
      <c r="Q15" s="272"/>
    </row>
    <row r="16" spans="2:17" hidden="1">
      <c r="B16" s="604">
        <v>2013</v>
      </c>
      <c r="C16" s="645"/>
      <c r="D16" s="645"/>
      <c r="E16" s="645"/>
      <c r="F16" s="645"/>
      <c r="G16" s="645"/>
      <c r="H16" s="645"/>
      <c r="I16" s="645"/>
      <c r="J16" s="645"/>
      <c r="K16" s="645"/>
      <c r="L16" s="645"/>
      <c r="M16" s="645"/>
      <c r="N16" s="645"/>
      <c r="O16" s="646"/>
      <c r="P16" s="646"/>
      <c r="Q16" s="272"/>
    </row>
    <row r="17" spans="2:18" hidden="1">
      <c r="B17" s="604" t="s">
        <v>298</v>
      </c>
      <c r="C17" s="633">
        <v>3.83</v>
      </c>
      <c r="D17" s="633">
        <v>-0.74</v>
      </c>
      <c r="E17" s="633">
        <v>10.7</v>
      </c>
      <c r="F17" s="633">
        <v>0.65</v>
      </c>
      <c r="G17" s="633">
        <v>1.94</v>
      </c>
      <c r="H17" s="633">
        <v>6.42</v>
      </c>
      <c r="I17" s="633">
        <v>-0.36</v>
      </c>
      <c r="J17" s="633">
        <v>1.92</v>
      </c>
      <c r="K17" s="633">
        <v>12.96</v>
      </c>
      <c r="L17" s="633">
        <v>1.92</v>
      </c>
      <c r="M17" s="633">
        <v>1.32</v>
      </c>
      <c r="N17" s="633">
        <v>1.91</v>
      </c>
      <c r="O17" s="633">
        <v>3.72</v>
      </c>
      <c r="P17" s="633">
        <v>2.5099999999999998</v>
      </c>
      <c r="Q17" s="272"/>
    </row>
    <row r="18" spans="2:18" hidden="1">
      <c r="B18" s="598" t="s">
        <v>299</v>
      </c>
      <c r="C18" s="633"/>
      <c r="D18" s="633"/>
      <c r="E18" s="633"/>
      <c r="F18" s="633"/>
      <c r="G18" s="633"/>
      <c r="H18" s="633"/>
      <c r="I18" s="633"/>
      <c r="J18" s="633"/>
      <c r="K18" s="633"/>
      <c r="L18" s="633"/>
      <c r="M18" s="633"/>
      <c r="N18" s="633"/>
      <c r="O18" s="633"/>
      <c r="P18" s="633"/>
      <c r="Q18" s="272"/>
    </row>
    <row r="19" spans="2:18" hidden="1">
      <c r="B19" s="598" t="s">
        <v>300</v>
      </c>
      <c r="C19" s="633">
        <v>6.24</v>
      </c>
      <c r="D19" s="633">
        <v>-0.8</v>
      </c>
      <c r="E19" s="633">
        <v>5.48</v>
      </c>
      <c r="F19" s="633">
        <v>0.7</v>
      </c>
      <c r="G19" s="633">
        <v>3.28</v>
      </c>
      <c r="H19" s="633">
        <v>8.73</v>
      </c>
      <c r="I19" s="633">
        <v>-0.05</v>
      </c>
      <c r="J19" s="633">
        <v>-0.19</v>
      </c>
      <c r="K19" s="633">
        <v>8.3699999999999992</v>
      </c>
      <c r="L19" s="633">
        <v>1.71</v>
      </c>
      <c r="M19" s="633">
        <v>1.64</v>
      </c>
      <c r="N19" s="633">
        <v>2.04</v>
      </c>
      <c r="O19" s="633">
        <v>4.18</v>
      </c>
      <c r="P19" s="633">
        <v>2.76</v>
      </c>
      <c r="Q19" s="272"/>
    </row>
    <row r="20" spans="2:18" hidden="1">
      <c r="B20" s="598" t="s">
        <v>301</v>
      </c>
      <c r="C20" s="633">
        <v>5.86</v>
      </c>
      <c r="D20" s="633">
        <v>-0.4</v>
      </c>
      <c r="E20" s="633">
        <v>4.4000000000000004</v>
      </c>
      <c r="F20" s="633">
        <v>0.9</v>
      </c>
      <c r="G20" s="633">
        <v>3.77</v>
      </c>
      <c r="H20" s="633">
        <v>7.7</v>
      </c>
      <c r="I20" s="633">
        <v>-13.33</v>
      </c>
      <c r="J20" s="633">
        <v>-1.28</v>
      </c>
      <c r="K20" s="633">
        <v>12.54</v>
      </c>
      <c r="L20" s="633">
        <v>1.63</v>
      </c>
      <c r="M20" s="633">
        <v>1.21</v>
      </c>
      <c r="N20" s="633">
        <v>1.94</v>
      </c>
      <c r="O20" s="633">
        <v>3.57</v>
      </c>
      <c r="P20" s="633">
        <v>2.5299999999999998</v>
      </c>
      <c r="Q20" s="633"/>
    </row>
    <row r="21" spans="2:18" hidden="1">
      <c r="B21" s="598" t="s">
        <v>302</v>
      </c>
      <c r="C21" s="633">
        <v>5.88</v>
      </c>
      <c r="D21" s="633">
        <v>-0.38</v>
      </c>
      <c r="E21" s="633">
        <v>3.95</v>
      </c>
      <c r="F21" s="633">
        <v>0.66</v>
      </c>
      <c r="G21" s="633">
        <v>3.6</v>
      </c>
      <c r="H21" s="633">
        <v>6.85</v>
      </c>
      <c r="I21" s="633">
        <v>-13.13</v>
      </c>
      <c r="J21" s="633">
        <v>-0.83</v>
      </c>
      <c r="K21" s="633">
        <v>12.56</v>
      </c>
      <c r="L21" s="633">
        <v>1.44</v>
      </c>
      <c r="M21" s="633">
        <v>1.04</v>
      </c>
      <c r="N21" s="633">
        <v>1.54</v>
      </c>
      <c r="O21" s="633">
        <v>3.54</v>
      </c>
      <c r="P21" s="633">
        <v>2.2000000000000002</v>
      </c>
      <c r="Q21" s="679"/>
    </row>
    <row r="22" spans="2:18" hidden="1">
      <c r="B22" s="598" t="s">
        <v>303</v>
      </c>
      <c r="C22" s="633">
        <v>5.4</v>
      </c>
      <c r="D22" s="633">
        <v>-0.5</v>
      </c>
      <c r="E22" s="633">
        <v>2.65</v>
      </c>
      <c r="F22" s="633">
        <v>0.16</v>
      </c>
      <c r="G22" s="633">
        <v>3.03</v>
      </c>
      <c r="H22" s="633">
        <v>6.85</v>
      </c>
      <c r="I22" s="633">
        <v>-13.4</v>
      </c>
      <c r="J22" s="633">
        <v>-0.33</v>
      </c>
      <c r="K22" s="633">
        <v>7.75</v>
      </c>
      <c r="L22" s="633">
        <v>1.35</v>
      </c>
      <c r="M22" s="633">
        <v>1.22</v>
      </c>
      <c r="N22" s="633">
        <v>1.35</v>
      </c>
      <c r="O22" s="633">
        <v>2.9</v>
      </c>
      <c r="P22" s="633">
        <v>1.87</v>
      </c>
      <c r="Q22" s="679"/>
    </row>
    <row r="23" spans="2:18" hidden="1">
      <c r="B23" s="598" t="s">
        <v>304</v>
      </c>
      <c r="C23" s="633">
        <v>4.83</v>
      </c>
      <c r="D23" s="633">
        <v>0.14000000000000001</v>
      </c>
      <c r="E23" s="633">
        <v>2.54</v>
      </c>
      <c r="F23" s="633">
        <v>-0.05</v>
      </c>
      <c r="G23" s="633">
        <v>2.84</v>
      </c>
      <c r="H23" s="633">
        <v>4.96</v>
      </c>
      <c r="I23" s="633">
        <v>-13.47</v>
      </c>
      <c r="J23" s="633">
        <v>-0.61</v>
      </c>
      <c r="K23" s="633">
        <v>12.7</v>
      </c>
      <c r="L23" s="633">
        <v>0.71</v>
      </c>
      <c r="M23" s="633">
        <v>1</v>
      </c>
      <c r="N23" s="633">
        <v>1</v>
      </c>
      <c r="O23" s="633">
        <v>1.74</v>
      </c>
      <c r="P23" s="633">
        <v>1.25</v>
      </c>
      <c r="Q23" s="679"/>
    </row>
    <row r="24" spans="2:18" hidden="1">
      <c r="B24" s="598" t="s">
        <v>305</v>
      </c>
      <c r="C24" s="633">
        <v>4.4400000000000004</v>
      </c>
      <c r="D24" s="633">
        <v>0.3</v>
      </c>
      <c r="E24" s="633">
        <v>3.04</v>
      </c>
      <c r="F24" s="633">
        <v>-0.39</v>
      </c>
      <c r="G24" s="633">
        <v>2.79</v>
      </c>
      <c r="H24" s="633">
        <v>5.04</v>
      </c>
      <c r="I24" s="633">
        <v>-13.57</v>
      </c>
      <c r="J24" s="633">
        <v>-0.7</v>
      </c>
      <c r="K24" s="633">
        <v>8.83</v>
      </c>
      <c r="L24" s="633">
        <v>1.6</v>
      </c>
      <c r="M24" s="633">
        <v>0.81</v>
      </c>
      <c r="N24" s="633">
        <v>1.44</v>
      </c>
      <c r="O24" s="633">
        <v>0.94</v>
      </c>
      <c r="P24" s="633">
        <v>1.28</v>
      </c>
      <c r="Q24" s="679"/>
    </row>
    <row r="25" spans="2:18" hidden="1">
      <c r="B25" s="598" t="s">
        <v>306</v>
      </c>
      <c r="C25" s="633">
        <v>4.3600000000000003</v>
      </c>
      <c r="D25" s="633">
        <v>0.61</v>
      </c>
      <c r="E25" s="633">
        <v>3.7</v>
      </c>
      <c r="F25" s="633">
        <v>-0.37</v>
      </c>
      <c r="G25" s="633">
        <v>2.1</v>
      </c>
      <c r="H25" s="633">
        <v>5.0599999999999996</v>
      </c>
      <c r="I25" s="633">
        <v>-13.66</v>
      </c>
      <c r="J25" s="633">
        <v>-1.01</v>
      </c>
      <c r="K25" s="633">
        <v>5.74</v>
      </c>
      <c r="L25" s="633">
        <v>1.23</v>
      </c>
      <c r="M25" s="633">
        <v>0.93</v>
      </c>
      <c r="N25" s="633">
        <v>1.45</v>
      </c>
      <c r="O25" s="633">
        <v>-0.32</v>
      </c>
      <c r="P25" s="633">
        <v>0.86</v>
      </c>
      <c r="Q25" s="679"/>
    </row>
    <row r="26" spans="2:18" ht="16.2" hidden="1" thickBot="1">
      <c r="B26" s="647"/>
      <c r="C26" s="1196"/>
      <c r="D26" s="1196"/>
      <c r="E26" s="1196"/>
      <c r="F26" s="1196"/>
      <c r="G26" s="1196"/>
      <c r="H26" s="1196"/>
      <c r="I26" s="1196"/>
      <c r="J26" s="1196"/>
      <c r="K26" s="1196"/>
      <c r="L26" s="1196"/>
      <c r="M26" s="1196"/>
      <c r="N26" s="1196"/>
      <c r="O26" s="1196"/>
      <c r="P26" s="1196"/>
      <c r="Q26" s="272"/>
    </row>
    <row r="27" spans="2:18" ht="16.2" hidden="1" thickTop="1"/>
    <row r="28" spans="2:18" hidden="1"/>
    <row r="29" spans="2:18" hidden="1"/>
    <row r="30" spans="2:18" ht="16.2" hidden="1" thickBot="1"/>
    <row r="31" spans="2:18" ht="20.399999999999999" thickTop="1" thickBot="1">
      <c r="B31" s="734"/>
      <c r="C31" s="1887" t="s">
        <v>1267</v>
      </c>
      <c r="D31" s="1888"/>
      <c r="E31" s="1888"/>
      <c r="F31" s="1888"/>
      <c r="G31" s="1888"/>
      <c r="H31" s="1888"/>
      <c r="I31" s="1888"/>
      <c r="J31" s="1888"/>
      <c r="K31" s="1888"/>
      <c r="L31" s="1888"/>
      <c r="M31" s="1888"/>
      <c r="N31" s="1889"/>
      <c r="O31" s="1009" t="s">
        <v>1268</v>
      </c>
      <c r="P31" s="1010"/>
    </row>
    <row r="32" spans="2:18" ht="17.399999999999999" thickTop="1">
      <c r="B32" s="735"/>
      <c r="C32" s="1013" t="s">
        <v>1353</v>
      </c>
      <c r="D32" s="1013" t="s">
        <v>743</v>
      </c>
      <c r="E32" s="1191" t="s">
        <v>1347</v>
      </c>
      <c r="F32" s="1191" t="s">
        <v>744</v>
      </c>
      <c r="G32" s="1884" t="s">
        <v>441</v>
      </c>
      <c r="H32" s="1884" t="s">
        <v>406</v>
      </c>
      <c r="I32" s="1884" t="s">
        <v>395</v>
      </c>
      <c r="J32" s="1191"/>
      <c r="K32" s="1884" t="s">
        <v>745</v>
      </c>
      <c r="L32" s="1191"/>
      <c r="M32" s="1191" t="s">
        <v>746</v>
      </c>
      <c r="N32" s="1191"/>
      <c r="O32" s="1191" t="s">
        <v>438</v>
      </c>
      <c r="P32" s="1192"/>
      <c r="Q32" s="917"/>
      <c r="R32" s="679"/>
    </row>
    <row r="33" spans="2:17" ht="32.25" customHeight="1">
      <c r="B33" s="1011"/>
      <c r="C33" s="1014" t="s">
        <v>1354</v>
      </c>
      <c r="D33" s="1014" t="s">
        <v>1352</v>
      </c>
      <c r="E33" s="1192" t="s">
        <v>950</v>
      </c>
      <c r="F33" s="1192" t="s">
        <v>1271</v>
      </c>
      <c r="G33" s="1885"/>
      <c r="H33" s="1885"/>
      <c r="I33" s="1885"/>
      <c r="J33" s="1192" t="s">
        <v>442</v>
      </c>
      <c r="K33" s="1885"/>
      <c r="L33" s="1192" t="s">
        <v>443</v>
      </c>
      <c r="M33" s="1192" t="s">
        <v>751</v>
      </c>
      <c r="N33" s="1192" t="s">
        <v>1269</v>
      </c>
      <c r="O33" s="1192" t="s">
        <v>1355</v>
      </c>
      <c r="P33" s="1192" t="s">
        <v>747</v>
      </c>
    </row>
    <row r="34" spans="2:17">
      <c r="B34" s="736"/>
      <c r="C34" s="1015" t="s">
        <v>437</v>
      </c>
      <c r="D34" s="1192" t="s">
        <v>748</v>
      </c>
      <c r="E34" s="1192" t="s">
        <v>951</v>
      </c>
      <c r="F34" s="1192" t="s">
        <v>1272</v>
      </c>
      <c r="G34" s="1885"/>
      <c r="H34" s="1885"/>
      <c r="I34" s="1885"/>
      <c r="J34" s="1192" t="s">
        <v>434</v>
      </c>
      <c r="K34" s="1885"/>
      <c r="L34" s="1192" t="s">
        <v>435</v>
      </c>
      <c r="M34" s="1192" t="s">
        <v>405</v>
      </c>
      <c r="N34" s="1192" t="s">
        <v>742</v>
      </c>
      <c r="O34" s="1192" t="s">
        <v>1356</v>
      </c>
      <c r="P34" s="1192" t="s">
        <v>752</v>
      </c>
    </row>
    <row r="35" spans="2:17" ht="16.2" thickBot="1">
      <c r="B35" s="737"/>
      <c r="C35" s="1016"/>
      <c r="D35" s="1016"/>
      <c r="E35" s="1193" t="s">
        <v>952</v>
      </c>
      <c r="F35" s="1016"/>
      <c r="G35" s="1886"/>
      <c r="H35" s="1886"/>
      <c r="I35" s="1886"/>
      <c r="J35" s="1016"/>
      <c r="K35" s="1886"/>
      <c r="L35" s="1016"/>
      <c r="M35" s="1016"/>
      <c r="N35" s="1016"/>
      <c r="O35" s="1016"/>
      <c r="P35" s="1016"/>
    </row>
    <row r="36" spans="2:17" ht="16.8" thickTop="1" thickBot="1">
      <c r="B36" s="1343"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1">
        <v>100</v>
      </c>
      <c r="Q36" s="1342"/>
    </row>
    <row r="37" spans="2:17" ht="16.2" thickTop="1">
      <c r="B37" s="922"/>
      <c r="C37" s="956"/>
      <c r="D37" s="1340"/>
      <c r="E37" s="1340"/>
      <c r="F37" s="1340"/>
      <c r="G37" s="1340"/>
      <c r="H37" s="1340"/>
      <c r="I37" s="957"/>
      <c r="J37" s="1340"/>
      <c r="K37" s="1340"/>
      <c r="L37" s="957"/>
      <c r="M37" s="957"/>
      <c r="N37" s="1340"/>
      <c r="O37" s="957"/>
      <c r="P37" s="956"/>
    </row>
    <row r="38" spans="2:17" hidden="1">
      <c r="B38" s="920">
        <v>2009</v>
      </c>
      <c r="C38" s="956"/>
      <c r="D38" s="1400"/>
      <c r="E38" s="1400"/>
      <c r="F38" s="1400"/>
      <c r="G38" s="1400"/>
      <c r="H38" s="1400"/>
      <c r="I38" s="1400"/>
      <c r="J38" s="1400"/>
      <c r="K38" s="1400"/>
      <c r="L38" s="1400"/>
      <c r="M38" s="1400"/>
      <c r="N38" s="1400"/>
      <c r="O38" s="1400"/>
      <c r="P38" s="956"/>
    </row>
    <row r="39" spans="2:17" hidden="1">
      <c r="B39" s="1003" t="s">
        <v>344</v>
      </c>
      <c r="C39" s="1001">
        <v>-7.2894541878853802</v>
      </c>
      <c r="D39" s="1401">
        <v>-18.218291685612698</v>
      </c>
      <c r="E39" s="1401">
        <v>13.787715542294499</v>
      </c>
      <c r="F39" s="1401">
        <v>-0.77548590076662594</v>
      </c>
      <c r="G39" s="1401">
        <v>-8.4513328191860531</v>
      </c>
      <c r="H39" s="1401">
        <v>15.129977237169712</v>
      </c>
      <c r="I39" s="1401">
        <v>0</v>
      </c>
      <c r="J39" s="1401">
        <v>2.2793454804127311</v>
      </c>
      <c r="K39" s="1401">
        <v>0</v>
      </c>
      <c r="L39" s="1401">
        <v>2.2430098924625774</v>
      </c>
      <c r="M39" s="1401">
        <v>-4.0851231949048383</v>
      </c>
      <c r="N39" s="1401">
        <v>-3.9125573256479029</v>
      </c>
      <c r="O39" s="1401">
        <v>-13.562911869587236</v>
      </c>
      <c r="P39" s="1001">
        <v>-5.4550396008881012</v>
      </c>
    </row>
    <row r="40" spans="2:17" hidden="1">
      <c r="B40" s="1003"/>
      <c r="C40" s="1001"/>
      <c r="D40" s="1401"/>
      <c r="E40" s="1401"/>
      <c r="F40" s="1401"/>
      <c r="G40" s="1401"/>
      <c r="H40" s="1401"/>
      <c r="I40" s="1401"/>
      <c r="J40" s="1401"/>
      <c r="K40" s="1401"/>
      <c r="L40" s="1401"/>
      <c r="M40" s="1401"/>
      <c r="N40" s="1401"/>
      <c r="O40" s="1401"/>
      <c r="P40" s="1001"/>
    </row>
    <row r="41" spans="2:17" hidden="1">
      <c r="B41" s="920">
        <v>2010</v>
      </c>
      <c r="C41" s="1001"/>
      <c r="D41" s="1401"/>
      <c r="E41" s="1401"/>
      <c r="F41" s="1401"/>
      <c r="G41" s="1401"/>
      <c r="H41" s="1401"/>
      <c r="I41" s="1401"/>
      <c r="J41" s="1401"/>
      <c r="K41" s="1401"/>
      <c r="L41" s="1401"/>
      <c r="M41" s="1401"/>
      <c r="N41" s="1401"/>
      <c r="O41" s="1401"/>
      <c r="P41" s="1001"/>
    </row>
    <row r="42" spans="2:17" hidden="1">
      <c r="B42" s="1003" t="s">
        <v>345</v>
      </c>
      <c r="C42" s="1001">
        <v>-1.5392624175902259</v>
      </c>
      <c r="D42" s="1401">
        <v>-15.986218365841031</v>
      </c>
      <c r="E42" s="1401">
        <v>13.904213125610898</v>
      </c>
      <c r="F42" s="1401">
        <v>-10.200792911023026</v>
      </c>
      <c r="G42" s="1401">
        <v>0.2913224265231884</v>
      </c>
      <c r="H42" s="1401">
        <v>17.561303649593029</v>
      </c>
      <c r="I42" s="1401">
        <v>0</v>
      </c>
      <c r="J42" s="1401">
        <v>1.6137093240774059</v>
      </c>
      <c r="K42" s="1401">
        <v>0</v>
      </c>
      <c r="L42" s="1401">
        <v>7.5873282447076251</v>
      </c>
      <c r="M42" s="1401">
        <v>-3.288215827715435</v>
      </c>
      <c r="N42" s="1401">
        <v>-0.90786990887965491</v>
      </c>
      <c r="O42" s="1401">
        <v>-8.4731053622628671</v>
      </c>
      <c r="P42" s="1001">
        <v>-1.6687127929083223</v>
      </c>
    </row>
    <row r="43" spans="2:17" hidden="1">
      <c r="B43" s="1003" t="s">
        <v>334</v>
      </c>
      <c r="C43" s="1001">
        <v>9.0273029441791728</v>
      </c>
      <c r="D43" s="1401">
        <v>-10.372685292105155</v>
      </c>
      <c r="E43" s="1401">
        <v>14.16096937693041</v>
      </c>
      <c r="F43" s="1401">
        <v>-11.329268207703869</v>
      </c>
      <c r="G43" s="1401">
        <v>0.18828158159893693</v>
      </c>
      <c r="H43" s="1401">
        <v>18.78236949027503</v>
      </c>
      <c r="I43" s="1401">
        <v>0</v>
      </c>
      <c r="J43" s="1401">
        <v>0.87517794708504848</v>
      </c>
      <c r="K43" s="1401">
        <v>0</v>
      </c>
      <c r="L43" s="1401">
        <v>4.2580483327057328</v>
      </c>
      <c r="M43" s="1401">
        <v>-0.95430404010500292</v>
      </c>
      <c r="N43" s="1401">
        <v>2.4624165085226135</v>
      </c>
      <c r="O43" s="1401">
        <v>-1.2449336342595374</v>
      </c>
      <c r="P43" s="1001">
        <v>2.3721542615758873</v>
      </c>
    </row>
    <row r="44" spans="2:17" hidden="1">
      <c r="B44" s="1003" t="s">
        <v>335</v>
      </c>
      <c r="C44" s="1001">
        <v>16.397461960634008</v>
      </c>
      <c r="D44" s="1401">
        <v>-7.8084802060873866</v>
      </c>
      <c r="E44" s="1401">
        <v>9.768603316051383</v>
      </c>
      <c r="F44" s="1401">
        <v>-7.3510861583856784</v>
      </c>
      <c r="G44" s="1401">
        <v>4.6445152293254965</v>
      </c>
      <c r="H44" s="1401">
        <v>14.394588519794628</v>
      </c>
      <c r="I44" s="1401">
        <v>0</v>
      </c>
      <c r="J44" s="1401">
        <v>-0.2955177403603626</v>
      </c>
      <c r="K44" s="1401">
        <v>0</v>
      </c>
      <c r="L44" s="1401">
        <v>12.647792382751376</v>
      </c>
      <c r="M44" s="1401">
        <v>0.8971035753531087</v>
      </c>
      <c r="N44" s="1401">
        <v>4.6701079223494757</v>
      </c>
      <c r="O44" s="1401">
        <v>4.2658447804146071</v>
      </c>
      <c r="P44" s="1001">
        <v>4.6249345324078872</v>
      </c>
    </row>
    <row r="45" spans="2:17" hidden="1">
      <c r="B45" s="1003" t="s">
        <v>336</v>
      </c>
      <c r="C45" s="1001">
        <v>17.416102709236327</v>
      </c>
      <c r="D45" s="1401">
        <v>-9.5898692856092431</v>
      </c>
      <c r="E45" s="1401">
        <v>9.1777408781217318</v>
      </c>
      <c r="F45" s="1401">
        <v>-6.9678346613884612</v>
      </c>
      <c r="G45" s="1401">
        <v>4.2809592545157926</v>
      </c>
      <c r="H45" s="1401">
        <v>13.373788409138253</v>
      </c>
      <c r="I45" s="1401">
        <v>-7.702155741781147</v>
      </c>
      <c r="J45" s="1401">
        <v>-2.4727246376712197</v>
      </c>
      <c r="K45" s="1401">
        <v>3.0375232608686353</v>
      </c>
      <c r="L45" s="1401">
        <v>12.644638244564653</v>
      </c>
      <c r="M45" s="1401">
        <v>0.14752890318145973</v>
      </c>
      <c r="N45" s="1401">
        <v>4.5264857963715599</v>
      </c>
      <c r="O45" s="1401">
        <v>5.2013179397844667</v>
      </c>
      <c r="P45" s="1001">
        <v>4.7482140927674221</v>
      </c>
    </row>
    <row r="46" spans="2:17" hidden="1">
      <c r="B46" s="1003" t="s">
        <v>337</v>
      </c>
      <c r="C46" s="1001">
        <v>18.971644156031321</v>
      </c>
      <c r="D46" s="1401">
        <v>-3.2028663736942353</v>
      </c>
      <c r="E46" s="1401">
        <v>8.4263579420005286</v>
      </c>
      <c r="F46" s="1401">
        <v>-2.0328450304263224</v>
      </c>
      <c r="G46" s="1401">
        <v>3.5281551961111379</v>
      </c>
      <c r="H46" s="1401">
        <v>11.632445324365781</v>
      </c>
      <c r="I46" s="1401">
        <v>-7.6170093678149868</v>
      </c>
      <c r="J46" s="1401">
        <v>-2.6833386946282678</v>
      </c>
      <c r="K46" s="1401">
        <v>7.0050982191249611</v>
      </c>
      <c r="L46" s="1401">
        <v>14.769474230845248</v>
      </c>
      <c r="M46" s="1401">
        <v>-1.5521405447515346</v>
      </c>
      <c r="N46" s="1401">
        <v>5.7652775159583891</v>
      </c>
      <c r="O46" s="1401">
        <v>6.6971251103957741</v>
      </c>
      <c r="P46" s="1001">
        <v>6.0719146800790158</v>
      </c>
    </row>
    <row r="47" spans="2:17" hidden="1">
      <c r="B47" s="1003" t="s">
        <v>338</v>
      </c>
      <c r="C47" s="1001">
        <v>12.579826615494571</v>
      </c>
      <c r="D47" s="1401">
        <v>-1.6865967662170966</v>
      </c>
      <c r="E47" s="1401">
        <v>9.9324612140722088</v>
      </c>
      <c r="F47" s="1401">
        <v>-1.8148997036657843</v>
      </c>
      <c r="G47" s="1401">
        <v>0.57673274816496534</v>
      </c>
      <c r="H47" s="1401">
        <v>3.6889435361862288</v>
      </c>
      <c r="I47" s="1401">
        <v>-8.1694038706638601</v>
      </c>
      <c r="J47" s="1401">
        <v>-1.6120010434410692</v>
      </c>
      <c r="K47" s="1401">
        <v>6.9930729538135283</v>
      </c>
      <c r="L47" s="1401">
        <v>10.621362821424629</v>
      </c>
      <c r="M47" s="1401">
        <v>-1.7167461885499113</v>
      </c>
      <c r="N47" s="1401">
        <v>4.3111808913519178</v>
      </c>
      <c r="O47" s="1401">
        <v>7.394788936245833</v>
      </c>
      <c r="P47" s="1001">
        <v>5.306910301322465</v>
      </c>
    </row>
    <row r="48" spans="2:17" hidden="1">
      <c r="B48" s="1003" t="s">
        <v>339</v>
      </c>
      <c r="C48" s="1001">
        <v>13.241879086565312</v>
      </c>
      <c r="D48" s="1401">
        <v>-2.5288569636180092</v>
      </c>
      <c r="E48" s="1401">
        <v>8.8285777188295889</v>
      </c>
      <c r="F48" s="1401">
        <v>-4.0371539106420551</v>
      </c>
      <c r="G48" s="1401">
        <v>1.4139372445973741</v>
      </c>
      <c r="H48" s="1401">
        <v>-3.9905716528489621</v>
      </c>
      <c r="I48" s="1401">
        <v>-5.0781079687437947</v>
      </c>
      <c r="J48" s="1401">
        <v>-1.938331387555392</v>
      </c>
      <c r="K48" s="1401">
        <v>6.5124400371192825</v>
      </c>
      <c r="L48" s="1401">
        <v>11.632158627032041</v>
      </c>
      <c r="M48" s="1401">
        <v>-2.0465761093266477</v>
      </c>
      <c r="N48" s="1401">
        <v>2.7510040764298083</v>
      </c>
      <c r="O48" s="1401">
        <v>7.1137809176870848</v>
      </c>
      <c r="P48" s="1001">
        <v>4.1493276585136352</v>
      </c>
    </row>
    <row r="49" spans="2:16" hidden="1">
      <c r="B49" s="1003" t="s">
        <v>340</v>
      </c>
      <c r="C49" s="1001">
        <v>12.407394070528488</v>
      </c>
      <c r="D49" s="1401">
        <v>-2.4397020993107366</v>
      </c>
      <c r="E49" s="1401">
        <v>5.5686676278488889</v>
      </c>
      <c r="F49" s="1401">
        <v>-4.2164685331444796</v>
      </c>
      <c r="G49" s="1401">
        <v>-0.68377690479832776</v>
      </c>
      <c r="H49" s="1401">
        <v>-3.5272157231269863</v>
      </c>
      <c r="I49" s="1401">
        <v>-5.0049676905099316</v>
      </c>
      <c r="J49" s="1401">
        <v>-2.1094444536894019</v>
      </c>
      <c r="K49" s="1401">
        <v>4.9808121214948597</v>
      </c>
      <c r="L49" s="1401">
        <v>12.534484847883753</v>
      </c>
      <c r="M49" s="1401">
        <v>-0.69247499567671733</v>
      </c>
      <c r="N49" s="1401">
        <v>1.9826251753266133</v>
      </c>
      <c r="O49" s="1401">
        <v>7.059348805702248</v>
      </c>
      <c r="P49" s="1001">
        <v>3.6043295690172394</v>
      </c>
    </row>
    <row r="50" spans="2:16" hidden="1">
      <c r="B50" s="1003" t="s">
        <v>341</v>
      </c>
      <c r="C50" s="1001">
        <v>12.568443464590429</v>
      </c>
      <c r="D50" s="1401">
        <v>-1.6733685372014029</v>
      </c>
      <c r="E50" s="1401">
        <v>4.8767567415830548</v>
      </c>
      <c r="F50" s="1401">
        <v>-4.2089539765316042</v>
      </c>
      <c r="G50" s="1401">
        <v>-0.2803767318046213</v>
      </c>
      <c r="H50" s="1401">
        <v>-1.1662558124727607</v>
      </c>
      <c r="I50" s="1401">
        <v>-4.2204111889739604</v>
      </c>
      <c r="J50" s="1401">
        <v>-5.7666235813911726</v>
      </c>
      <c r="K50" s="1401">
        <v>4.3691774309960074</v>
      </c>
      <c r="L50" s="1401">
        <v>9.1912869394979566</v>
      </c>
      <c r="M50" s="1401">
        <v>-0.57068793415533392</v>
      </c>
      <c r="N50" s="1401">
        <v>2.2947054630815478</v>
      </c>
      <c r="O50" s="1401">
        <v>8.3655628529432757</v>
      </c>
      <c r="P50" s="1001">
        <v>4.2206457038235223</v>
      </c>
    </row>
    <row r="51" spans="2:16" hidden="1">
      <c r="B51" s="1003" t="s">
        <v>342</v>
      </c>
      <c r="C51" s="1001">
        <v>10.841799400518992</v>
      </c>
      <c r="D51" s="1401">
        <v>-1.9922299262054022</v>
      </c>
      <c r="E51" s="1401">
        <v>2.4488182794694779</v>
      </c>
      <c r="F51" s="1401">
        <v>-4.5672404035848713</v>
      </c>
      <c r="G51" s="1401">
        <v>-0.3412861366020925</v>
      </c>
      <c r="H51" s="1401">
        <v>-1.795608431786333</v>
      </c>
      <c r="I51" s="1401">
        <v>-4.40661743255093</v>
      </c>
      <c r="J51" s="1401">
        <v>-5.5737459681908019</v>
      </c>
      <c r="K51" s="1401">
        <v>4.3691774309960074</v>
      </c>
      <c r="L51" s="1401">
        <v>9.8056851996079608</v>
      </c>
      <c r="M51" s="1401">
        <v>0.78856710096610882</v>
      </c>
      <c r="N51" s="1401">
        <v>1.3591216176531695</v>
      </c>
      <c r="O51" s="1401">
        <v>8.4574929752327712</v>
      </c>
      <c r="P51" s="1001">
        <v>3.599770669686686</v>
      </c>
    </row>
    <row r="52" spans="2:16" hidden="1">
      <c r="B52" s="1003" t="s">
        <v>343</v>
      </c>
      <c r="C52" s="1001">
        <v>12.183099160988252</v>
      </c>
      <c r="D52" s="1401">
        <v>-3.1734333627356448</v>
      </c>
      <c r="E52" s="1401">
        <v>2.6998510015457056</v>
      </c>
      <c r="F52" s="1401">
        <v>-7.2746012801478965</v>
      </c>
      <c r="G52" s="1401">
        <v>2.4184489238769036</v>
      </c>
      <c r="H52" s="1401">
        <v>-0.90005763232884339</v>
      </c>
      <c r="I52" s="1401">
        <v>-3.8455496832618064</v>
      </c>
      <c r="J52" s="1401">
        <v>-3.3862510418507075</v>
      </c>
      <c r="K52" s="1401">
        <v>4.1273306247874286</v>
      </c>
      <c r="L52" s="1401">
        <v>8.9758026439138661</v>
      </c>
      <c r="M52" s="1401">
        <v>1.6764936510906603</v>
      </c>
      <c r="N52" s="1401">
        <v>1.5912134429470814</v>
      </c>
      <c r="O52" s="1401">
        <v>9.7870546414695845</v>
      </c>
      <c r="P52" s="1001">
        <v>4.1833704330798582</v>
      </c>
    </row>
    <row r="53" spans="2:16" hidden="1">
      <c r="B53" s="1003" t="s">
        <v>344</v>
      </c>
      <c r="C53" s="1001">
        <v>10.295467580601937</v>
      </c>
      <c r="D53" s="1401">
        <v>-2.2455906314824414</v>
      </c>
      <c r="E53" s="1401">
        <v>2.0496211732812242</v>
      </c>
      <c r="F53" s="1401">
        <v>-4.6623178379771479</v>
      </c>
      <c r="G53" s="1401">
        <v>1.7017864564963903</v>
      </c>
      <c r="H53" s="1401">
        <v>-2.9008658951255595</v>
      </c>
      <c r="I53" s="1401">
        <v>-3.6272328235204099</v>
      </c>
      <c r="J53" s="1401">
        <v>-2.8816872108797797</v>
      </c>
      <c r="K53" s="1401">
        <v>-0.53532279174880459</v>
      </c>
      <c r="L53" s="1401">
        <v>5.8264574618875908</v>
      </c>
      <c r="M53" s="1401">
        <v>1.4473491924780202</v>
      </c>
      <c r="N53" s="1401">
        <v>1.3267066296946295</v>
      </c>
      <c r="O53" s="1401">
        <v>7.3400956841942255</v>
      </c>
      <c r="P53" s="1001">
        <v>3.2325052867839377</v>
      </c>
    </row>
    <row r="54" spans="2:16" hidden="1">
      <c r="B54" s="1003"/>
      <c r="C54" s="1001"/>
      <c r="D54" s="1401"/>
      <c r="E54" s="1401"/>
      <c r="F54" s="1401"/>
      <c r="G54" s="1401"/>
      <c r="H54" s="1401"/>
      <c r="I54" s="1401"/>
      <c r="J54" s="1401"/>
      <c r="K54" s="1401"/>
      <c r="L54" s="1401"/>
      <c r="M54" s="1401"/>
      <c r="N54" s="1401"/>
      <c r="O54" s="1401"/>
      <c r="P54" s="1001"/>
    </row>
    <row r="55" spans="2:16" hidden="1">
      <c r="B55" s="920">
        <v>2011</v>
      </c>
      <c r="C55" s="1001"/>
      <c r="D55" s="1401"/>
      <c r="E55" s="1401"/>
      <c r="F55" s="1401"/>
      <c r="G55" s="1401"/>
      <c r="H55" s="1401"/>
      <c r="I55" s="1401"/>
      <c r="J55" s="1401"/>
      <c r="K55" s="1401"/>
      <c r="L55" s="1401"/>
      <c r="M55" s="1401"/>
      <c r="N55" s="1401"/>
      <c r="O55" s="1401"/>
      <c r="P55" s="1001"/>
    </row>
    <row r="56" spans="2:16" hidden="1">
      <c r="B56" s="1003" t="s">
        <v>345</v>
      </c>
      <c r="C56" s="1001">
        <v>10.026161916069176</v>
      </c>
      <c r="D56" s="1401">
        <v>-1.1147042745543567</v>
      </c>
      <c r="E56" s="1401">
        <v>2.619663171841613</v>
      </c>
      <c r="F56" s="1401">
        <v>4.5075579072561878</v>
      </c>
      <c r="G56" s="1401">
        <v>0.4671357517560093</v>
      </c>
      <c r="H56" s="1401">
        <v>3.2508288788597461</v>
      </c>
      <c r="I56" s="1401">
        <v>-4.5428069333557586</v>
      </c>
      <c r="J56" s="1401">
        <v>-4.9137941241128242</v>
      </c>
      <c r="K56" s="1401">
        <v>-2.808735531155937</v>
      </c>
      <c r="L56" s="1401">
        <v>5.1208740949800546</v>
      </c>
      <c r="M56" s="1401">
        <v>4.0426528378028515</v>
      </c>
      <c r="N56" s="1401">
        <v>1.9879365630728341</v>
      </c>
      <c r="O56" s="1401">
        <v>6.7788723197180545</v>
      </c>
      <c r="P56" s="1001">
        <v>3.522377184510872</v>
      </c>
    </row>
    <row r="57" spans="2:16" hidden="1">
      <c r="B57" s="1003" t="s">
        <v>334</v>
      </c>
      <c r="C57" s="1001">
        <v>7.152451358864198</v>
      </c>
      <c r="D57" s="1401">
        <v>-0.92072528335773729</v>
      </c>
      <c r="E57" s="1401">
        <v>2.944945912200958</v>
      </c>
      <c r="F57" s="1401">
        <v>4.6394728493532433</v>
      </c>
      <c r="G57" s="1401">
        <v>0.5551768361288012</v>
      </c>
      <c r="H57" s="1401">
        <v>3.2046400163404654</v>
      </c>
      <c r="I57" s="1401">
        <v>-4.4820544258715511</v>
      </c>
      <c r="J57" s="1401">
        <v>-3.4337887122702027</v>
      </c>
      <c r="K57" s="1401">
        <v>-0.50923999735548175</v>
      </c>
      <c r="L57" s="1401">
        <v>4.6288779029330263</v>
      </c>
      <c r="M57" s="1401">
        <v>4.0525428088297177</v>
      </c>
      <c r="N57" s="1401">
        <v>1.9832268452576685</v>
      </c>
      <c r="O57" s="1401">
        <v>5.2598539193535077</v>
      </c>
      <c r="P57" s="1001">
        <v>3.0416195635887933</v>
      </c>
    </row>
    <row r="58" spans="2:16" hidden="1">
      <c r="B58" s="1003" t="s">
        <v>335</v>
      </c>
      <c r="C58" s="1001">
        <v>4.2308908867980888</v>
      </c>
      <c r="D58" s="1401">
        <v>9.7508789749456426E-3</v>
      </c>
      <c r="E58" s="1401">
        <v>1.8755956843469201</v>
      </c>
      <c r="F58" s="1401">
        <v>0.25531528711233431</v>
      </c>
      <c r="G58" s="1401">
        <v>-0.83138991143191232</v>
      </c>
      <c r="H58" s="1401">
        <v>8.4508562770442275</v>
      </c>
      <c r="I58" s="1401">
        <v>-4.2275008219378467</v>
      </c>
      <c r="J58" s="1401">
        <v>-2.0052987203648009</v>
      </c>
      <c r="K58" s="1401">
        <v>4.8977802056544562</v>
      </c>
      <c r="L58" s="1401">
        <v>2.4318252668029006</v>
      </c>
      <c r="M58" s="1401">
        <v>2.9581358807600155</v>
      </c>
      <c r="N58" s="1401">
        <v>2.3429396479836662</v>
      </c>
      <c r="O58" s="1401">
        <v>3.3319565871500645</v>
      </c>
      <c r="P58" s="1001">
        <v>2.6667837236718173</v>
      </c>
    </row>
    <row r="59" spans="2:16" hidden="1">
      <c r="B59" s="1003" t="s">
        <v>336</v>
      </c>
      <c r="C59" s="1001">
        <v>3.5647344678688464</v>
      </c>
      <c r="D59" s="1401">
        <v>1.2675403084277503</v>
      </c>
      <c r="E59" s="1401">
        <v>2.9886398568768957</v>
      </c>
      <c r="F59" s="1401">
        <v>-0.53234918695301836</v>
      </c>
      <c r="G59" s="1401">
        <v>-1.0719150122498133</v>
      </c>
      <c r="H59" s="1401">
        <v>9.6548915774092201</v>
      </c>
      <c r="I59" s="1401">
        <v>-1.6761172893883791</v>
      </c>
      <c r="J59" s="1401">
        <v>0.40345222799578195</v>
      </c>
      <c r="K59" s="1401">
        <v>4.8977802056544562</v>
      </c>
      <c r="L59" s="1401">
        <v>2.8176282417895271</v>
      </c>
      <c r="M59" s="1401">
        <v>3.9827878665826599</v>
      </c>
      <c r="N59" s="1401">
        <v>2.5700835598259753</v>
      </c>
      <c r="O59" s="1401">
        <v>2.9463340590279774</v>
      </c>
      <c r="P59" s="1001">
        <v>2.694242214414766</v>
      </c>
    </row>
    <row r="60" spans="2:16" hidden="1">
      <c r="B60" s="1003" t="s">
        <v>337</v>
      </c>
      <c r="C60" s="1001">
        <v>2.631732004201659</v>
      </c>
      <c r="D60" s="1401">
        <v>1.719011008336091</v>
      </c>
      <c r="E60" s="1401">
        <v>3.3250276792536226</v>
      </c>
      <c r="F60" s="1401">
        <v>-0.91053138495519326</v>
      </c>
      <c r="G60" s="1401">
        <v>-1.009277392515584</v>
      </c>
      <c r="H60" s="1401">
        <v>9.1674563707406342</v>
      </c>
      <c r="I60" s="1401">
        <v>-1.9228100297517536</v>
      </c>
      <c r="J60" s="1401">
        <v>0.47597812554243113</v>
      </c>
      <c r="K60" s="1401">
        <v>4.8977802056544562</v>
      </c>
      <c r="L60" s="1401">
        <v>3.8229158034922328</v>
      </c>
      <c r="M60" s="1401">
        <v>3.9280817229667475</v>
      </c>
      <c r="N60" s="1401">
        <v>2.6097304651360842</v>
      </c>
      <c r="O60" s="1401">
        <v>2.292748422840174</v>
      </c>
      <c r="P60" s="1001">
        <v>2.5048083903281615</v>
      </c>
    </row>
    <row r="61" spans="2:16" hidden="1">
      <c r="B61" s="1003" t="s">
        <v>338</v>
      </c>
      <c r="C61" s="1001">
        <v>3.2872580154830189</v>
      </c>
      <c r="D61" s="1401">
        <v>1.5673036432343856</v>
      </c>
      <c r="E61" s="1401">
        <v>3.2996466650679013</v>
      </c>
      <c r="F61" s="1401">
        <v>-0.16921040426887135</v>
      </c>
      <c r="G61" s="1401">
        <v>-0.35122713757985702</v>
      </c>
      <c r="H61" s="1401">
        <v>9.5781515396488039</v>
      </c>
      <c r="I61" s="1401">
        <v>-1.852683342906758</v>
      </c>
      <c r="J61" s="1401">
        <v>1.5440869917645372</v>
      </c>
      <c r="K61" s="1401">
        <v>4.1301291340526847</v>
      </c>
      <c r="L61" s="1401">
        <v>3.7941661866664811</v>
      </c>
      <c r="M61" s="1401">
        <v>3.8125185523391059</v>
      </c>
      <c r="N61" s="1401">
        <v>2.7694371163283327</v>
      </c>
      <c r="O61" s="1401">
        <v>3.0448381418429094</v>
      </c>
      <c r="P61" s="1001">
        <v>2.8601301764285658</v>
      </c>
    </row>
    <row r="62" spans="2:16" hidden="1">
      <c r="B62" s="1003" t="s">
        <v>339</v>
      </c>
      <c r="C62" s="1001">
        <v>4.388025942071172</v>
      </c>
      <c r="D62" s="1401">
        <v>2.3663928804723344</v>
      </c>
      <c r="E62" s="1401">
        <v>4.1752423600538213</v>
      </c>
      <c r="F62" s="1401">
        <v>-0.13637735005135321</v>
      </c>
      <c r="G62" s="1401">
        <v>-0.5362510316547997</v>
      </c>
      <c r="H62" s="1401">
        <v>9.4542383416247091</v>
      </c>
      <c r="I62" s="1401">
        <v>-2.4681323593460869</v>
      </c>
      <c r="J62" s="1401">
        <v>1.2732792269871007</v>
      </c>
      <c r="K62" s="1401">
        <v>4.7517763463227114</v>
      </c>
      <c r="L62" s="1401">
        <v>5.3571378224092525</v>
      </c>
      <c r="M62" s="1401">
        <v>4.3207870767878687</v>
      </c>
      <c r="N62" s="1401">
        <v>3.1115533928855799</v>
      </c>
      <c r="O62" s="1401">
        <v>3.5586383560234358</v>
      </c>
      <c r="P62" s="1001">
        <v>3.2589283273206204</v>
      </c>
    </row>
    <row r="63" spans="2:16" hidden="1">
      <c r="B63" s="1003" t="s">
        <v>340</v>
      </c>
      <c r="C63" s="1001">
        <v>4.2233888299684885</v>
      </c>
      <c r="D63" s="1401">
        <v>2.6678624500687587</v>
      </c>
      <c r="E63" s="1401">
        <v>4.7640828900729515</v>
      </c>
      <c r="F63" s="1401">
        <v>0.25450836688478695</v>
      </c>
      <c r="G63" s="1401">
        <v>-4.2057043546250839E-2</v>
      </c>
      <c r="H63" s="1401">
        <v>9.939584985532889</v>
      </c>
      <c r="I63" s="1401">
        <v>-2.3952786691611827</v>
      </c>
      <c r="J63" s="1401">
        <v>1.7012223213529687</v>
      </c>
      <c r="K63" s="1401">
        <v>5.2792818181818246</v>
      </c>
      <c r="L63" s="1401">
        <v>5.6321105879835631</v>
      </c>
      <c r="M63" s="1401">
        <v>4.8010753188283184</v>
      </c>
      <c r="N63" s="1401">
        <v>3.5369197385424878</v>
      </c>
      <c r="O63" s="1401">
        <v>3.5386009608577407</v>
      </c>
      <c r="P63" s="1001">
        <v>3.5374746964069281</v>
      </c>
    </row>
    <row r="64" spans="2:16" hidden="1">
      <c r="B64" s="1003" t="s">
        <v>341</v>
      </c>
      <c r="C64" s="1001">
        <v>4.8575076046073251</v>
      </c>
      <c r="D64" s="1401">
        <v>2.6407023812301089</v>
      </c>
      <c r="E64" s="1401">
        <v>7.1806642326697645</v>
      </c>
      <c r="F64" s="1401">
        <v>0.4264065221817992</v>
      </c>
      <c r="G64" s="1401">
        <v>-0.50467380602443601</v>
      </c>
      <c r="H64" s="1401">
        <v>7.171151360040362</v>
      </c>
      <c r="I64" s="1401">
        <v>10.978079394603046</v>
      </c>
      <c r="J64" s="1401">
        <v>1.782223410429129</v>
      </c>
      <c r="K64" s="1401">
        <v>5.6315181818181737</v>
      </c>
      <c r="L64" s="1401">
        <v>5.9358205272166176</v>
      </c>
      <c r="M64" s="1401">
        <v>5.5698047348865076</v>
      </c>
      <c r="N64" s="1401">
        <v>4.4445743310954633</v>
      </c>
      <c r="O64" s="1401">
        <v>4.013443601487432</v>
      </c>
      <c r="P64" s="1001">
        <v>4.3023613346894862</v>
      </c>
    </row>
    <row r="65" spans="2:16" hidden="1">
      <c r="B65" s="1003" t="s">
        <v>342</v>
      </c>
      <c r="C65" s="1001">
        <v>3.5607920315814168</v>
      </c>
      <c r="D65" s="1401">
        <v>2.9717485113309294</v>
      </c>
      <c r="E65" s="1401">
        <v>6.2456846488115447</v>
      </c>
      <c r="F65" s="1401">
        <v>6.4272470862025699E-2</v>
      </c>
      <c r="G65" s="1401">
        <v>-6.7088793409697534E-2</v>
      </c>
      <c r="H65" s="1401">
        <v>7.2980709467357796</v>
      </c>
      <c r="I65" s="1401">
        <v>11.395798510656263</v>
      </c>
      <c r="J65" s="1401">
        <v>2.0173874275523751</v>
      </c>
      <c r="K65" s="1401">
        <v>5.6315181818181737</v>
      </c>
      <c r="L65" s="1401">
        <v>5.2065936131915347</v>
      </c>
      <c r="M65" s="1401">
        <v>5.3985218317214922</v>
      </c>
      <c r="N65" s="1401">
        <v>4.4620702397884626</v>
      </c>
      <c r="O65" s="1401">
        <v>3.6845183747065802</v>
      </c>
      <c r="P65" s="1001">
        <v>4.2051222301471514</v>
      </c>
    </row>
    <row r="66" spans="2:16" hidden="1">
      <c r="B66" s="1003" t="s">
        <v>343</v>
      </c>
      <c r="C66" s="1001">
        <v>3.6931722178306314</v>
      </c>
      <c r="D66" s="1401">
        <v>3.2622333751568311</v>
      </c>
      <c r="E66" s="1401">
        <v>6.5693162144711215</v>
      </c>
      <c r="F66" s="1401">
        <v>1.9527802049551957</v>
      </c>
      <c r="G66" s="1401">
        <v>1.5254416578236452E-2</v>
      </c>
      <c r="H66" s="1401">
        <v>6.4493090636439598</v>
      </c>
      <c r="I66" s="1401">
        <v>10.613551928085352</v>
      </c>
      <c r="J66" s="1401">
        <v>2.174131857070972</v>
      </c>
      <c r="K66" s="1401">
        <v>5.4834316840671731</v>
      </c>
      <c r="L66" s="1401">
        <v>6.1624608703490624</v>
      </c>
      <c r="M66" s="1401">
        <v>4.8391759503031206</v>
      </c>
      <c r="N66" s="1401">
        <v>4.4330876857486157</v>
      </c>
      <c r="O66" s="1401">
        <v>3.8145142731378368</v>
      </c>
      <c r="P66" s="1001">
        <v>4.2269242013980302</v>
      </c>
    </row>
    <row r="67" spans="2:16" hidden="1">
      <c r="B67" s="1003" t="s">
        <v>344</v>
      </c>
      <c r="C67" s="1001">
        <v>7.4017121616796855</v>
      </c>
      <c r="D67" s="1401">
        <v>2.617622914461859</v>
      </c>
      <c r="E67" s="1401">
        <v>7.4705665587053494</v>
      </c>
      <c r="F67" s="1401">
        <v>0.17390544892352811</v>
      </c>
      <c r="G67" s="1401">
        <v>-2.1104834317386967E-2</v>
      </c>
      <c r="H67" s="1401">
        <v>6.5418847353217791</v>
      </c>
      <c r="I67" s="1401">
        <v>10.705907247284374</v>
      </c>
      <c r="J67" s="1401">
        <v>1.5983780881871912</v>
      </c>
      <c r="K67" s="1401">
        <v>5.6315181818181959</v>
      </c>
      <c r="L67" s="1401">
        <v>8.4655265386097689</v>
      </c>
      <c r="M67" s="1401">
        <v>5.7113904901282764</v>
      </c>
      <c r="N67" s="1401">
        <v>0.88648423638972851</v>
      </c>
      <c r="O67" s="1401">
        <v>5.8056191465395202</v>
      </c>
      <c r="P67" s="1001">
        <v>4.9007624121603977</v>
      </c>
    </row>
    <row r="68" spans="2:16" hidden="1">
      <c r="B68" s="1003"/>
      <c r="C68" s="1001"/>
      <c r="D68" s="1401"/>
      <c r="E68" s="1401"/>
      <c r="F68" s="1401"/>
      <c r="G68" s="1401"/>
      <c r="H68" s="1401"/>
      <c r="I68" s="1401"/>
      <c r="J68" s="1401"/>
      <c r="K68" s="1401"/>
      <c r="L68" s="1401"/>
      <c r="M68" s="1401"/>
      <c r="N68" s="1401"/>
      <c r="O68" s="1401"/>
      <c r="P68" s="1001"/>
    </row>
    <row r="69" spans="2:16" hidden="1">
      <c r="B69" s="920">
        <v>2012</v>
      </c>
      <c r="C69" s="1001"/>
      <c r="D69" s="1401"/>
      <c r="E69" s="1401"/>
      <c r="F69" s="1401"/>
      <c r="G69" s="1401"/>
      <c r="H69" s="1401"/>
      <c r="I69" s="1401"/>
      <c r="J69" s="1401"/>
      <c r="K69" s="1401"/>
      <c r="L69" s="1401"/>
      <c r="M69" s="1401"/>
      <c r="N69" s="1401"/>
      <c r="O69" s="1401"/>
      <c r="P69" s="1001"/>
    </row>
    <row r="70" spans="2:16" hidden="1">
      <c r="B70" s="1003" t="s">
        <v>345</v>
      </c>
      <c r="C70" s="1001">
        <v>7.3295257891532906</v>
      </c>
      <c r="D70" s="1401">
        <v>2.4038986229605763</v>
      </c>
      <c r="E70" s="1401">
        <v>6.9385206586513037</v>
      </c>
      <c r="F70" s="1401">
        <v>0.51086315024062579</v>
      </c>
      <c r="G70" s="1401">
        <v>0.53200187004240895</v>
      </c>
      <c r="H70" s="1401">
        <v>1.7820893007476135</v>
      </c>
      <c r="I70" s="1401">
        <v>12.311691736118547</v>
      </c>
      <c r="J70" s="1401">
        <v>4.8884815302985274E-2</v>
      </c>
      <c r="K70" s="1401">
        <v>5.7979693720394243</v>
      </c>
      <c r="L70" s="1401">
        <v>9.4049183011755808</v>
      </c>
      <c r="M70" s="1401">
        <v>2.8961587668398403</v>
      </c>
      <c r="N70" s="1401">
        <v>4.021561819402697</v>
      </c>
      <c r="O70" s="1401">
        <v>4.901502655351142</v>
      </c>
      <c r="P70" s="1001">
        <v>4.3122546403562279</v>
      </c>
    </row>
    <row r="71" spans="2:16" hidden="1">
      <c r="B71" s="1003" t="s">
        <v>334</v>
      </c>
      <c r="C71" s="1001">
        <v>6.9694807382999713</v>
      </c>
      <c r="D71" s="1401">
        <v>2.0401425074832336</v>
      </c>
      <c r="E71" s="1401">
        <v>10.652810679786228</v>
      </c>
      <c r="F71" s="1401">
        <v>0.64971882151851901</v>
      </c>
      <c r="G71" s="1401">
        <v>1.0564442614200198</v>
      </c>
      <c r="H71" s="1401">
        <v>0.60228769309880192</v>
      </c>
      <c r="I71" s="1401">
        <v>11.657639868866232</v>
      </c>
      <c r="J71" s="1401">
        <v>1.7996568114987621</v>
      </c>
      <c r="K71" s="1401">
        <v>5.310622042965929</v>
      </c>
      <c r="L71" s="1401">
        <v>8.6470106362604113</v>
      </c>
      <c r="M71" s="1401">
        <v>3.1619290675641842</v>
      </c>
      <c r="N71" s="1401">
        <v>3.9174698525342055</v>
      </c>
      <c r="O71" s="1401">
        <v>5.0127232861443716</v>
      </c>
      <c r="P71" s="1001">
        <v>4.4132056534537663</v>
      </c>
    </row>
    <row r="72" spans="2:16" hidden="1">
      <c r="B72" s="1003" t="s">
        <v>335</v>
      </c>
      <c r="C72" s="1001">
        <v>5.7494252056786266</v>
      </c>
      <c r="D72" s="1401">
        <v>1.756953602936373</v>
      </c>
      <c r="E72" s="1401">
        <v>10.92560933492881</v>
      </c>
      <c r="F72" s="1401">
        <v>1.1375076647528459</v>
      </c>
      <c r="G72" s="1401">
        <v>1.0452660089914856</v>
      </c>
      <c r="H72" s="1401">
        <v>-1.7606758889901153</v>
      </c>
      <c r="I72" s="1401">
        <v>11.855331553518077</v>
      </c>
      <c r="J72" s="1401">
        <v>1.4503986248486811</v>
      </c>
      <c r="K72" s="1401">
        <v>6.0745319436235068</v>
      </c>
      <c r="L72" s="1401">
        <v>7.2673216041131417</v>
      </c>
      <c r="M72" s="1401">
        <v>3.5310440141102184</v>
      </c>
      <c r="N72" s="1401">
        <v>3.3804416477993815</v>
      </c>
      <c r="O72" s="1401">
        <v>5.1965235177552582</v>
      </c>
      <c r="P72" s="1001">
        <v>3.9789529354106845</v>
      </c>
    </row>
    <row r="73" spans="2:16" hidden="1">
      <c r="B73" s="1003" t="s">
        <v>336</v>
      </c>
      <c r="C73" s="1001">
        <v>6.13142532720794</v>
      </c>
      <c r="D73" s="1401">
        <v>1.928999426049427</v>
      </c>
      <c r="E73" s="1401">
        <v>13.309664655908037</v>
      </c>
      <c r="F73" s="1401">
        <v>1.3366909203727184</v>
      </c>
      <c r="G73" s="1401">
        <v>1.4705767404413983</v>
      </c>
      <c r="H73" s="1401">
        <v>-1.1115719489072973</v>
      </c>
      <c r="I73" s="1401">
        <v>12.312621140019386</v>
      </c>
      <c r="J73" s="1401">
        <v>2.391854311204078</v>
      </c>
      <c r="K73" s="1401">
        <v>6.2310303047111493</v>
      </c>
      <c r="L73" s="1401">
        <v>7.2041390689185025</v>
      </c>
      <c r="M73" s="1401">
        <v>3.4283648462274829</v>
      </c>
      <c r="N73" s="1401">
        <v>3.6437630345957484</v>
      </c>
      <c r="O73" s="1401">
        <v>4.7989389724587328</v>
      </c>
      <c r="P73" s="1001">
        <v>4.0258945339770591</v>
      </c>
    </row>
    <row r="74" spans="2:16" hidden="1">
      <c r="B74" s="1003" t="s">
        <v>337</v>
      </c>
      <c r="C74" s="1001">
        <v>5.7959946330897072</v>
      </c>
      <c r="D74" s="1401">
        <v>1.6357970560832991</v>
      </c>
      <c r="E74" s="1401">
        <v>13.943321428277411</v>
      </c>
      <c r="F74" s="1401">
        <v>1.488851739260455</v>
      </c>
      <c r="G74" s="1401">
        <v>1.2079761443718473</v>
      </c>
      <c r="H74" s="1401">
        <v>-0.9050508720583772</v>
      </c>
      <c r="I74" s="1401">
        <v>12.362080838909574</v>
      </c>
      <c r="J74" s="1401">
        <v>1.0849254476947845</v>
      </c>
      <c r="K74" s="1401">
        <v>6.2310303047111493</v>
      </c>
      <c r="L74" s="1401">
        <v>6.1168500019711969</v>
      </c>
      <c r="M74" s="1401">
        <v>3.5328495037793894</v>
      </c>
      <c r="N74" s="1401">
        <v>3.723001895954825</v>
      </c>
      <c r="O74" s="1401">
        <v>4.6126384707579682</v>
      </c>
      <c r="P74" s="1001">
        <v>4.0168652624289702</v>
      </c>
    </row>
    <row r="75" spans="2:16" hidden="1">
      <c r="B75" s="1003" t="s">
        <v>338</v>
      </c>
      <c r="C75" s="1001">
        <v>6.1613728627739617</v>
      </c>
      <c r="D75" s="1401">
        <v>1.593533632376487</v>
      </c>
      <c r="E75" s="1401">
        <v>14.132273059859578</v>
      </c>
      <c r="F75" s="1401">
        <v>1.5379531746494646</v>
      </c>
      <c r="G75" s="1401">
        <v>1.3037104536387067</v>
      </c>
      <c r="H75" s="1401">
        <v>-1.0116900353491443</v>
      </c>
      <c r="I75" s="1401">
        <v>12.328132658323309</v>
      </c>
      <c r="J75" s="1401">
        <v>5.5341451328905222E-3</v>
      </c>
      <c r="K75" s="1401">
        <v>10.971317734054175</v>
      </c>
      <c r="L75" s="1401">
        <v>6.0676008621117772</v>
      </c>
      <c r="M75" s="1401">
        <v>3.1598710749599634</v>
      </c>
      <c r="N75" s="1401">
        <v>3.5713892210194054</v>
      </c>
      <c r="O75" s="1401">
        <v>4.793155988904263</v>
      </c>
      <c r="P75" s="1001">
        <v>3.9744550513042931</v>
      </c>
    </row>
    <row r="76" spans="2:16" hidden="1">
      <c r="B76" s="1003" t="s">
        <v>339</v>
      </c>
      <c r="C76" s="1001">
        <v>6.6944026561912118</v>
      </c>
      <c r="D76" s="1401">
        <v>0.48830621262729856</v>
      </c>
      <c r="E76" s="1401">
        <v>13.883314614982755</v>
      </c>
      <c r="F76" s="1401">
        <v>1.3634398377785573</v>
      </c>
      <c r="G76" s="1401">
        <v>1.7181269172245051</v>
      </c>
      <c r="H76" s="1401">
        <v>1.0732930390751516</v>
      </c>
      <c r="I76" s="1401">
        <v>12.848765668958384</v>
      </c>
      <c r="J76" s="1401">
        <v>0.2130174337952262</v>
      </c>
      <c r="K76" s="1401">
        <v>10.946573711187412</v>
      </c>
      <c r="L76" s="1401">
        <v>5.83252652434334</v>
      </c>
      <c r="M76" s="1401">
        <v>3.106543744068313</v>
      </c>
      <c r="N76" s="1401">
        <v>3.7736067497452286</v>
      </c>
      <c r="O76" s="1401">
        <v>4.2864855030698035</v>
      </c>
      <c r="P76" s="1001">
        <v>3.9431603390020609</v>
      </c>
    </row>
    <row r="77" spans="2:16" hidden="1">
      <c r="B77" s="1003" t="s">
        <v>340</v>
      </c>
      <c r="C77" s="1001">
        <v>6.6071586106232205</v>
      </c>
      <c r="D77" s="1401">
        <v>-0.10245259747252433</v>
      </c>
      <c r="E77" s="1401">
        <v>13.609711910480149</v>
      </c>
      <c r="F77" s="1401">
        <v>1.0122490684176366</v>
      </c>
      <c r="G77" s="1401">
        <v>1.9795522595990933</v>
      </c>
      <c r="H77" s="1401">
        <v>0.78721442110210038</v>
      </c>
      <c r="I77" s="1401">
        <v>12.935945980658481</v>
      </c>
      <c r="J77" s="1401">
        <v>0.27090844989052787</v>
      </c>
      <c r="K77" s="1401">
        <v>10.810596335064115</v>
      </c>
      <c r="L77" s="1401">
        <v>4.8993466521875861</v>
      </c>
      <c r="M77" s="1401">
        <v>2.558860457325185</v>
      </c>
      <c r="N77" s="1401">
        <v>3.3500856728681194</v>
      </c>
      <c r="O77" s="1401">
        <v>4.1964803487162916</v>
      </c>
      <c r="P77" s="1001">
        <v>3.6294767367235359</v>
      </c>
    </row>
    <row r="78" spans="2:16" hidden="1">
      <c r="B78" s="1003" t="s">
        <v>341</v>
      </c>
      <c r="C78" s="1001">
        <v>6.2925163035162601</v>
      </c>
      <c r="D78" s="1401">
        <v>-0.50606990619834757</v>
      </c>
      <c r="E78" s="1401">
        <v>11.443914474576866</v>
      </c>
      <c r="F78" s="1401">
        <v>0.97259122116499785</v>
      </c>
      <c r="G78" s="1401">
        <v>2.4178365365321586</v>
      </c>
      <c r="H78" s="1401">
        <v>3.4777269966797864</v>
      </c>
      <c r="I78" s="1401">
        <v>-0.54177314518133457</v>
      </c>
      <c r="J78" s="1401">
        <v>0.31912105596760831</v>
      </c>
      <c r="K78" s="1401">
        <v>10.87543000036062</v>
      </c>
      <c r="L78" s="1401">
        <v>5.2312399151829725</v>
      </c>
      <c r="M78" s="1401">
        <v>1.9334716713724553</v>
      </c>
      <c r="N78" s="1401">
        <v>2.4698897345272419</v>
      </c>
      <c r="O78" s="1401">
        <v>4.7987459263789445</v>
      </c>
      <c r="P78" s="1001">
        <v>3.2359594846742334</v>
      </c>
    </row>
    <row r="79" spans="2:16" hidden="1">
      <c r="B79" s="1003" t="s">
        <v>342</v>
      </c>
      <c r="C79" s="1001">
        <v>6.563113671700771</v>
      </c>
      <c r="D79" s="1401">
        <v>-0.32478530928649052</v>
      </c>
      <c r="E79" s="1401">
        <v>11.155587084876206</v>
      </c>
      <c r="F79" s="1401">
        <v>1.600143989996905</v>
      </c>
      <c r="G79" s="1401">
        <v>2.0373929963809267</v>
      </c>
      <c r="H79" s="1401">
        <v>6.7684559912320363</v>
      </c>
      <c r="I79" s="1401">
        <v>-0.36957666824928292</v>
      </c>
      <c r="J79" s="1401">
        <v>-0.16063953172777978</v>
      </c>
      <c r="K79" s="1401">
        <v>10.257716640530923</v>
      </c>
      <c r="L79" s="1401">
        <v>5.8160257835474072</v>
      </c>
      <c r="M79" s="1401">
        <v>2.3827674708399416</v>
      </c>
      <c r="N79" s="1401">
        <v>2.4879052141447255</v>
      </c>
      <c r="O79" s="1401">
        <v>5.1993702979114209</v>
      </c>
      <c r="P79" s="1001">
        <v>3.3794532634172869</v>
      </c>
    </row>
    <row r="80" spans="2:16" hidden="1">
      <c r="B80" s="1003" t="s">
        <v>343</v>
      </c>
      <c r="C80" s="1001">
        <v>6.3010340215227112</v>
      </c>
      <c r="D80" s="1401">
        <v>-0.56316728000534999</v>
      </c>
      <c r="E80" s="1401">
        <v>10.864272689082144</v>
      </c>
      <c r="F80" s="1401">
        <v>1.6527011253727242</v>
      </c>
      <c r="G80" s="1401">
        <v>1.8848960563082606</v>
      </c>
      <c r="H80" s="1401">
        <v>7.0485954758151115</v>
      </c>
      <c r="I80" s="1401">
        <v>-0.19531524457244709</v>
      </c>
      <c r="J80" s="1401">
        <v>-0.10702345354358656</v>
      </c>
      <c r="K80" s="1401">
        <v>14.154435827392064</v>
      </c>
      <c r="L80" s="1401">
        <v>4.4061792104184372</v>
      </c>
      <c r="M80" s="1401">
        <v>2.0429520266121104</v>
      </c>
      <c r="N80" s="1401">
        <v>2.5616545919771472</v>
      </c>
      <c r="O80" s="1401">
        <v>3.8529854203124936</v>
      </c>
      <c r="P80" s="1001">
        <v>2.990337501949214</v>
      </c>
    </row>
    <row r="81" spans="2:16" hidden="1">
      <c r="B81" s="1003" t="s">
        <v>344</v>
      </c>
      <c r="C81" s="1001">
        <v>4.8736075358261299</v>
      </c>
      <c r="D81" s="1401">
        <v>-0.54350347328635529</v>
      </c>
      <c r="E81" s="1401">
        <v>10.698129309619508</v>
      </c>
      <c r="F81" s="1401">
        <v>1.1034420925053245</v>
      </c>
      <c r="G81" s="1401">
        <v>2.2566313785236325</v>
      </c>
      <c r="H81" s="1401">
        <v>6.9101143787442032</v>
      </c>
      <c r="I81" s="1401">
        <v>7.8364800419961078E-2</v>
      </c>
      <c r="J81" s="1401">
        <v>-2.6489472753876697E-2</v>
      </c>
      <c r="K81" s="1401">
        <v>14.056815170609793</v>
      </c>
      <c r="L81" s="1401">
        <v>3.2640478479720292</v>
      </c>
      <c r="M81" s="1401">
        <v>2.2791459419878146</v>
      </c>
      <c r="N81" s="1401">
        <v>6.0927840081903772</v>
      </c>
      <c r="O81" s="1401">
        <v>3.8111152976092022</v>
      </c>
      <c r="P81" s="1001">
        <v>2.913965688847342</v>
      </c>
    </row>
    <row r="82" spans="2:16" hidden="1">
      <c r="B82" s="1003"/>
      <c r="C82" s="1001"/>
      <c r="D82" s="1401"/>
      <c r="E82" s="1401"/>
      <c r="F82" s="1401"/>
      <c r="G82" s="1401"/>
      <c r="H82" s="1401"/>
      <c r="I82" s="1401"/>
      <c r="J82" s="1401"/>
      <c r="K82" s="1401"/>
      <c r="L82" s="1401"/>
      <c r="M82" s="1401"/>
      <c r="N82" s="1401"/>
      <c r="O82" s="1401"/>
      <c r="P82" s="1001"/>
    </row>
    <row r="83" spans="2:16" hidden="1">
      <c r="B83" s="920">
        <v>2013</v>
      </c>
      <c r="C83" s="1001"/>
      <c r="D83" s="1401"/>
      <c r="E83" s="1401"/>
      <c r="F83" s="1401"/>
      <c r="G83" s="1401"/>
      <c r="H83" s="1401"/>
      <c r="I83" s="1401"/>
      <c r="J83" s="1401"/>
      <c r="K83" s="1401"/>
      <c r="L83" s="1401"/>
      <c r="M83" s="1401"/>
      <c r="N83" s="1401"/>
      <c r="O83" s="1401"/>
      <c r="P83" s="1001"/>
    </row>
    <row r="84" spans="2:16" hidden="1">
      <c r="B84" s="1003" t="s">
        <v>345</v>
      </c>
      <c r="C84" s="1001">
        <v>3.8279545663798098</v>
      </c>
      <c r="D84" s="1401">
        <v>-0.7394182332635002</v>
      </c>
      <c r="E84" s="1401">
        <v>10.703735752342492</v>
      </c>
      <c r="F84" s="1401">
        <v>0.65471157225616139</v>
      </c>
      <c r="G84" s="1401">
        <v>1.9371291020374493</v>
      </c>
      <c r="H84" s="1401">
        <v>6.4222627015031675</v>
      </c>
      <c r="I84" s="1401">
        <v>-0.36391062292066012</v>
      </c>
      <c r="J84" s="1401">
        <v>1.920889698438466</v>
      </c>
      <c r="K84" s="1401">
        <v>12.962869940917887</v>
      </c>
      <c r="L84" s="1401">
        <v>1.917245223267483</v>
      </c>
      <c r="M84" s="1401">
        <v>1.3184989523927326</v>
      </c>
      <c r="N84" s="1401">
        <v>1.9139445234545915</v>
      </c>
      <c r="O84" s="1401">
        <v>3.7195756200136376</v>
      </c>
      <c r="P84" s="1001">
        <v>2.510460807074022</v>
      </c>
    </row>
    <row r="85" spans="2:16" hidden="1">
      <c r="B85" s="1003" t="s">
        <v>334</v>
      </c>
      <c r="C85" s="1001">
        <v>5.7659398429890985</v>
      </c>
      <c r="D85" s="1401">
        <v>-0.71883797408693884</v>
      </c>
      <c r="E85" s="1401">
        <v>7.0836041075488465</v>
      </c>
      <c r="F85" s="1401">
        <v>0.60863877002999001</v>
      </c>
      <c r="G85" s="1401">
        <v>3.2265699197383313</v>
      </c>
      <c r="H85" s="1401">
        <v>8.3092788496283987</v>
      </c>
      <c r="I85" s="1401">
        <v>-5.8808451223968383E-3</v>
      </c>
      <c r="J85" s="1401">
        <v>-0.18701881251289576</v>
      </c>
      <c r="K85" s="1401">
        <v>13.052981837694166</v>
      </c>
      <c r="L85" s="1401">
        <v>3.0129568411244811</v>
      </c>
      <c r="M85" s="1401">
        <v>1.9481194693341752</v>
      </c>
      <c r="N85" s="1401">
        <v>2.1925832870920869</v>
      </c>
      <c r="O85" s="1401">
        <v>4.6745476865403646</v>
      </c>
      <c r="P85" s="1001">
        <v>2.98</v>
      </c>
    </row>
    <row r="86" spans="2:16" hidden="1">
      <c r="B86" s="1003" t="s">
        <v>335</v>
      </c>
      <c r="C86" s="1001">
        <v>6.2412726782721029</v>
      </c>
      <c r="D86" s="1401">
        <v>-0.80438931722406348</v>
      </c>
      <c r="E86" s="1401">
        <v>5.4808265294259639</v>
      </c>
      <c r="F86" s="1401">
        <v>0.70443409121649925</v>
      </c>
      <c r="G86" s="1401">
        <v>3.2729088649841698</v>
      </c>
      <c r="H86" s="1401">
        <v>8.7345378369115156</v>
      </c>
      <c r="I86" s="1401">
        <v>-4.7101414971073563E-2</v>
      </c>
      <c r="J86" s="1401">
        <v>-0.18829652100937899</v>
      </c>
      <c r="K86" s="1401">
        <v>8.3696861809614109</v>
      </c>
      <c r="L86" s="1401">
        <v>1.7098944328681975</v>
      </c>
      <c r="M86" s="1401">
        <v>1.6435204376138879</v>
      </c>
      <c r="N86" s="1401">
        <v>2.04</v>
      </c>
      <c r="O86" s="1401">
        <v>4.177876180446316</v>
      </c>
      <c r="P86" s="1001">
        <v>2.7496468994429701</v>
      </c>
    </row>
    <row r="87" spans="2:16" hidden="1">
      <c r="B87" s="1003" t="s">
        <v>336</v>
      </c>
      <c r="C87" s="1001">
        <v>5.8315102691360421</v>
      </c>
      <c r="D87" s="1401">
        <v>-0.35826467304203025</v>
      </c>
      <c r="E87" s="1401">
        <v>4.341185814259596</v>
      </c>
      <c r="F87" s="1401">
        <v>0.92532020486963962</v>
      </c>
      <c r="G87" s="1401">
        <v>3.8059256288527576</v>
      </c>
      <c r="H87" s="1401">
        <v>7.7966346191749025</v>
      </c>
      <c r="I87" s="1401">
        <v>-13.29951292882342</v>
      </c>
      <c r="J87" s="1401">
        <v>-1.2646434605449675</v>
      </c>
      <c r="K87" s="1401">
        <v>12.556603417533619</v>
      </c>
      <c r="L87" s="1401">
        <v>1.6858725055931112</v>
      </c>
      <c r="M87" s="1401">
        <v>1.1832813230795214</v>
      </c>
      <c r="N87" s="1401">
        <v>1.940492996363119</v>
      </c>
      <c r="O87" s="1401">
        <v>3.5727580926671498</v>
      </c>
      <c r="P87" s="1001">
        <v>2.4830995142352208</v>
      </c>
    </row>
    <row r="88" spans="2:16" hidden="1">
      <c r="B88" s="1003" t="s">
        <v>337</v>
      </c>
      <c r="C88" s="1001">
        <v>5.8817130102042148</v>
      </c>
      <c r="D88" s="1401">
        <v>-0.38494621010968233</v>
      </c>
      <c r="E88" s="1401">
        <v>3.9524710244911665</v>
      </c>
      <c r="F88" s="1401">
        <v>0.65951199495655199</v>
      </c>
      <c r="G88" s="1401">
        <v>3.5998047297216562</v>
      </c>
      <c r="H88" s="1401">
        <v>6.8463325996496627</v>
      </c>
      <c r="I88" s="1401">
        <v>-13.129218975388079</v>
      </c>
      <c r="J88" s="1401">
        <v>-0.82940559487993948</v>
      </c>
      <c r="K88" s="1401">
        <v>12.5573887385658</v>
      </c>
      <c r="L88" s="1401">
        <v>1.4367988931997422</v>
      </c>
      <c r="M88" s="1401">
        <v>1.0384998593842454</v>
      </c>
      <c r="N88" s="1401">
        <v>1.5406081638948743</v>
      </c>
      <c r="O88" s="1401">
        <v>3.5396980444623916</v>
      </c>
      <c r="P88" s="1001">
        <v>2.2047265980774666</v>
      </c>
    </row>
    <row r="89" spans="2:16" hidden="1">
      <c r="B89" s="1003" t="s">
        <v>338</v>
      </c>
      <c r="C89" s="1001">
        <v>5.4045652461746307</v>
      </c>
      <c r="D89" s="1401">
        <v>-0.50300098752998901</v>
      </c>
      <c r="E89" s="1401">
        <v>2.6476313435252363</v>
      </c>
      <c r="F89" s="1401">
        <v>0.15678552350038011</v>
      </c>
      <c r="G89" s="1401">
        <v>3.030661705847959</v>
      </c>
      <c r="H89" s="1401">
        <v>6.8542284381939211</v>
      </c>
      <c r="I89" s="1401">
        <v>-13.395025032972384</v>
      </c>
      <c r="J89" s="1401">
        <v>-0.33490704420209294</v>
      </c>
      <c r="K89" s="1401">
        <v>7.7493501767837758</v>
      </c>
      <c r="L89" s="1401">
        <v>1.3486623773086182</v>
      </c>
      <c r="M89" s="1401">
        <v>1.2246724333173642</v>
      </c>
      <c r="N89" s="1401">
        <v>1.3503252276704902</v>
      </c>
      <c r="O89" s="1401">
        <v>2.8996646687185823</v>
      </c>
      <c r="P89" s="1001">
        <v>1.8654833104963853</v>
      </c>
    </row>
    <row r="90" spans="2:16" hidden="1">
      <c r="B90" s="1003" t="s">
        <v>339</v>
      </c>
      <c r="C90" s="1001">
        <v>4.8332613240633648</v>
      </c>
      <c r="D90" s="1401">
        <v>0.13912084517775369</v>
      </c>
      <c r="E90" s="1401">
        <v>2.5379534562396389</v>
      </c>
      <c r="F90" s="1401">
        <v>-5.0227460394125512E-2</v>
      </c>
      <c r="G90" s="1401">
        <v>2.84</v>
      </c>
      <c r="H90" s="1401">
        <v>4.9609649452741822</v>
      </c>
      <c r="I90" s="1401">
        <v>-13.46664206211009</v>
      </c>
      <c r="J90" s="1401">
        <v>-0.60789261904184988</v>
      </c>
      <c r="K90" s="1401">
        <v>7.7733811341668568</v>
      </c>
      <c r="L90" s="1401">
        <v>0.71354227906486045</v>
      </c>
      <c r="M90" s="1401">
        <v>0.99786975435292025</v>
      </c>
      <c r="N90" s="1401">
        <v>1.0005645161826227</v>
      </c>
      <c r="O90" s="1401">
        <v>1.742514584272814</v>
      </c>
      <c r="P90" s="1001">
        <v>1.2466574099768923</v>
      </c>
    </row>
    <row r="91" spans="2:16" hidden="1">
      <c r="B91" s="1003" t="s">
        <v>340</v>
      </c>
      <c r="C91" s="1001">
        <v>4.4341997343264605</v>
      </c>
      <c r="D91" s="1401">
        <v>0.29915379204321635</v>
      </c>
      <c r="E91" s="1401">
        <v>3.0333331486740889</v>
      </c>
      <c r="F91" s="1401">
        <v>-0.12141946358019684</v>
      </c>
      <c r="G91" s="1401">
        <v>3.84</v>
      </c>
      <c r="H91" s="1401">
        <v>5.0418740190781852</v>
      </c>
      <c r="I91" s="1401">
        <v>-13.568531985595268</v>
      </c>
      <c r="J91" s="1401">
        <v>-0.69253275713008211</v>
      </c>
      <c r="K91" s="1401">
        <v>8.8300304644412861</v>
      </c>
      <c r="L91" s="1401">
        <v>1.6011614721804124</v>
      </c>
      <c r="M91" s="1401">
        <v>0.8116769959372272</v>
      </c>
      <c r="N91" s="1401">
        <v>1.44823345459828</v>
      </c>
      <c r="O91" s="1401">
        <v>0.93919867381710986</v>
      </c>
      <c r="P91" s="1001">
        <v>1.2765148827750927</v>
      </c>
    </row>
    <row r="92" spans="2:16" hidden="1">
      <c r="B92" s="1003" t="s">
        <v>341</v>
      </c>
      <c r="C92" s="1001">
        <v>4.3656415977913365</v>
      </c>
      <c r="D92" s="1401">
        <v>0.60966968905473706</v>
      </c>
      <c r="E92" s="1401">
        <v>3.6975690976676079</v>
      </c>
      <c r="F92" s="1401">
        <v>-0.37180992072302077</v>
      </c>
      <c r="G92" s="1401">
        <v>2.0975368002630779</v>
      </c>
      <c r="H92" s="1401">
        <v>5.0630506446622814</v>
      </c>
      <c r="I92" s="1401">
        <v>-13.654817132548558</v>
      </c>
      <c r="J92" s="1401">
        <v>-1.0161554555242702</v>
      </c>
      <c r="K92" s="1401">
        <v>8.4242768568579596</v>
      </c>
      <c r="L92" s="1401">
        <v>1.2256001057710408</v>
      </c>
      <c r="M92" s="1401">
        <v>0.92546351655147241</v>
      </c>
      <c r="N92" s="1401">
        <v>1.4574107541348358</v>
      </c>
      <c r="O92" s="1401">
        <v>-0.31770077251350726</v>
      </c>
      <c r="P92" s="1001">
        <v>0.8592305623484231</v>
      </c>
    </row>
    <row r="93" spans="2:16" hidden="1">
      <c r="B93" s="1003" t="s">
        <v>342</v>
      </c>
      <c r="C93" s="1001">
        <v>5.2260101938719217</v>
      </c>
      <c r="D93" s="1401">
        <v>0.25430794001002344</v>
      </c>
      <c r="E93" s="1401">
        <v>3.8097324395096388</v>
      </c>
      <c r="F93" s="1401">
        <v>-0.70272574102175911</v>
      </c>
      <c r="G93" s="1401">
        <v>2.2117296709520229</v>
      </c>
      <c r="H93" s="1401">
        <v>1.3973952728943528</v>
      </c>
      <c r="I93" s="1401">
        <v>-13.762668014196899</v>
      </c>
      <c r="J93" s="1401">
        <v>-0.72633587619794771</v>
      </c>
      <c r="K93" s="1401">
        <v>9.0524075923561487</v>
      </c>
      <c r="L93" s="1401">
        <v>0.83027669175299579</v>
      </c>
      <c r="M93" s="1401">
        <v>-0.19727011318178</v>
      </c>
      <c r="N93" s="1401">
        <v>1.2540835232394132</v>
      </c>
      <c r="O93" s="1401">
        <v>-0.73656471919876232</v>
      </c>
      <c r="P93" s="1001">
        <v>0.58579912207119555</v>
      </c>
    </row>
    <row r="94" spans="2:16" hidden="1">
      <c r="B94" s="1003" t="s">
        <v>343</v>
      </c>
      <c r="C94" s="1001">
        <v>5.9422817671308525</v>
      </c>
      <c r="D94" s="1401">
        <v>-7.0431737687570717E-2</v>
      </c>
      <c r="E94" s="1401">
        <v>3.5103523229164324</v>
      </c>
      <c r="F94" s="1401">
        <v>-1.0324691419701493</v>
      </c>
      <c r="G94" s="1401">
        <v>2.4177357807626976</v>
      </c>
      <c r="H94" s="1401">
        <v>1.1602507762823455</v>
      </c>
      <c r="I94" s="1401">
        <v>-13.836147097672525</v>
      </c>
      <c r="J94" s="1401">
        <v>-0.9230807948023112</v>
      </c>
      <c r="K94" s="1401">
        <v>11.194828902928267</v>
      </c>
      <c r="L94" s="1401">
        <v>2.0544396492347516</v>
      </c>
      <c r="M94" s="1401">
        <v>-0.34357804674918224</v>
      </c>
      <c r="N94" s="1401">
        <v>1.572533037818169</v>
      </c>
      <c r="O94" s="1401">
        <v>-1.5069649633101978</v>
      </c>
      <c r="P94" s="1001">
        <v>0.54143397835835216</v>
      </c>
    </row>
    <row r="95" spans="2:16" hidden="1">
      <c r="B95" s="1003" t="s">
        <v>344</v>
      </c>
      <c r="C95" s="1001">
        <v>4.25617366768547</v>
      </c>
      <c r="D95" s="1401">
        <v>9.452596575667549E-2</v>
      </c>
      <c r="E95" s="1401">
        <v>3.6308705900330418</v>
      </c>
      <c r="F95" s="1401">
        <v>-1.0790607901980831</v>
      </c>
      <c r="G95" s="1401">
        <v>2.1087260093545446</v>
      </c>
      <c r="H95" s="1401">
        <v>1.6092830871521135</v>
      </c>
      <c r="I95" s="1401">
        <v>-13.992149078598304</v>
      </c>
      <c r="J95" s="1401">
        <v>-1.0349771481077297</v>
      </c>
      <c r="K95" s="1401">
        <v>11.286771399950823</v>
      </c>
      <c r="L95" s="1401">
        <v>2.0260269437512246</v>
      </c>
      <c r="M95" s="1401">
        <v>-0.86964138806771007</v>
      </c>
      <c r="N95" s="1401">
        <v>1.6064182532409932</v>
      </c>
      <c r="O95" s="1401">
        <v>-2.1862113788040038</v>
      </c>
      <c r="P95" s="1001">
        <v>0.33148665620950091</v>
      </c>
    </row>
    <row r="96" spans="2:16" hidden="1">
      <c r="B96" s="1005"/>
      <c r="C96" s="1402"/>
      <c r="D96" s="1403"/>
      <c r="E96" s="1403"/>
      <c r="F96" s="1402"/>
      <c r="G96" s="1403"/>
      <c r="H96" s="1403"/>
      <c r="I96" s="1402"/>
      <c r="J96" s="1403"/>
      <c r="K96" s="1402"/>
      <c r="L96" s="1403"/>
      <c r="M96" s="1402"/>
      <c r="N96" s="1403"/>
      <c r="O96" s="1402"/>
      <c r="P96" s="1403"/>
    </row>
    <row r="97" spans="2:16" hidden="1">
      <c r="B97" s="920">
        <v>2014</v>
      </c>
      <c r="C97" s="958"/>
      <c r="D97" s="958"/>
      <c r="E97" s="958"/>
      <c r="F97" s="958"/>
      <c r="G97" s="958"/>
      <c r="H97" s="958"/>
      <c r="I97" s="958"/>
      <c r="J97" s="958"/>
      <c r="K97" s="958"/>
      <c r="L97" s="958"/>
      <c r="M97" s="958"/>
      <c r="N97" s="958"/>
      <c r="O97" s="958"/>
      <c r="P97" s="958"/>
    </row>
    <row r="98" spans="2:16" hidden="1">
      <c r="B98" s="1003" t="s">
        <v>345</v>
      </c>
      <c r="C98" s="958">
        <v>5.03</v>
      </c>
      <c r="D98" s="958">
        <v>0.03</v>
      </c>
      <c r="E98" s="958">
        <v>3.63</v>
      </c>
      <c r="F98" s="958">
        <v>-1.07</v>
      </c>
      <c r="G98" s="958">
        <v>1.87</v>
      </c>
      <c r="H98" s="958">
        <v>1.62</v>
      </c>
      <c r="I98" s="958">
        <v>-14</v>
      </c>
      <c r="J98" s="958">
        <v>-1.1200000000000001</v>
      </c>
      <c r="K98" s="958">
        <v>11.3</v>
      </c>
      <c r="L98" s="958">
        <v>2.1800000000000002</v>
      </c>
      <c r="M98" s="958">
        <v>-0.43</v>
      </c>
      <c r="N98" s="958">
        <v>1.67</v>
      </c>
      <c r="O98" s="958">
        <v>-2.08</v>
      </c>
      <c r="P98" s="958">
        <v>0.41</v>
      </c>
    </row>
    <row r="99" spans="2:16" hidden="1">
      <c r="B99" s="1003" t="s">
        <v>334</v>
      </c>
      <c r="C99" s="1001">
        <v>2.21</v>
      </c>
      <c r="D99" s="1002">
        <v>-0.43</v>
      </c>
      <c r="E99" s="1002">
        <v>3.09</v>
      </c>
      <c r="F99" s="1002">
        <v>-1.35</v>
      </c>
      <c r="G99" s="1002">
        <v>0.44</v>
      </c>
      <c r="H99" s="1002">
        <v>0.05</v>
      </c>
      <c r="I99" s="1002">
        <v>-13.86</v>
      </c>
      <c r="J99" s="1002">
        <v>-1.08</v>
      </c>
      <c r="K99" s="1002">
        <v>11.47</v>
      </c>
      <c r="L99" s="1002">
        <v>1.32</v>
      </c>
      <c r="M99" s="1002">
        <v>-1.45</v>
      </c>
      <c r="N99" s="1002">
        <v>0.93</v>
      </c>
      <c r="O99" s="1002">
        <v>-3.26</v>
      </c>
      <c r="P99" s="1001">
        <v>-0.49</v>
      </c>
    </row>
    <row r="100" spans="2:16" hidden="1">
      <c r="B100" s="1003" t="s">
        <v>335</v>
      </c>
      <c r="C100" s="1001">
        <v>1.67</v>
      </c>
      <c r="D100" s="1002">
        <v>-0.53</v>
      </c>
      <c r="E100" s="1002">
        <v>2.21</v>
      </c>
      <c r="F100" s="1002">
        <v>-1.82</v>
      </c>
      <c r="G100" s="1002">
        <v>0.4</v>
      </c>
      <c r="H100" s="1002">
        <v>-0.44</v>
      </c>
      <c r="I100" s="1002">
        <v>-13.68</v>
      </c>
      <c r="J100" s="1002">
        <v>-1.21</v>
      </c>
      <c r="K100" s="1002">
        <v>11.47</v>
      </c>
      <c r="L100" s="1002">
        <v>2.4700000000000002</v>
      </c>
      <c r="M100" s="1002">
        <v>-1.82</v>
      </c>
      <c r="N100" s="1002">
        <v>0.51</v>
      </c>
      <c r="O100" s="1002">
        <v>-3.71</v>
      </c>
      <c r="P100" s="1001">
        <v>-0.91</v>
      </c>
    </row>
    <row r="101" spans="2:16" hidden="1">
      <c r="B101" s="1004" t="s">
        <v>336</v>
      </c>
      <c r="C101" s="958">
        <v>1.78</v>
      </c>
      <c r="D101" s="958">
        <v>-0.55000000000000004</v>
      </c>
      <c r="E101" s="958">
        <v>0.46</v>
      </c>
      <c r="F101" s="958">
        <v>-2.6</v>
      </c>
      <c r="G101" s="958">
        <v>0.22</v>
      </c>
      <c r="H101" s="958">
        <v>-0.11</v>
      </c>
      <c r="I101" s="958">
        <v>-0.62</v>
      </c>
      <c r="J101" s="958">
        <v>-0.93</v>
      </c>
      <c r="K101" s="958">
        <v>20.71</v>
      </c>
      <c r="L101" s="958">
        <v>1.1299999999999999</v>
      </c>
      <c r="M101" s="958">
        <v>-1.56</v>
      </c>
      <c r="N101" s="958">
        <v>1.5</v>
      </c>
      <c r="O101" s="958">
        <v>-3.73</v>
      </c>
      <c r="P101" s="958">
        <v>-0.26</v>
      </c>
    </row>
    <row r="102" spans="2:16" hidden="1">
      <c r="B102" s="1003" t="s">
        <v>337</v>
      </c>
      <c r="C102" s="958">
        <v>1.91</v>
      </c>
      <c r="D102" s="958">
        <v>-0.83</v>
      </c>
      <c r="E102" s="958">
        <v>0.39</v>
      </c>
      <c r="F102" s="958">
        <v>-2.62</v>
      </c>
      <c r="G102" s="958">
        <v>0.28999999999999998</v>
      </c>
      <c r="H102" s="958">
        <v>0.86</v>
      </c>
      <c r="I102" s="958">
        <v>-0.6</v>
      </c>
      <c r="J102" s="958">
        <v>-0.64</v>
      </c>
      <c r="K102" s="958">
        <v>20.79</v>
      </c>
      <c r="L102" s="958">
        <v>0.95</v>
      </c>
      <c r="M102" s="958">
        <v>-1.69</v>
      </c>
      <c r="N102" s="958">
        <v>1.62</v>
      </c>
      <c r="O102" s="958">
        <v>-3.75</v>
      </c>
      <c r="P102" s="958">
        <v>-0.19</v>
      </c>
    </row>
    <row r="103" spans="2:16" hidden="1">
      <c r="B103" s="1003" t="s">
        <v>338</v>
      </c>
      <c r="C103" s="1001">
        <v>1.68</v>
      </c>
      <c r="D103" s="1002">
        <v>-0.81</v>
      </c>
      <c r="E103" s="1002">
        <v>0.4</v>
      </c>
      <c r="F103" s="1002">
        <v>-2.54</v>
      </c>
      <c r="G103" s="1002">
        <v>0.64</v>
      </c>
      <c r="H103" s="1002">
        <v>0.97</v>
      </c>
      <c r="I103" s="1002">
        <v>-0.27</v>
      </c>
      <c r="J103" s="1002">
        <v>-0.84</v>
      </c>
      <c r="K103" s="1002">
        <v>20.79</v>
      </c>
      <c r="L103" s="1002">
        <v>0.99</v>
      </c>
      <c r="M103" s="1002">
        <v>-1.67</v>
      </c>
      <c r="N103" s="1002">
        <v>1.67</v>
      </c>
      <c r="O103" s="1002">
        <v>-3.54</v>
      </c>
      <c r="P103" s="1001">
        <v>-0.08</v>
      </c>
    </row>
    <row r="104" spans="2:16" hidden="1">
      <c r="B104" s="1004" t="s">
        <v>339</v>
      </c>
      <c r="C104" s="1001">
        <v>-2.88</v>
      </c>
      <c r="D104" s="1002">
        <v>1.64</v>
      </c>
      <c r="E104" s="1002">
        <v>-0.68</v>
      </c>
      <c r="F104" s="1002">
        <v>0.7</v>
      </c>
      <c r="G104" s="1002">
        <v>-2.4</v>
      </c>
      <c r="H104" s="1002">
        <v>0.8</v>
      </c>
      <c r="I104" s="1002">
        <v>0.5</v>
      </c>
      <c r="J104" s="1002">
        <v>-0.4</v>
      </c>
      <c r="K104" s="1002">
        <v>-0.8</v>
      </c>
      <c r="L104" s="1002">
        <v>23</v>
      </c>
      <c r="M104" s="1002">
        <v>1.8</v>
      </c>
      <c r="N104" s="1002">
        <v>-2</v>
      </c>
      <c r="O104" s="1002">
        <v>1.9</v>
      </c>
      <c r="P104" s="1001">
        <v>0.3</v>
      </c>
    </row>
    <row r="105" spans="2:16" hidden="1">
      <c r="B105" s="1005" t="s">
        <v>340</v>
      </c>
      <c r="C105" s="958">
        <v>-2.79</v>
      </c>
      <c r="D105" s="958">
        <v>2.02</v>
      </c>
      <c r="E105" s="958">
        <v>-0.44</v>
      </c>
      <c r="F105" s="958">
        <v>-0.1</v>
      </c>
      <c r="G105" s="958">
        <v>-2.5</v>
      </c>
      <c r="H105" s="958">
        <v>0.6</v>
      </c>
      <c r="I105" s="958">
        <v>0.7</v>
      </c>
      <c r="J105" s="958">
        <v>-0.3</v>
      </c>
      <c r="K105" s="958">
        <v>-0.8</v>
      </c>
      <c r="L105" s="958">
        <v>21.4</v>
      </c>
      <c r="M105" s="958">
        <v>0.9</v>
      </c>
      <c r="N105" s="958">
        <v>-2.8</v>
      </c>
      <c r="O105" s="958">
        <v>1.6</v>
      </c>
      <c r="P105" s="958">
        <v>0.2</v>
      </c>
    </row>
    <row r="106" spans="2:16" hidden="1">
      <c r="B106" s="1004" t="s">
        <v>341</v>
      </c>
      <c r="C106" s="958">
        <v>2.0952745722847936</v>
      </c>
      <c r="D106" s="958">
        <v>-0.3405965450954227</v>
      </c>
      <c r="E106" s="958">
        <v>-2.6510878885659395E-2</v>
      </c>
      <c r="F106" s="958">
        <v>-2.599493000274947</v>
      </c>
      <c r="G106" s="958">
        <v>0.97927669628055014</v>
      </c>
      <c r="H106" s="958">
        <v>0.98750757555330893</v>
      </c>
      <c r="I106" s="958">
        <v>-0.32490658659760641</v>
      </c>
      <c r="J106" s="958">
        <v>-0.84918669613057318</v>
      </c>
      <c r="K106" s="958">
        <v>21.419354373289849</v>
      </c>
      <c r="L106" s="958">
        <v>0.27795068752860175</v>
      </c>
      <c r="M106" s="958">
        <v>-3.0556514090872327</v>
      </c>
      <c r="N106" s="958">
        <v>1.590012988593088</v>
      </c>
      <c r="O106" s="958">
        <v>-2.9467545847726484</v>
      </c>
      <c r="P106" s="958">
        <v>9.2820403313425004E-2</v>
      </c>
    </row>
    <row r="107" spans="2:16" hidden="1">
      <c r="B107" s="1005" t="s">
        <v>342</v>
      </c>
      <c r="C107" s="1001">
        <v>1.04</v>
      </c>
      <c r="D107" s="1002">
        <v>-0.27</v>
      </c>
      <c r="E107" s="1002">
        <v>-0.01</v>
      </c>
      <c r="F107" s="1002">
        <v>-2.38</v>
      </c>
      <c r="G107" s="1002">
        <v>0.91</v>
      </c>
      <c r="H107" s="1002">
        <v>1.04</v>
      </c>
      <c r="I107" s="1002">
        <v>-0.31</v>
      </c>
      <c r="J107" s="1002">
        <v>-0.75</v>
      </c>
      <c r="K107" s="1002">
        <v>21.41</v>
      </c>
      <c r="L107" s="1002">
        <v>0.38</v>
      </c>
      <c r="M107" s="1002">
        <v>-2.83</v>
      </c>
      <c r="N107" s="1002">
        <v>1.59</v>
      </c>
      <c r="O107" s="1002">
        <v>-3.23</v>
      </c>
      <c r="P107" s="1001">
        <v>0</v>
      </c>
    </row>
    <row r="108" spans="2:16" hidden="1">
      <c r="B108" s="1005" t="s">
        <v>343</v>
      </c>
      <c r="C108" s="1001">
        <v>0.84</v>
      </c>
      <c r="D108" s="1002">
        <v>0.04</v>
      </c>
      <c r="E108" s="1002">
        <v>-0.03</v>
      </c>
      <c r="F108" s="1002">
        <v>-2.11</v>
      </c>
      <c r="G108" s="1002">
        <v>0.91</v>
      </c>
      <c r="H108" s="1002">
        <v>1.26</v>
      </c>
      <c r="I108" s="1002">
        <v>-0.28000000000000003</v>
      </c>
      <c r="J108" s="1002">
        <v>-0.59</v>
      </c>
      <c r="K108" s="1002">
        <v>4.4400000000000004</v>
      </c>
      <c r="L108" s="1002">
        <v>-1.31</v>
      </c>
      <c r="M108" s="1002">
        <v>-2.5</v>
      </c>
      <c r="N108" s="1002">
        <v>0.17</v>
      </c>
      <c r="O108" s="1002">
        <v>-2.75</v>
      </c>
      <c r="P108" s="1001">
        <v>-0.78</v>
      </c>
    </row>
    <row r="109" spans="2:16" hidden="1">
      <c r="B109" s="1005" t="s">
        <v>344</v>
      </c>
      <c r="C109" s="958">
        <v>0.71</v>
      </c>
      <c r="D109" s="958">
        <v>-0.05</v>
      </c>
      <c r="E109" s="958">
        <v>-0.24</v>
      </c>
      <c r="F109" s="958">
        <v>-1.92</v>
      </c>
      <c r="G109" s="958">
        <v>0.92</v>
      </c>
      <c r="H109" s="958">
        <v>1.18</v>
      </c>
      <c r="I109" s="958">
        <v>-0.33</v>
      </c>
      <c r="J109" s="958">
        <v>-0.53</v>
      </c>
      <c r="K109" s="958">
        <v>4.45</v>
      </c>
      <c r="L109" s="958">
        <v>-1.54</v>
      </c>
      <c r="M109" s="958">
        <v>-2.21</v>
      </c>
      <c r="N109" s="958">
        <v>0.13</v>
      </c>
      <c r="O109" s="958">
        <v>-2.7</v>
      </c>
      <c r="P109" s="958">
        <v>-0.8</v>
      </c>
    </row>
    <row r="110" spans="2:16" hidden="1">
      <c r="B110" s="921"/>
      <c r="C110" s="958"/>
      <c r="D110" s="958"/>
      <c r="E110" s="958"/>
      <c r="F110" s="958"/>
      <c r="G110" s="958"/>
      <c r="H110" s="958"/>
      <c r="I110" s="958"/>
      <c r="J110" s="958"/>
      <c r="K110" s="958"/>
      <c r="L110" s="958"/>
      <c r="M110" s="958"/>
      <c r="N110" s="958"/>
      <c r="O110" s="958"/>
      <c r="P110" s="958"/>
    </row>
    <row r="111" spans="2:16" hidden="1">
      <c r="B111" s="920">
        <v>2015</v>
      </c>
      <c r="C111" s="1012"/>
      <c r="D111" s="1002"/>
      <c r="E111" s="1002"/>
      <c r="F111" s="1002"/>
      <c r="G111" s="1002"/>
      <c r="H111" s="1002"/>
      <c r="I111" s="1002"/>
      <c r="J111" s="1002"/>
      <c r="K111" s="1002"/>
      <c r="L111" s="1002"/>
      <c r="M111" s="1002"/>
      <c r="N111" s="1002"/>
      <c r="O111" s="1002"/>
      <c r="P111" s="1001"/>
    </row>
    <row r="112" spans="2:16" hidden="1">
      <c r="B112" s="1003" t="s">
        <v>345</v>
      </c>
      <c r="C112" s="1001">
        <v>0.47</v>
      </c>
      <c r="D112" s="1002">
        <v>0</v>
      </c>
      <c r="E112" s="1002">
        <v>-0.16</v>
      </c>
      <c r="F112" s="1002">
        <v>-1.86</v>
      </c>
      <c r="G112" s="1002">
        <v>1.21</v>
      </c>
      <c r="H112" s="1002">
        <v>0.19</v>
      </c>
      <c r="I112" s="1002">
        <v>-13.69</v>
      </c>
      <c r="J112" s="1002">
        <v>-0.44</v>
      </c>
      <c r="K112" s="1002">
        <v>4.3499999999999996</v>
      </c>
      <c r="L112" s="1002">
        <v>-2.16</v>
      </c>
      <c r="M112" s="1002">
        <v>-1.82</v>
      </c>
      <c r="N112" s="1002">
        <v>-0.56999999999999995</v>
      </c>
      <c r="O112" s="1002">
        <v>-2.74</v>
      </c>
      <c r="P112" s="1001">
        <v>-1.28</v>
      </c>
    </row>
    <row r="113" spans="2:16" hidden="1">
      <c r="B113" s="1003" t="s">
        <v>334</v>
      </c>
      <c r="C113" s="958">
        <v>0.73</v>
      </c>
      <c r="D113" s="958">
        <v>-0.25</v>
      </c>
      <c r="E113" s="958">
        <v>-0.14000000000000001</v>
      </c>
      <c r="F113" s="958">
        <v>-1.88</v>
      </c>
      <c r="G113" s="958">
        <v>1.1000000000000001</v>
      </c>
      <c r="H113" s="958">
        <v>-0.3</v>
      </c>
      <c r="I113" s="958">
        <v>-13.78</v>
      </c>
      <c r="J113" s="958">
        <v>-0.56999999999999995</v>
      </c>
      <c r="K113" s="958">
        <v>4.1100000000000003</v>
      </c>
      <c r="L113" s="958">
        <v>-2.36</v>
      </c>
      <c r="M113" s="958">
        <v>-1.8</v>
      </c>
      <c r="N113" s="958">
        <v>-0.68</v>
      </c>
      <c r="O113" s="958">
        <v>-2.87</v>
      </c>
      <c r="P113" s="958">
        <v>-1.4</v>
      </c>
    </row>
    <row r="114" spans="2:16" hidden="1">
      <c r="B114" s="1003" t="s">
        <v>335</v>
      </c>
      <c r="C114" s="958">
        <v>0.9</v>
      </c>
      <c r="D114" s="958">
        <v>-0.46</v>
      </c>
      <c r="E114" s="958">
        <v>0.62</v>
      </c>
      <c r="F114" s="958">
        <v>-1.78</v>
      </c>
      <c r="G114" s="958">
        <v>1.03</v>
      </c>
      <c r="H114" s="958">
        <v>-0.28000000000000003</v>
      </c>
      <c r="I114" s="958">
        <v>-13.78</v>
      </c>
      <c r="J114" s="958">
        <v>-0.54</v>
      </c>
      <c r="K114" s="958">
        <v>4.1100000000000003</v>
      </c>
      <c r="L114" s="958">
        <v>-2.2599999999999998</v>
      </c>
      <c r="M114" s="958">
        <v>-1.41</v>
      </c>
      <c r="N114" s="958">
        <v>-0.44</v>
      </c>
      <c r="O114" s="958">
        <v>-2.77</v>
      </c>
      <c r="P114" s="958">
        <v>-1.2</v>
      </c>
    </row>
    <row r="115" spans="2:16" hidden="1">
      <c r="B115" s="1004" t="s">
        <v>336</v>
      </c>
      <c r="C115" s="1001">
        <v>-2.9289661961545033</v>
      </c>
      <c r="D115" s="1002">
        <v>0.58707117161944655</v>
      </c>
      <c r="E115" s="1002">
        <v>-1.0729432661858107</v>
      </c>
      <c r="F115" s="1002">
        <v>-2.6214368267033161</v>
      </c>
      <c r="G115" s="1002">
        <v>-1.4974696812800725</v>
      </c>
      <c r="H115" s="1002">
        <v>0.8119332062814788</v>
      </c>
      <c r="I115" s="1002">
        <v>-0.75539561424564639</v>
      </c>
      <c r="J115" s="1002">
        <v>-13.879210311641522</v>
      </c>
      <c r="K115" s="1002">
        <v>-0.94581508210723753</v>
      </c>
      <c r="L115" s="1002">
        <v>-7.0238520738385208</v>
      </c>
      <c r="M115" s="1002">
        <v>-0.84406795312680361</v>
      </c>
      <c r="N115" s="1002">
        <v>-1.4105967607943359</v>
      </c>
      <c r="O115" s="1002">
        <v>-2.5128349646382664</v>
      </c>
      <c r="P115" s="1001">
        <v>-2.6481147205383637</v>
      </c>
    </row>
    <row r="116" spans="2:16" hidden="1">
      <c r="B116" s="1003" t="s">
        <v>337</v>
      </c>
      <c r="C116" s="1001">
        <v>0.31</v>
      </c>
      <c r="D116" s="1002">
        <v>-1.37</v>
      </c>
      <c r="E116" s="1002">
        <v>-2.39</v>
      </c>
      <c r="F116" s="1002">
        <v>-1.45</v>
      </c>
      <c r="G116" s="1002">
        <v>0.92</v>
      </c>
      <c r="H116" s="1002">
        <v>-1.23</v>
      </c>
      <c r="I116" s="1002">
        <v>-13.87</v>
      </c>
      <c r="J116" s="1002">
        <v>-0.86</v>
      </c>
      <c r="K116" s="1002">
        <v>-7.09</v>
      </c>
      <c r="L116" s="1002">
        <v>-0.79</v>
      </c>
      <c r="M116" s="1002">
        <v>-1.42</v>
      </c>
      <c r="N116" s="1002">
        <v>-2.56</v>
      </c>
      <c r="O116" s="1002">
        <v>-3</v>
      </c>
      <c r="P116" s="1001">
        <v>-2.7</v>
      </c>
    </row>
    <row r="117" spans="2:16" hidden="1">
      <c r="B117" s="1003" t="s">
        <v>338</v>
      </c>
      <c r="C117" s="958">
        <v>0.71695391471808989</v>
      </c>
      <c r="D117" s="958">
        <v>-1.5419440303669205</v>
      </c>
      <c r="E117" s="958">
        <v>-2.4089189701836631</v>
      </c>
      <c r="F117" s="958">
        <v>-1.5764256499153504</v>
      </c>
      <c r="G117" s="958">
        <v>0.45407926790730357</v>
      </c>
      <c r="H117" s="958">
        <v>-1.1425842912680935</v>
      </c>
      <c r="I117" s="958">
        <v>0</v>
      </c>
      <c r="J117" s="958">
        <v>-0.86715546173208224</v>
      </c>
      <c r="K117" s="958">
        <v>-7.0892246576290034</v>
      </c>
      <c r="L117" s="958">
        <v>-0.75374082304756485</v>
      </c>
      <c r="M117" s="958">
        <v>-1.3840726859279187</v>
      </c>
      <c r="N117" s="958">
        <v>-2.568762527588774</v>
      </c>
      <c r="O117" s="958">
        <v>-3.3205046763198141</v>
      </c>
      <c r="P117" s="958">
        <v>-2.812516153175423</v>
      </c>
    </row>
    <row r="118" spans="2:16" hidden="1">
      <c r="B118" s="1004" t="s">
        <v>339</v>
      </c>
      <c r="C118" s="958">
        <v>0.74</v>
      </c>
      <c r="D118" s="958">
        <v>-1.61</v>
      </c>
      <c r="E118" s="958">
        <v>-3.24</v>
      </c>
      <c r="F118" s="958">
        <v>-2.37</v>
      </c>
      <c r="G118" s="958">
        <v>0.5</v>
      </c>
      <c r="H118" s="958">
        <v>-1.1200000000000001</v>
      </c>
      <c r="I118" s="958">
        <v>-13.77</v>
      </c>
      <c r="J118" s="958">
        <v>-0.93</v>
      </c>
      <c r="K118" s="958">
        <v>-1.9</v>
      </c>
      <c r="L118" s="958">
        <v>-1.61</v>
      </c>
      <c r="M118" s="958">
        <v>-0.99</v>
      </c>
      <c r="N118" s="958">
        <v>-2.35</v>
      </c>
      <c r="O118" s="958">
        <v>-3.65</v>
      </c>
      <c r="P118" s="958">
        <v>-2.77</v>
      </c>
    </row>
    <row r="119" spans="2:16" hidden="1">
      <c r="B119" s="1005" t="s">
        <v>340</v>
      </c>
      <c r="C119" s="1001">
        <v>0.61339307244834274</v>
      </c>
      <c r="D119" s="1002">
        <v>-1.5301593776969713</v>
      </c>
      <c r="E119" s="1002">
        <v>-3.2208353902786091</v>
      </c>
      <c r="F119" s="1002">
        <v>-2.3711979161701757</v>
      </c>
      <c r="G119" s="1002">
        <v>0.41696855792501264</v>
      </c>
      <c r="H119" s="1002">
        <v>-1.6682334024073708</v>
      </c>
      <c r="I119" s="1002">
        <v>-13.767988316008594</v>
      </c>
      <c r="J119" s="1002">
        <v>-1.1109041457424751</v>
      </c>
      <c r="K119" s="1002">
        <v>-1.8829963074597833</v>
      </c>
      <c r="L119" s="1002">
        <v>-1.7761902167688026</v>
      </c>
      <c r="M119" s="1002">
        <v>0.1300068686992617</v>
      </c>
      <c r="N119" s="1002">
        <v>-2.3772023087130001</v>
      </c>
      <c r="O119" s="1002">
        <v>-3.5933029614969469</v>
      </c>
      <c r="P119" s="1001">
        <v>-2.7676597041361162</v>
      </c>
    </row>
    <row r="120" spans="2:16" hidden="1">
      <c r="B120" s="1004" t="s">
        <v>341</v>
      </c>
      <c r="C120" s="1001">
        <v>0.46980227202610969</v>
      </c>
      <c r="D120" s="1002">
        <v>-1.6690384366190969</v>
      </c>
      <c r="E120" s="1002">
        <v>-4.2461107379532574</v>
      </c>
      <c r="F120" s="1002">
        <v>-2.6172415535631988</v>
      </c>
      <c r="G120" s="1002">
        <v>0.24512986904177136</v>
      </c>
      <c r="H120" s="1002">
        <v>-2.4510490631413417</v>
      </c>
      <c r="I120" s="1002">
        <v>-14.048091258284723</v>
      </c>
      <c r="J120" s="1002">
        <v>-0.98919150519959365</v>
      </c>
      <c r="K120" s="1002">
        <v>-1.880623944149884</v>
      </c>
      <c r="L120" s="1002">
        <v>-0.11779699753243777</v>
      </c>
      <c r="M120" s="1002">
        <v>-0.28009485635895892</v>
      </c>
      <c r="N120" s="1002">
        <v>-2.8261127018274768</v>
      </c>
      <c r="O120" s="1002">
        <v>-3.7191475926149575</v>
      </c>
      <c r="P120" s="1001">
        <v>-3.1118761648245674</v>
      </c>
    </row>
    <row r="121" spans="2:16" hidden="1">
      <c r="B121" s="1005" t="s">
        <v>342</v>
      </c>
      <c r="C121" s="958">
        <v>-0.12</v>
      </c>
      <c r="D121" s="958">
        <v>-2.04</v>
      </c>
      <c r="E121" s="958">
        <v>-4.33</v>
      </c>
      <c r="F121" s="958">
        <v>-2.8</v>
      </c>
      <c r="G121" s="958">
        <v>0.86</v>
      </c>
      <c r="H121" s="958">
        <v>-2.64</v>
      </c>
      <c r="I121" s="958">
        <v>-13.98</v>
      </c>
      <c r="J121" s="958">
        <v>-1.0900000000000001</v>
      </c>
      <c r="K121" s="958">
        <v>-1.89</v>
      </c>
      <c r="L121" s="958">
        <v>-0.32</v>
      </c>
      <c r="M121" s="958">
        <v>-0.2</v>
      </c>
      <c r="N121" s="958">
        <v>-2.95</v>
      </c>
      <c r="O121" s="958">
        <v>-4</v>
      </c>
      <c r="P121" s="958">
        <v>-3.29</v>
      </c>
    </row>
    <row r="122" spans="2:16" hidden="1">
      <c r="B122" s="1005" t="s">
        <v>343</v>
      </c>
      <c r="C122" s="958">
        <v>-0.45228165703840029</v>
      </c>
      <c r="D122" s="958">
        <v>-2.3497610296346227</v>
      </c>
      <c r="E122" s="958">
        <v>-4.3150541654198964</v>
      </c>
      <c r="F122" s="958">
        <v>-2.9416370712590734</v>
      </c>
      <c r="G122" s="958">
        <v>0.7658417567378395</v>
      </c>
      <c r="H122" s="958">
        <v>-2.8121239779742124</v>
      </c>
      <c r="I122" s="958">
        <v>-14.190896037162126</v>
      </c>
      <c r="J122" s="958">
        <v>-1.1361980021910689</v>
      </c>
      <c r="K122" s="958">
        <v>11.081371017980501</v>
      </c>
      <c r="L122" s="958">
        <v>0.27600066213813168</v>
      </c>
      <c r="M122" s="958">
        <v>-0.27252787841223203</v>
      </c>
      <c r="N122" s="958">
        <v>-1.796990332976256</v>
      </c>
      <c r="O122" s="958">
        <v>-3.8539204204272481</v>
      </c>
      <c r="P122" s="958">
        <v>-2.4581239792021536</v>
      </c>
    </row>
    <row r="123" spans="2:16" hidden="1">
      <c r="B123" s="1005" t="s">
        <v>344</v>
      </c>
      <c r="C123" s="1001">
        <v>-0.88</v>
      </c>
      <c r="D123" s="1002">
        <v>-2.39</v>
      </c>
      <c r="E123" s="1002">
        <v>-4.29</v>
      </c>
      <c r="F123" s="1002">
        <v>-2.91</v>
      </c>
      <c r="G123" s="1002">
        <v>0.56999999999999995</v>
      </c>
      <c r="H123" s="1002">
        <v>-3.24</v>
      </c>
      <c r="I123" s="1002">
        <v>-14.22</v>
      </c>
      <c r="J123" s="1002">
        <v>-0.89</v>
      </c>
      <c r="K123" s="1002">
        <v>11.08</v>
      </c>
      <c r="L123" s="1002">
        <v>0.43</v>
      </c>
      <c r="M123" s="1002">
        <v>-0.42</v>
      </c>
      <c r="N123" s="1002">
        <v>-1.89</v>
      </c>
      <c r="O123" s="1002">
        <v>-3.71</v>
      </c>
      <c r="P123" s="1001">
        <v>-2.4700000000000002</v>
      </c>
    </row>
    <row r="124" spans="2:16" hidden="1">
      <c r="B124" s="1006"/>
      <c r="C124" s="1007"/>
      <c r="D124" s="1007"/>
      <c r="E124" s="1007"/>
      <c r="F124" s="1007"/>
      <c r="G124" s="1007"/>
      <c r="H124" s="1007"/>
      <c r="I124" s="1007"/>
      <c r="J124" s="1007"/>
      <c r="K124" s="1007"/>
      <c r="L124" s="1007"/>
      <c r="M124" s="1007"/>
      <c r="N124" s="1007"/>
      <c r="O124" s="1007"/>
      <c r="P124" s="1008"/>
    </row>
    <row r="125" spans="2:16" hidden="1">
      <c r="B125" s="1179">
        <v>2016</v>
      </c>
      <c r="C125" s="1180"/>
      <c r="D125" s="1181"/>
      <c r="E125" s="1181"/>
      <c r="F125" s="1181"/>
      <c r="G125" s="1181"/>
      <c r="H125" s="1181"/>
      <c r="I125" s="1181"/>
      <c r="J125" s="1181"/>
      <c r="K125" s="1181"/>
      <c r="L125" s="1181"/>
      <c r="M125" s="1181"/>
      <c r="N125" s="1181"/>
      <c r="O125" s="1181"/>
      <c r="P125" s="1180"/>
    </row>
    <row r="126" spans="2:16" hidden="1">
      <c r="B126" s="1182" t="s">
        <v>345</v>
      </c>
      <c r="C126" s="1183">
        <v>-0.79</v>
      </c>
      <c r="D126" s="1184">
        <v>-2.41</v>
      </c>
      <c r="E126" s="1184">
        <v>-4.4000000000000004</v>
      </c>
      <c r="F126" s="1184">
        <v>-3.27</v>
      </c>
      <c r="G126" s="1184">
        <v>0.37</v>
      </c>
      <c r="H126" s="1184">
        <v>-2.66</v>
      </c>
      <c r="I126" s="1184">
        <v>-0.93</v>
      </c>
      <c r="J126" s="1184">
        <v>-1.0900000000000001</v>
      </c>
      <c r="K126" s="1184">
        <v>11.17</v>
      </c>
      <c r="L126" s="1184">
        <v>0.75</v>
      </c>
      <c r="M126" s="1184">
        <v>-1.01</v>
      </c>
      <c r="N126" s="1184">
        <v>-1.34</v>
      </c>
      <c r="O126" s="1184">
        <v>-3.96</v>
      </c>
      <c r="P126" s="1183">
        <v>-2.19</v>
      </c>
    </row>
    <row r="127" spans="2:16" hidden="1">
      <c r="B127" s="1185" t="s">
        <v>334</v>
      </c>
      <c r="C127" s="1183">
        <v>-1.1599999999999999</v>
      </c>
      <c r="D127" s="1184">
        <v>-2.06</v>
      </c>
      <c r="E127" s="1184">
        <v>-4.43</v>
      </c>
      <c r="F127" s="1184">
        <v>-3.35</v>
      </c>
      <c r="G127" s="1184">
        <v>0.22</v>
      </c>
      <c r="H127" s="1184">
        <v>-2.62</v>
      </c>
      <c r="I127" s="1184">
        <v>-0.97</v>
      </c>
      <c r="J127" s="1184">
        <v>0.21</v>
      </c>
      <c r="K127" s="1184">
        <v>11.17</v>
      </c>
      <c r="L127" s="1184">
        <v>0.96</v>
      </c>
      <c r="M127" s="1184">
        <v>-1.17</v>
      </c>
      <c r="N127" s="1184">
        <v>-1.35</v>
      </c>
      <c r="O127" s="1184">
        <v>-4.04</v>
      </c>
      <c r="P127" s="1183">
        <v>-2.2200000000000002</v>
      </c>
    </row>
    <row r="128" spans="2:16" hidden="1">
      <c r="B128" s="1185" t="s">
        <v>335</v>
      </c>
      <c r="C128" s="1186">
        <v>-1.4263501117950717</v>
      </c>
      <c r="D128" s="1186">
        <v>-1.9658279539864765</v>
      </c>
      <c r="E128" s="1186">
        <v>-5.3644387991065301</v>
      </c>
      <c r="F128" s="1186">
        <v>-4.0399448395289861</v>
      </c>
      <c r="G128" s="1186">
        <v>0.13719645468095454</v>
      </c>
      <c r="H128" s="1186">
        <v>-2.9238605134871865</v>
      </c>
      <c r="I128" s="1186">
        <v>-0.55172876343098087</v>
      </c>
      <c r="J128" s="1186">
        <v>-0.99928989892921205</v>
      </c>
      <c r="K128" s="1186">
        <v>14.908581472682613</v>
      </c>
      <c r="L128" s="1186">
        <v>0.21297407175671079</v>
      </c>
      <c r="M128" s="1186">
        <v>-1.8592404402767215</v>
      </c>
      <c r="N128" s="1186">
        <v>-1.4341970447932617</v>
      </c>
      <c r="O128" s="1186">
        <v>-4.1344089148900975</v>
      </c>
      <c r="P128" s="1186">
        <v>-2.3071830073550736</v>
      </c>
    </row>
    <row r="129" spans="2:17" hidden="1">
      <c r="B129" s="1185" t="s">
        <v>336</v>
      </c>
      <c r="C129" s="1186">
        <v>-1.3954120508426371</v>
      </c>
      <c r="D129" s="1186">
        <v>-1.4018546907814344</v>
      </c>
      <c r="E129" s="1186">
        <v>-2.1093196529561653</v>
      </c>
      <c r="F129" s="1186">
        <v>-3.9067229803242731</v>
      </c>
      <c r="G129" s="1186">
        <v>0.18715441243359887</v>
      </c>
      <c r="H129" s="1186">
        <v>-2.7088054036831455</v>
      </c>
      <c r="I129" s="1186">
        <v>-0.50497284756776395</v>
      </c>
      <c r="J129" s="1186">
        <v>-0.94877576261944707</v>
      </c>
      <c r="K129" s="1186">
        <v>14.213580167471896</v>
      </c>
      <c r="L129" s="1186">
        <v>-0.27956825315343936</v>
      </c>
      <c r="M129" s="1186">
        <v>-2.1723306351449145</v>
      </c>
      <c r="N129" s="1186">
        <v>-0.50552241538734943</v>
      </c>
      <c r="O129" s="1186">
        <v>-4.0164930011638456</v>
      </c>
      <c r="P129" s="1186">
        <v>-1.643608147725828</v>
      </c>
    </row>
    <row r="130" spans="2:17" hidden="1">
      <c r="B130" s="1185" t="s">
        <v>337</v>
      </c>
      <c r="C130" s="1186">
        <v>-1.516165695874705</v>
      </c>
      <c r="D130" s="1186">
        <v>-1.2106799373869381</v>
      </c>
      <c r="E130" s="1186">
        <v>-2.167299397464495</v>
      </c>
      <c r="F130" s="1186">
        <v>-3.7718245543746254</v>
      </c>
      <c r="G130" s="1186">
        <v>-9.91195392262334E-2</v>
      </c>
      <c r="H130" s="1186">
        <v>-2.57083253960535</v>
      </c>
      <c r="I130" s="1186">
        <v>-2.0872458585060261</v>
      </c>
      <c r="J130" s="1186">
        <v>-0.77826552671869109</v>
      </c>
      <c r="K130" s="1186">
        <v>14.214545232843733</v>
      </c>
      <c r="L130" s="1186">
        <v>-0.17604730560466519</v>
      </c>
      <c r="M130" s="1186">
        <v>-2.0660949568226283</v>
      </c>
      <c r="N130" s="1186">
        <v>-0.52641813573699459</v>
      </c>
      <c r="O130" s="1186">
        <v>-4.1332853997031123</v>
      </c>
      <c r="P130" s="1186">
        <v>-1.6934803608920745</v>
      </c>
    </row>
    <row r="131" spans="2:17" hidden="1">
      <c r="B131" s="1185" t="s">
        <v>338</v>
      </c>
      <c r="C131" s="1186">
        <v>-1.8005358884230938</v>
      </c>
      <c r="D131" s="1186">
        <v>-1.3581807727597317</v>
      </c>
      <c r="E131" s="1186">
        <v>-1.5810274735538421</v>
      </c>
      <c r="F131" s="1186">
        <v>-3.6739859673503017</v>
      </c>
      <c r="G131" s="1186">
        <v>0.21360816820403805</v>
      </c>
      <c r="H131" s="1186">
        <v>-2.7125251339976342</v>
      </c>
      <c r="I131" s="1186">
        <v>-2.0981531471687909</v>
      </c>
      <c r="J131" s="1186">
        <v>-0.91821979950201804</v>
      </c>
      <c r="K131" s="1186">
        <v>17.243847954350656</v>
      </c>
      <c r="L131" s="1186">
        <v>0.20343061234926463</v>
      </c>
      <c r="M131" s="1186">
        <v>-2.0889012603049428</v>
      </c>
      <c r="N131" s="1186">
        <v>-9.4583441994389172E-2</v>
      </c>
      <c r="O131" s="1186">
        <v>-4.0369605628894796</v>
      </c>
      <c r="P131" s="1186">
        <v>-1.3662240413085613</v>
      </c>
      <c r="Q131" s="1018"/>
    </row>
    <row r="132" spans="2:17" hidden="1">
      <c r="B132" s="1185" t="s">
        <v>339</v>
      </c>
      <c r="C132" s="1186">
        <v>-1.7087091265407861</v>
      </c>
      <c r="D132" s="1186">
        <v>-1.5600545080324602</v>
      </c>
      <c r="E132" s="1186">
        <v>-0.98359792085805919</v>
      </c>
      <c r="F132" s="1186">
        <v>-2.8317471738145583</v>
      </c>
      <c r="G132" s="1186">
        <v>-8.6164619700779266E-2</v>
      </c>
      <c r="H132" s="1186">
        <v>-2.6555024894861834</v>
      </c>
      <c r="I132" s="1186">
        <v>-2.4347588051580105</v>
      </c>
      <c r="J132" s="1186">
        <v>-0.69162860804578008</v>
      </c>
      <c r="K132" s="1186">
        <v>9.0891660510366243</v>
      </c>
      <c r="L132" s="1186">
        <v>0.26914953339722825</v>
      </c>
      <c r="M132" s="1186">
        <v>-2.4191793540823792</v>
      </c>
      <c r="N132" s="1186">
        <v>-0.58947757484123509</v>
      </c>
      <c r="O132" s="1186">
        <v>-3.7649208649360166</v>
      </c>
      <c r="P132" s="1186">
        <v>-1.6049161546417334</v>
      </c>
      <c r="Q132" s="969"/>
    </row>
    <row r="133" spans="2:17" hidden="1">
      <c r="B133" s="1185" t="s">
        <v>340</v>
      </c>
      <c r="C133" s="1186">
        <v>-1.5023755908065084</v>
      </c>
      <c r="D133" s="1186">
        <v>-1.7662035820928565</v>
      </c>
      <c r="E133" s="1186">
        <v>-1.0061682421570026</v>
      </c>
      <c r="F133" s="1186">
        <v>-2.7250274490783113</v>
      </c>
      <c r="G133" s="1186">
        <v>-7.3730459413354765E-2</v>
      </c>
      <c r="H133" s="1186">
        <v>-2.4983143959421596</v>
      </c>
      <c r="I133" s="1186">
        <v>-2.3934471680443039</v>
      </c>
      <c r="J133" s="1186">
        <v>-0.53880399490812181</v>
      </c>
      <c r="K133" s="1186">
        <v>9.0892958556310504</v>
      </c>
      <c r="L133" s="1186">
        <v>0.42071235003950846</v>
      </c>
      <c r="M133" s="1186">
        <v>-2.2060908364925069</v>
      </c>
      <c r="N133" s="1186">
        <v>-0.53762199279447032</v>
      </c>
      <c r="O133" s="1186">
        <v>-3.3378271668063775</v>
      </c>
      <c r="P133" s="1186">
        <v>-1.4290585700596523</v>
      </c>
      <c r="Q133" s="969"/>
    </row>
    <row r="134" spans="2:17" hidden="1">
      <c r="B134" s="1187" t="s">
        <v>341</v>
      </c>
      <c r="C134" s="1186">
        <v>-1.3557479709798901</v>
      </c>
      <c r="D134" s="1186">
        <v>-1.7942701232611213</v>
      </c>
      <c r="E134" s="1186">
        <v>-1.496957584045655</v>
      </c>
      <c r="F134" s="1186">
        <v>-2.478770684395426</v>
      </c>
      <c r="G134" s="1186">
        <v>-0.13666453898737441</v>
      </c>
      <c r="H134" s="1186">
        <v>-2.1696729484850685</v>
      </c>
      <c r="I134" s="1186">
        <v>-2.104885521323463</v>
      </c>
      <c r="J134" s="1186">
        <v>-0.78297244272628186</v>
      </c>
      <c r="K134" s="1186">
        <v>9.0892958556310521</v>
      </c>
      <c r="L134" s="1186">
        <v>-0.83999333945399268</v>
      </c>
      <c r="M134" s="1186">
        <v>-1.8207723778505214</v>
      </c>
      <c r="N134" s="1186">
        <v>-0.57523375427971368</v>
      </c>
      <c r="O134" s="1186">
        <v>-2.9376953591650046</v>
      </c>
      <c r="P134" s="1186">
        <v>-1.3264628713672844</v>
      </c>
      <c r="Q134" s="969"/>
    </row>
    <row r="135" spans="2:17" hidden="1">
      <c r="B135" s="1188" t="s">
        <v>342</v>
      </c>
      <c r="C135" s="1189">
        <v>-0.97452482594880818</v>
      </c>
      <c r="D135" s="1189">
        <v>-1.7265458950171508</v>
      </c>
      <c r="E135" s="1189">
        <v>-1.5405280532731047</v>
      </c>
      <c r="F135" s="1189">
        <v>-2.1007953044542838</v>
      </c>
      <c r="G135" s="1189">
        <v>-0.76491532426634645</v>
      </c>
      <c r="H135" s="1189">
        <v>-1.7719613285796521</v>
      </c>
      <c r="I135" s="1189">
        <v>-2.1277354504574242</v>
      </c>
      <c r="J135" s="1189">
        <v>-0.65274120523570733</v>
      </c>
      <c r="K135" s="1189">
        <v>9.0892958556310521</v>
      </c>
      <c r="L135" s="1189">
        <v>-0.72472974781248034</v>
      </c>
      <c r="M135" s="1189">
        <v>-1.7736090824508888</v>
      </c>
      <c r="N135" s="1189">
        <v>-0.45261565732720443</v>
      </c>
      <c r="O135" s="1189">
        <v>-2.0277201400805023</v>
      </c>
      <c r="P135" s="1186">
        <v>-0.95224894037204688</v>
      </c>
      <c r="Q135" s="969"/>
    </row>
    <row r="136" spans="2:17" hidden="1">
      <c r="B136" s="1188" t="s">
        <v>343</v>
      </c>
      <c r="C136" s="1189">
        <v>-0.77337059215057957</v>
      </c>
      <c r="D136" s="1189">
        <v>-1.6256106923006164</v>
      </c>
      <c r="E136" s="1189">
        <v>-1.5273386055877691</v>
      </c>
      <c r="F136" s="1189">
        <v>-1.7731349055132961</v>
      </c>
      <c r="G136" s="1189">
        <v>-0.83222091416178534</v>
      </c>
      <c r="H136" s="1189">
        <v>-1.3687447253952212</v>
      </c>
      <c r="I136" s="1189">
        <v>-1.905495405062263</v>
      </c>
      <c r="J136" s="1189">
        <v>-0.44527029167191756</v>
      </c>
      <c r="K136" s="1189">
        <v>3.4814108541472821</v>
      </c>
      <c r="L136" s="1189">
        <v>-0.70278137846102595</v>
      </c>
      <c r="M136" s="1189">
        <v>-1.6221582479338137</v>
      </c>
      <c r="N136" s="1189">
        <v>-0.88820314577874315</v>
      </c>
      <c r="O136" s="1189">
        <v>-1.5379830315939036</v>
      </c>
      <c r="P136" s="1186">
        <v>-1.0940652788886118</v>
      </c>
      <c r="Q136" s="969"/>
    </row>
    <row r="137" spans="2:17" hidden="1">
      <c r="B137" s="1188" t="s">
        <v>344</v>
      </c>
      <c r="C137" s="1189">
        <v>-0.41790647206750853</v>
      </c>
      <c r="D137" s="1189">
        <v>-1.3907871662974469</v>
      </c>
      <c r="E137" s="1189">
        <v>-2.2925269063852283</v>
      </c>
      <c r="F137" s="1189">
        <v>-1.253771503784451</v>
      </c>
      <c r="G137" s="1189">
        <v>-0.67467652781884047</v>
      </c>
      <c r="H137" s="1189">
        <v>-1.3877264696130709</v>
      </c>
      <c r="I137" s="1189">
        <v>-1.8742044327763274</v>
      </c>
      <c r="J137" s="1189">
        <v>-0.24369746717026741</v>
      </c>
      <c r="K137" s="1189">
        <v>3.4863412984735831</v>
      </c>
      <c r="L137" s="1189">
        <v>-0.47194801147952825</v>
      </c>
      <c r="M137" s="1189">
        <v>-0.98530597238053463</v>
      </c>
      <c r="N137" s="1189">
        <v>-0.9205316561429755</v>
      </c>
      <c r="O137" s="1189">
        <v>-0.95478836771126785</v>
      </c>
      <c r="P137" s="1190">
        <v>-0.93137364059368011</v>
      </c>
      <c r="Q137" s="969"/>
    </row>
    <row r="138" spans="2:17" hidden="1">
      <c r="B138" s="1188"/>
      <c r="C138" s="1189"/>
      <c r="D138" s="1189"/>
      <c r="E138" s="1189"/>
      <c r="F138" s="1189"/>
      <c r="G138" s="1189"/>
      <c r="H138" s="1189"/>
      <c r="I138" s="1189"/>
      <c r="J138" s="1189"/>
      <c r="K138" s="1189"/>
      <c r="L138" s="1189"/>
      <c r="M138" s="1189"/>
      <c r="N138" s="1189"/>
      <c r="O138" s="1189"/>
      <c r="P138" s="1186"/>
      <c r="Q138" s="969"/>
    </row>
    <row r="139" spans="2:17">
      <c r="B139" s="1179">
        <v>2017</v>
      </c>
      <c r="C139" s="1189"/>
      <c r="D139" s="1189"/>
      <c r="E139" s="1189"/>
      <c r="F139" s="1189"/>
      <c r="G139" s="1189"/>
      <c r="H139" s="1189"/>
      <c r="I139" s="1189"/>
      <c r="J139" s="1189"/>
      <c r="K139" s="1189"/>
      <c r="L139" s="1189"/>
      <c r="M139" s="1189"/>
      <c r="N139" s="1189"/>
      <c r="O139" s="1189"/>
      <c r="P139" s="1190"/>
      <c r="Q139" s="969"/>
    </row>
    <row r="140" spans="2:17">
      <c r="B140" s="1188" t="s">
        <v>345</v>
      </c>
      <c r="C140" s="1189">
        <v>-0.6098891943925655</v>
      </c>
      <c r="D140" s="1189">
        <v>-1.5157386623173341</v>
      </c>
      <c r="E140" s="1189">
        <v>-2.1626006406212817</v>
      </c>
      <c r="F140" s="1189">
        <v>-0.62251798649920476</v>
      </c>
      <c r="G140" s="1189">
        <v>-0.67599333302897913</v>
      </c>
      <c r="H140" s="1189">
        <v>-1.7590654897776337</v>
      </c>
      <c r="I140" s="1189">
        <v>-1.4424545250849241</v>
      </c>
      <c r="J140" s="1189">
        <v>0.20419851273130174</v>
      </c>
      <c r="K140" s="1189">
        <v>3.4863821118612748</v>
      </c>
      <c r="L140" s="1189">
        <v>-1.7098598140541377E-2</v>
      </c>
      <c r="M140" s="1189">
        <v>-0.61948138019666255</v>
      </c>
      <c r="N140" s="1189">
        <v>-0.79262734550809011</v>
      </c>
      <c r="O140" s="1189">
        <v>-0.29690145711607219</v>
      </c>
      <c r="P140" s="1186">
        <v>-0.65075635174998148</v>
      </c>
      <c r="Q140" s="969"/>
    </row>
    <row r="141" spans="2:17">
      <c r="B141" s="1188" t="s">
        <v>334</v>
      </c>
      <c r="C141" s="1189">
        <v>-0.42458646050109738</v>
      </c>
      <c r="D141" s="1189">
        <v>-1.6574485151077734</v>
      </c>
      <c r="E141" s="1189">
        <v>-1.9086657487373149</v>
      </c>
      <c r="F141" s="1189">
        <v>0.26277583971474616</v>
      </c>
      <c r="G141" s="1189">
        <v>-0.5349567426410351</v>
      </c>
      <c r="H141" s="1189">
        <v>-1.2936549744497983</v>
      </c>
      <c r="I141" s="1189">
        <v>-1.3121521121865598</v>
      </c>
      <c r="J141" s="1189">
        <v>0.1789451022630173</v>
      </c>
      <c r="K141" s="1189">
        <v>3.4863821118612748</v>
      </c>
      <c r="L141" s="1189">
        <v>0.23527997196464145</v>
      </c>
      <c r="M141" s="1189">
        <v>-4.5930967643592613E-2</v>
      </c>
      <c r="N141" s="1189">
        <v>-0.43013431785036138</v>
      </c>
      <c r="O141" s="1189">
        <v>1.2886429328101467</v>
      </c>
      <c r="P141" s="1186">
        <v>6.2131183174196636E-2</v>
      </c>
      <c r="Q141" s="969"/>
    </row>
    <row r="142" spans="2:17">
      <c r="B142" s="1188" t="s">
        <v>335</v>
      </c>
      <c r="C142" s="1189">
        <v>-0.12540970725649636</v>
      </c>
      <c r="D142" s="1189">
        <v>-1.4531393562938533</v>
      </c>
      <c r="E142" s="1189">
        <v>-0.94787545189077838</v>
      </c>
      <c r="F142" s="1189">
        <v>1.6406393016820564</v>
      </c>
      <c r="G142" s="1189">
        <v>-0.29531186660880504</v>
      </c>
      <c r="H142" s="1189">
        <v>-0.78782807553089418</v>
      </c>
      <c r="I142" s="1189">
        <v>-1.7403593196690048</v>
      </c>
      <c r="J142" s="1189">
        <v>0.40043630138737463</v>
      </c>
      <c r="K142" s="1189">
        <v>0.11921054260159991</v>
      </c>
      <c r="L142" s="1189">
        <v>0.87119259496577506</v>
      </c>
      <c r="M142" s="1189">
        <v>0.92251716475375556</v>
      </c>
      <c r="N142" s="1189">
        <v>-0.1890731116758082</v>
      </c>
      <c r="O142" s="1189">
        <v>1.2069432111972755</v>
      </c>
      <c r="P142" s="1186">
        <v>0.2106878642899046</v>
      </c>
      <c r="Q142" s="969"/>
    </row>
    <row r="143" spans="2:17">
      <c r="B143" s="1188" t="s">
        <v>336</v>
      </c>
      <c r="C143" s="1189">
        <v>-0.26482793174281705</v>
      </c>
      <c r="D143" s="1189">
        <v>-1.2890798117727087</v>
      </c>
      <c r="E143" s="1189">
        <v>-0.88709051616751022</v>
      </c>
      <c r="F143" s="1189">
        <v>2.0343887387261228</v>
      </c>
      <c r="G143" s="1189">
        <v>-0.33185243854264579</v>
      </c>
      <c r="H143" s="1189">
        <v>-0.85673235425186567</v>
      </c>
      <c r="I143" s="1189">
        <v>-1.6118845111242175</v>
      </c>
      <c r="J143" s="1189">
        <v>0.44465193284339843</v>
      </c>
      <c r="K143" s="1189">
        <v>2.1573248122062072</v>
      </c>
      <c r="L143" s="1189">
        <v>1.3023818684054556</v>
      </c>
      <c r="M143" s="1189">
        <v>1.213669800376227</v>
      </c>
      <c r="N143" s="1189">
        <v>0.13178292733866392</v>
      </c>
      <c r="O143" s="1189">
        <v>1.3548563040144179</v>
      </c>
      <c r="P143" s="1186">
        <v>0.48099937193064601</v>
      </c>
      <c r="Q143" s="969"/>
    </row>
    <row r="144" spans="2:17">
      <c r="B144" s="1197" t="s">
        <v>337</v>
      </c>
      <c r="C144" s="1189">
        <v>0.14929259752569646</v>
      </c>
      <c r="D144" s="1189">
        <v>-0.97887830566580902</v>
      </c>
      <c r="E144" s="1189">
        <v>-1.0146527528077209</v>
      </c>
      <c r="F144" s="1189">
        <v>2.1640951010880149</v>
      </c>
      <c r="G144" s="1189">
        <v>-1.4621395046865437E-2</v>
      </c>
      <c r="H144" s="1189">
        <v>-0.71028544718094722</v>
      </c>
      <c r="I144" s="1189">
        <v>-3.486506099026343E-3</v>
      </c>
      <c r="J144" s="1189">
        <v>0.1732494055368905</v>
      </c>
      <c r="K144" s="1189">
        <v>2.1588137733888679</v>
      </c>
      <c r="L144" s="1189">
        <v>0.88285487589649936</v>
      </c>
      <c r="M144" s="1189">
        <v>1.4591577176836346</v>
      </c>
      <c r="N144" s="1189">
        <v>0.28060286284434799</v>
      </c>
      <c r="O144" s="1189">
        <v>1.9188402821589623</v>
      </c>
      <c r="P144" s="1186">
        <v>0.7471833554252294</v>
      </c>
      <c r="Q144" s="1198"/>
    </row>
    <row r="145" spans="1:18">
      <c r="B145" s="1188" t="s">
        <v>338</v>
      </c>
      <c r="C145" s="1189">
        <v>0.29043811869424729</v>
      </c>
      <c r="D145" s="1189">
        <v>-0.74180082460812979</v>
      </c>
      <c r="E145" s="1189">
        <v>-2.3922872439758991</v>
      </c>
      <c r="F145" s="1189">
        <v>2.5209627311517879</v>
      </c>
      <c r="G145" s="1189">
        <v>-0.19407536155273686</v>
      </c>
      <c r="H145" s="1189">
        <v>-0.80710876759166883</v>
      </c>
      <c r="I145" s="1189">
        <v>-1.6641739848832771E-3</v>
      </c>
      <c r="J145" s="1189">
        <v>0.58713889476871284</v>
      </c>
      <c r="K145" s="1189">
        <v>-0.48072747324556797</v>
      </c>
      <c r="L145" s="1189">
        <v>0.8645257242017701</v>
      </c>
      <c r="M145" s="1189">
        <v>1.7028469367906363</v>
      </c>
      <c r="N145" s="1189">
        <v>-0.28148361706005209</v>
      </c>
      <c r="O145" s="1189">
        <v>1.8169555946980331</v>
      </c>
      <c r="P145" s="1186">
        <v>0.31291981489651732</v>
      </c>
    </row>
    <row r="146" spans="1:18">
      <c r="B146" s="1197" t="s">
        <v>339</v>
      </c>
      <c r="C146" s="1189">
        <v>0.46958574797553165</v>
      </c>
      <c r="D146" s="1189">
        <v>-0.58359930973775898</v>
      </c>
      <c r="E146" s="1189">
        <v>-2.4278453239750974</v>
      </c>
      <c r="F146" s="1189">
        <v>2.4071745743014406</v>
      </c>
      <c r="G146" s="1189">
        <v>-3.1579663013259207E-2</v>
      </c>
      <c r="H146" s="1189">
        <v>-1.0082022767048171</v>
      </c>
      <c r="I146" s="1189">
        <v>0.28512917488716649</v>
      </c>
      <c r="J146" s="1189">
        <v>0.54599412752973642</v>
      </c>
      <c r="K146" s="1189">
        <v>-3.2770280256751216</v>
      </c>
      <c r="L146" s="1189">
        <v>1.928462451184787</v>
      </c>
      <c r="M146" s="1189">
        <v>2.1205300713001529</v>
      </c>
      <c r="N146" s="1189">
        <v>-0.56095165555534177</v>
      </c>
      <c r="O146" s="1189">
        <v>1.9227320766593836</v>
      </c>
      <c r="P146" s="1186">
        <v>0.1401903061483134</v>
      </c>
    </row>
    <row r="147" spans="1:18">
      <c r="B147" s="1188" t="s">
        <v>340</v>
      </c>
      <c r="C147" s="1189">
        <v>0.35019687016490941</v>
      </c>
      <c r="D147" s="1189">
        <v>-0.26441208810781269</v>
      </c>
      <c r="E147" s="1189">
        <v>-2.3735476223905372</v>
      </c>
      <c r="F147" s="1189">
        <v>2.4954490251242856</v>
      </c>
      <c r="G147" s="1189">
        <v>2.1859869874440996E-2</v>
      </c>
      <c r="H147" s="1189">
        <v>-0.88477283841417176</v>
      </c>
      <c r="I147" s="1189">
        <v>0.33416508564168002</v>
      </c>
      <c r="J147" s="1189">
        <v>0.77683810731212777</v>
      </c>
      <c r="K147" s="1189">
        <v>-3.2770280256751216</v>
      </c>
      <c r="L147" s="1189">
        <v>1.9197490354007529</v>
      </c>
      <c r="M147" s="1189">
        <v>2.0487957083452191</v>
      </c>
      <c r="N147" s="1189">
        <v>-0.50017481394584173</v>
      </c>
      <c r="O147" s="1189">
        <v>1.7602330723819781</v>
      </c>
      <c r="P147" s="1186">
        <v>0.13676063356249379</v>
      </c>
    </row>
    <row r="148" spans="1:18">
      <c r="B148" s="1188" t="s">
        <v>341</v>
      </c>
      <c r="C148" s="1189">
        <v>0.26798166994410622</v>
      </c>
      <c r="D148" s="1189">
        <v>0.21750417941999167</v>
      </c>
      <c r="E148" s="1189">
        <v>-1.0472636839617522</v>
      </c>
      <c r="F148" s="1189">
        <v>3.905000187467178</v>
      </c>
      <c r="G148" s="1189">
        <v>0.11984658999000253</v>
      </c>
      <c r="H148" s="1189">
        <v>-1.1087974143197843</v>
      </c>
      <c r="I148" s="1189">
        <v>0.5650970690398216</v>
      </c>
      <c r="J148" s="1189">
        <v>1.6898011155956016</v>
      </c>
      <c r="K148" s="1189">
        <v>-3.2770280256751216</v>
      </c>
      <c r="L148" s="1189">
        <v>1.9653811842768931</v>
      </c>
      <c r="M148" s="1189">
        <v>2.072252533144181</v>
      </c>
      <c r="N148" s="1189">
        <v>9.9956207396045826E-2</v>
      </c>
      <c r="O148" s="1189">
        <v>2.4913894818383797</v>
      </c>
      <c r="P148" s="1186">
        <v>0.77513094473729005</v>
      </c>
    </row>
    <row r="149" spans="1:18">
      <c r="B149" s="1188" t="s">
        <v>342</v>
      </c>
      <c r="C149" s="1189">
        <v>0.94749907175859516</v>
      </c>
      <c r="D149" s="1189">
        <v>1.9077508299046642</v>
      </c>
      <c r="E149" s="1189">
        <v>-0.6788562818437649</v>
      </c>
      <c r="F149" s="1189">
        <v>7.4672775221643173</v>
      </c>
      <c r="G149" s="1189">
        <v>1.2159209364138279</v>
      </c>
      <c r="H149" s="1189">
        <v>1.8531159791224106E-2</v>
      </c>
      <c r="I149" s="1189">
        <v>0.93648526690823797</v>
      </c>
      <c r="J149" s="1189">
        <v>4.8360873436512186</v>
      </c>
      <c r="K149" s="1189">
        <v>-3.2770280256751216</v>
      </c>
      <c r="L149" s="1189">
        <v>2.4921573470209069</v>
      </c>
      <c r="M149" s="1189">
        <v>4.609237786846121</v>
      </c>
      <c r="N149" s="1189">
        <v>1.3822970299529169</v>
      </c>
      <c r="O149" s="1189">
        <v>4.3963648741029093</v>
      </c>
      <c r="P149" s="1186">
        <v>2.2358961784492815</v>
      </c>
      <c r="Q149" s="969"/>
    </row>
    <row r="150" spans="1:18">
      <c r="B150" s="1188" t="s">
        <v>343</v>
      </c>
      <c r="C150" s="1189">
        <v>1.1693940457043528</v>
      </c>
      <c r="D150" s="1189">
        <v>2.6237955188826101</v>
      </c>
      <c r="E150" s="1189">
        <v>-0.61621478573175015</v>
      </c>
      <c r="F150" s="1189">
        <v>8.7786979427772813</v>
      </c>
      <c r="G150" s="1189">
        <v>1.6656570179858443</v>
      </c>
      <c r="H150" s="1189">
        <v>-1.7829122514401163E-2</v>
      </c>
      <c r="I150" s="1189">
        <v>0.8936284772890879</v>
      </c>
      <c r="J150" s="1189">
        <v>5.8323917201453135</v>
      </c>
      <c r="K150" s="1189">
        <v>-2.2537005994401227</v>
      </c>
      <c r="L150" s="1189">
        <v>1.7590081394226909</v>
      </c>
      <c r="M150" s="1189">
        <v>5.6190184818697642</v>
      </c>
      <c r="N150" s="1189">
        <v>1.9065022710966328</v>
      </c>
      <c r="O150" s="1189">
        <v>5.6476879886282916</v>
      </c>
      <c r="P150" s="1186">
        <v>2.9715429836730589</v>
      </c>
      <c r="Q150" s="969"/>
    </row>
    <row r="151" spans="1:18">
      <c r="B151" s="1188" t="s">
        <v>344</v>
      </c>
      <c r="C151" s="1189">
        <v>1.5095408009856204</v>
      </c>
      <c r="D151" s="1189">
        <v>3.2705432509426258</v>
      </c>
      <c r="E151" s="1189">
        <v>-0.44754881696902338</v>
      </c>
      <c r="F151" s="1189">
        <v>8.7704427365829183</v>
      </c>
      <c r="G151" s="1189">
        <v>1.5745170068308889</v>
      </c>
      <c r="H151" s="1189">
        <v>0.54820903128984799</v>
      </c>
      <c r="I151" s="1189">
        <v>0.88843899322186282</v>
      </c>
      <c r="J151" s="1189">
        <v>6.3492923051254646</v>
      </c>
      <c r="K151" s="1189">
        <v>-2.2558528499432517</v>
      </c>
      <c r="L151" s="1189">
        <v>2.0920978184415295</v>
      </c>
      <c r="M151" s="1189">
        <v>6.0402897455926974</v>
      </c>
      <c r="N151" s="1189">
        <v>2.1969633693236679</v>
      </c>
      <c r="O151" s="1189">
        <v>6.604787317277494</v>
      </c>
      <c r="P151" s="1186">
        <v>3.4558454527203519</v>
      </c>
      <c r="Q151" s="969"/>
    </row>
    <row r="152" spans="1:18">
      <c r="B152" s="1188"/>
      <c r="C152" s="1189"/>
      <c r="D152" s="1189"/>
      <c r="E152" s="1189"/>
      <c r="F152" s="1189"/>
      <c r="G152" s="1189"/>
      <c r="H152" s="1189"/>
      <c r="I152" s="1189"/>
      <c r="J152" s="1189"/>
      <c r="K152" s="1189"/>
      <c r="L152" s="1189"/>
      <c r="M152" s="1189"/>
      <c r="N152" s="1189"/>
      <c r="O152" s="1189"/>
      <c r="P152" s="1186"/>
      <c r="Q152" s="969"/>
    </row>
    <row r="153" spans="1:18">
      <c r="B153" s="932">
        <v>2018</v>
      </c>
      <c r="C153" s="1189"/>
      <c r="D153" s="1189"/>
      <c r="E153" s="1189"/>
      <c r="F153" s="1189"/>
      <c r="G153" s="1189"/>
      <c r="H153" s="1189"/>
      <c r="I153" s="1189"/>
      <c r="J153" s="1189"/>
      <c r="K153" s="1189"/>
      <c r="L153" s="1189"/>
      <c r="M153" s="1189"/>
      <c r="N153" s="1189"/>
      <c r="O153" s="1189"/>
      <c r="P153" s="1186"/>
      <c r="Q153" s="969"/>
    </row>
    <row r="154" spans="1:18">
      <c r="B154" s="932" t="s">
        <v>345</v>
      </c>
      <c r="C154" s="1189">
        <v>1.826950289161533</v>
      </c>
      <c r="D154" s="1189">
        <v>4.1180172964605077</v>
      </c>
      <c r="E154" s="1189">
        <v>-0.5249330395574292</v>
      </c>
      <c r="F154" s="1189">
        <v>8.9990082438645036</v>
      </c>
      <c r="G154" s="1189">
        <v>1.8222126652010617</v>
      </c>
      <c r="H154" s="1189">
        <v>1.3023749991433631</v>
      </c>
      <c r="I154" s="1189">
        <v>0.40915309820370727</v>
      </c>
      <c r="J154" s="1189">
        <v>7.9504640052405762</v>
      </c>
      <c r="K154" s="1189">
        <v>-2.2519873468709095</v>
      </c>
      <c r="L154" s="1189">
        <v>1.6258416734785452</v>
      </c>
      <c r="M154" s="1189">
        <v>6.6370191644509191</v>
      </c>
      <c r="N154" s="1189">
        <v>2.4544014779365186</v>
      </c>
      <c r="O154" s="1189">
        <v>6.1728081573455107</v>
      </c>
      <c r="P154" s="1186">
        <v>3.5223565626566256</v>
      </c>
      <c r="Q154" s="969"/>
    </row>
    <row r="155" spans="1:18">
      <c r="A155" s="1330"/>
      <c r="B155" s="1188" t="s">
        <v>334</v>
      </c>
      <c r="C155" s="1189">
        <v>2.0404303984023153</v>
      </c>
      <c r="D155" s="1189">
        <v>5.2088280201286308</v>
      </c>
      <c r="E155" s="1189">
        <v>-0.65336840331123858</v>
      </c>
      <c r="F155" s="1189">
        <v>8.7081264201375408</v>
      </c>
      <c r="G155" s="1189">
        <v>1.8444433352270195</v>
      </c>
      <c r="H155" s="1189">
        <v>1.1722886624979667</v>
      </c>
      <c r="I155" s="1189">
        <v>0.56005602982498459</v>
      </c>
      <c r="J155" s="1189">
        <v>8.9612253272443265</v>
      </c>
      <c r="K155" s="1189">
        <v>-2.2500369098192419</v>
      </c>
      <c r="L155" s="1189">
        <v>1.4507217984059073</v>
      </c>
      <c r="M155" s="1189">
        <v>6.3139511784823688</v>
      </c>
      <c r="N155" s="1189">
        <v>2.414355080938213</v>
      </c>
      <c r="O155" s="1189">
        <v>4.3490176283625059</v>
      </c>
      <c r="P155" s="1189">
        <v>2.9752429305622163</v>
      </c>
      <c r="Q155" s="1189"/>
    </row>
    <row r="156" spans="1:18">
      <c r="A156" s="1330"/>
      <c r="B156" s="1197" t="s">
        <v>335</v>
      </c>
      <c r="C156" s="1189">
        <v>2.0160062107702936</v>
      </c>
      <c r="D156" s="1189">
        <v>4.8126532048146764</v>
      </c>
      <c r="E156" s="1189">
        <v>-1.320659400942259</v>
      </c>
      <c r="F156" s="1189">
        <v>8.5175973143164043</v>
      </c>
      <c r="G156" s="1189">
        <v>1.9146225076926093</v>
      </c>
      <c r="H156" s="1189">
        <v>-0.35025399516848132</v>
      </c>
      <c r="I156" s="1189">
        <v>-1.0270891606043664</v>
      </c>
      <c r="J156" s="1189">
        <v>10.484348110801278</v>
      </c>
      <c r="K156" s="1189">
        <v>-2.2449025197026962</v>
      </c>
      <c r="L156" s="1189">
        <v>1.3049355274595387</v>
      </c>
      <c r="M156" s="1189">
        <v>5.3529935081664703</v>
      </c>
      <c r="N156" s="1189">
        <v>2.3715929434782179</v>
      </c>
      <c r="O156" s="1189">
        <v>4.5388795082621947</v>
      </c>
      <c r="P156" s="1189">
        <v>2.6827512055836999</v>
      </c>
      <c r="Q156" s="1189"/>
    </row>
    <row r="157" spans="1:18">
      <c r="A157" s="1330"/>
      <c r="B157" s="932" t="s">
        <v>336</v>
      </c>
      <c r="C157" s="1189">
        <v>2.3375337716200928</v>
      </c>
      <c r="D157" s="1189">
        <v>5.14312998159423</v>
      </c>
      <c r="E157" s="1189">
        <v>-1.3632601613703277</v>
      </c>
      <c r="F157" s="1189">
        <v>8.4492051329260178</v>
      </c>
      <c r="G157" s="1189">
        <v>2.0630443446633562</v>
      </c>
      <c r="H157" s="1189">
        <v>-0.67290091900196192</v>
      </c>
      <c r="I157" s="1189">
        <v>-1.2848318272660419</v>
      </c>
      <c r="J157" s="1189">
        <v>10.355931824079633</v>
      </c>
      <c r="K157" s="1189">
        <v>-3.5816642644284413</v>
      </c>
      <c r="L157" s="1189">
        <v>2.8353997787630369</v>
      </c>
      <c r="M157" s="1189">
        <v>5.6988678716974439</v>
      </c>
      <c r="N157" s="1189">
        <v>2.2596952810482795</v>
      </c>
      <c r="O157" s="1189">
        <v>4.9378997096490629</v>
      </c>
      <c r="P157" s="1189">
        <v>2.7121713620765764</v>
      </c>
      <c r="Q157" s="1189"/>
    </row>
    <row r="158" spans="1:18">
      <c r="A158" s="1330"/>
      <c r="B158" s="932" t="s">
        <v>337</v>
      </c>
      <c r="C158" s="1189">
        <v>2.1815970089018144</v>
      </c>
      <c r="D158" s="1189">
        <v>5.1520253388234183</v>
      </c>
      <c r="E158" s="1189">
        <v>-1.361303272675296</v>
      </c>
      <c r="F158" s="1189">
        <v>8.296163304948978</v>
      </c>
      <c r="G158" s="1189">
        <v>1.9589186794603419</v>
      </c>
      <c r="H158" s="1189">
        <v>-0.57771499066076037</v>
      </c>
      <c r="I158" s="1189">
        <v>-1.2953152365678511</v>
      </c>
      <c r="J158" s="1189">
        <v>10.671569870228058</v>
      </c>
      <c r="K158" s="1189">
        <v>-3.58453358626315</v>
      </c>
      <c r="L158" s="1189">
        <v>3.2919554384670979</v>
      </c>
      <c r="M158" s="1189">
        <v>6.140475713623661</v>
      </c>
      <c r="N158" s="1189">
        <v>2.2797407225455757</v>
      </c>
      <c r="O158" s="1189">
        <v>4.8874234736943301</v>
      </c>
      <c r="P158" s="1189">
        <v>2.7117541946855006</v>
      </c>
      <c r="Q158" s="1189"/>
      <c r="R158" s="1404"/>
    </row>
    <row r="159" spans="1:18">
      <c r="A159" s="1330"/>
      <c r="B159" s="932" t="s">
        <v>338</v>
      </c>
      <c r="C159" s="1189">
        <v>2.5779272597735492</v>
      </c>
      <c r="D159" s="1189">
        <v>5.2666109171500608</v>
      </c>
      <c r="E159" s="1189">
        <v>-0.70182186774839783</v>
      </c>
      <c r="F159" s="1189">
        <v>7.3644174625414394</v>
      </c>
      <c r="G159" s="1189">
        <v>2.3787520964667852</v>
      </c>
      <c r="H159" s="1189">
        <v>-0.20437389790421978</v>
      </c>
      <c r="I159" s="1189">
        <v>-1.1958648527093496</v>
      </c>
      <c r="J159" s="1189">
        <v>10.198400040583454</v>
      </c>
      <c r="K159" s="1189">
        <v>-3.58453358626315</v>
      </c>
      <c r="L159" s="1189">
        <v>3.2647437508397159</v>
      </c>
      <c r="M159" s="1189">
        <v>6.8462555153869342</v>
      </c>
      <c r="N159" s="1189">
        <v>2.4786225911234805</v>
      </c>
      <c r="O159" s="1189">
        <v>5.1188801765728487</v>
      </c>
      <c r="P159" s="1373">
        <v>2.9086189416631214</v>
      </c>
      <c r="Q159" s="1330"/>
      <c r="R159" s="1404"/>
    </row>
    <row r="160" spans="1:18">
      <c r="A160" s="1330"/>
      <c r="B160" s="932" t="s">
        <v>339</v>
      </c>
      <c r="C160" s="1189">
        <v>2.8284143111551918</v>
      </c>
      <c r="D160" s="1189">
        <v>5.6591747971503459</v>
      </c>
      <c r="E160" s="1189">
        <v>-0.71241597447400107</v>
      </c>
      <c r="F160" s="1189">
        <v>7.857307074684905</v>
      </c>
      <c r="G160" s="1189">
        <v>2.6788172829153689</v>
      </c>
      <c r="H160" s="1189">
        <v>0.19616839147675869</v>
      </c>
      <c r="I160" s="1189">
        <v>-1.0374587996770712</v>
      </c>
      <c r="J160" s="1189">
        <v>10.864873460770763</v>
      </c>
      <c r="K160" s="1189">
        <v>6.3080499253673983</v>
      </c>
      <c r="L160" s="1189">
        <v>5.4151879587170049</v>
      </c>
      <c r="M160" s="1189">
        <v>7.5302338997200069</v>
      </c>
      <c r="N160" s="1189">
        <v>3.9409835133928928</v>
      </c>
      <c r="O160" s="1189">
        <v>6.3456161304501935</v>
      </c>
      <c r="P160" s="1373">
        <v>4.2865951788096934</v>
      </c>
      <c r="Q160" s="1330"/>
      <c r="R160" s="1404"/>
    </row>
    <row r="161" spans="1:18">
      <c r="A161" s="1330"/>
      <c r="B161" s="932" t="s">
        <v>340</v>
      </c>
      <c r="C161" s="1189">
        <v>3.1501621264363955</v>
      </c>
      <c r="D161" s="1189">
        <v>6.0272839202321071</v>
      </c>
      <c r="E161" s="1189">
        <v>-0.76584948001444664</v>
      </c>
      <c r="F161" s="1189">
        <v>8.7826817878543739</v>
      </c>
      <c r="G161" s="1189">
        <v>2.8933895076432625</v>
      </c>
      <c r="H161" s="1189">
        <v>0.66549237840278774</v>
      </c>
      <c r="I161" s="1189">
        <v>-1.0667533550247299</v>
      </c>
      <c r="J161" s="1189">
        <v>10.467214656333045</v>
      </c>
      <c r="K161" s="1189">
        <v>6.3072977413363596</v>
      </c>
      <c r="L161" s="1189">
        <v>5.5327561179894902</v>
      </c>
      <c r="M161" s="1189">
        <v>7.8385718077893296</v>
      </c>
      <c r="N161" s="1189">
        <v>4.2205006459312466</v>
      </c>
      <c r="O161" s="1189">
        <v>7.5154400580179637</v>
      </c>
      <c r="P161" s="1373">
        <v>4.8288330141175173</v>
      </c>
      <c r="Q161" s="1330"/>
      <c r="R161" s="1404"/>
    </row>
    <row r="162" spans="1:18">
      <c r="A162" s="1330"/>
      <c r="B162" s="932" t="s">
        <v>341</v>
      </c>
      <c r="C162" s="1189">
        <v>3.3529688344187791</v>
      </c>
      <c r="D162" s="1189">
        <v>6.9752176174478375</v>
      </c>
      <c r="E162" s="1189">
        <v>-0.46923355391221833</v>
      </c>
      <c r="F162" s="1189">
        <v>10.600032380784597</v>
      </c>
      <c r="G162" s="1189">
        <v>4.7711265200652386</v>
      </c>
      <c r="H162" s="1189">
        <v>1.4894550121773431</v>
      </c>
      <c r="I162" s="1189">
        <v>-0.89014158866129733</v>
      </c>
      <c r="J162" s="1189">
        <v>10.003161515525893</v>
      </c>
      <c r="K162" s="1189">
        <v>6.3072977413363596</v>
      </c>
      <c r="L162" s="1189">
        <v>5.7698241836227071</v>
      </c>
      <c r="M162" s="1189">
        <v>7.7851004391922274</v>
      </c>
      <c r="N162" s="1189">
        <v>4.8279541000260551</v>
      </c>
      <c r="O162" s="1189">
        <v>7.9363236052720332</v>
      </c>
      <c r="P162" s="1373">
        <v>5.3903088775004271</v>
      </c>
      <c r="Q162" s="1330"/>
      <c r="R162" s="1404"/>
    </row>
    <row r="163" spans="1:18">
      <c r="A163" s="1330"/>
      <c r="B163" s="932" t="s">
        <v>342</v>
      </c>
      <c r="C163" s="1189">
        <v>10.809708601192058</v>
      </c>
      <c r="D163" s="1406">
        <v>53.83379801324044</v>
      </c>
      <c r="E163" s="1406">
        <v>2.2037484443481636</v>
      </c>
      <c r="F163" s="1406">
        <v>35.572268904724112</v>
      </c>
      <c r="G163" s="1407">
        <v>17.083591010573883</v>
      </c>
      <c r="H163" s="1330">
        <v>19.613588816201322</v>
      </c>
      <c r="I163" s="1406">
        <v>0.11477780396660364</v>
      </c>
      <c r="J163" s="1406">
        <v>36.237776175863459</v>
      </c>
      <c r="K163" s="1406">
        <v>6.3072977413363596</v>
      </c>
      <c r="L163" s="1407">
        <v>15.678249136387556</v>
      </c>
      <c r="M163" s="1407">
        <v>19.313262259113984</v>
      </c>
      <c r="N163" s="1330">
        <v>18.712922266244124</v>
      </c>
      <c r="O163" s="1407">
        <v>26.784060483607732</v>
      </c>
      <c r="P163" s="1373">
        <v>20.854126323373801</v>
      </c>
      <c r="Q163" s="1330"/>
      <c r="R163" s="1404"/>
    </row>
    <row r="164" spans="1:18">
      <c r="A164" s="1330"/>
      <c r="B164" s="932" t="s">
        <v>343</v>
      </c>
      <c r="C164" s="1330">
        <v>18.469290752595846</v>
      </c>
      <c r="D164" s="1406">
        <v>69.142648575357569</v>
      </c>
      <c r="E164" s="1406">
        <v>7.0447773742093878</v>
      </c>
      <c r="F164" s="1406">
        <v>46.01273130769512</v>
      </c>
      <c r="G164" s="1407">
        <v>20.562732205387825</v>
      </c>
      <c r="H164" s="1330">
        <v>22.01772057225908</v>
      </c>
      <c r="I164" s="1406">
        <v>0.33747087009889931</v>
      </c>
      <c r="J164" s="1406">
        <v>56.699045271977951</v>
      </c>
      <c r="K164" s="1406">
        <v>8.2254552673004966</v>
      </c>
      <c r="L164" s="1407">
        <v>27.340333541739636</v>
      </c>
      <c r="M164" s="1407">
        <v>36.209080578673934</v>
      </c>
      <c r="N164" s="1330">
        <v>26.017253947638697</v>
      </c>
      <c r="O164" s="1407">
        <v>42.713990834852567</v>
      </c>
      <c r="P164" s="1373">
        <v>31.005289232223141</v>
      </c>
      <c r="Q164" s="1330"/>
      <c r="R164" s="1404"/>
    </row>
    <row r="165" spans="1:18">
      <c r="A165" s="1330"/>
      <c r="B165" s="932" t="s">
        <v>344</v>
      </c>
      <c r="C165" s="1330">
        <v>30.205412569419575</v>
      </c>
      <c r="D165" s="1406">
        <v>81.480885074028294</v>
      </c>
      <c r="E165" s="1406">
        <v>10.482268648977989</v>
      </c>
      <c r="F165" s="1406">
        <v>57.082094666211901</v>
      </c>
      <c r="G165" s="1407">
        <v>30.79719369037397</v>
      </c>
      <c r="H165" s="1330">
        <v>56.465690285066117</v>
      </c>
      <c r="I165" s="1406">
        <v>1.6118748712153019</v>
      </c>
      <c r="J165" s="1406">
        <v>60.450569285214243</v>
      </c>
      <c r="K165" s="1406">
        <v>8.2226819625894834</v>
      </c>
      <c r="L165" s="1407">
        <v>44.263785278159993</v>
      </c>
      <c r="M165" s="1407">
        <v>48.820106027911827</v>
      </c>
      <c r="N165" s="1330">
        <v>37.077578415165057</v>
      </c>
      <c r="O165" s="1407">
        <v>53.681109155995685</v>
      </c>
      <c r="P165" s="1373">
        <v>42.08751642780355</v>
      </c>
      <c r="Q165" s="1330"/>
      <c r="R165" s="1404"/>
    </row>
    <row r="166" spans="1:18">
      <c r="A166" s="1330"/>
      <c r="B166" s="1192"/>
      <c r="C166" s="1330"/>
      <c r="D166" s="1465"/>
      <c r="E166" s="1465"/>
      <c r="F166" s="1465"/>
      <c r="G166" s="1466"/>
      <c r="H166" s="1330"/>
      <c r="I166" s="1465"/>
      <c r="J166" s="1465"/>
      <c r="K166" s="1465"/>
      <c r="L166" s="1466"/>
      <c r="M166" s="1466"/>
      <c r="N166" s="1330"/>
      <c r="O166" s="1466"/>
      <c r="P166" s="1467"/>
      <c r="Q166" s="1330"/>
      <c r="R166" s="1404"/>
    </row>
    <row r="167" spans="1:18">
      <c r="A167" s="1330"/>
      <c r="B167" s="1397">
        <v>2019</v>
      </c>
      <c r="C167" s="1330"/>
      <c r="D167" s="1465"/>
      <c r="E167" s="1465"/>
      <c r="F167" s="1465"/>
      <c r="G167" s="1466"/>
      <c r="H167" s="1330"/>
      <c r="I167" s="1465"/>
      <c r="J167" s="1465"/>
      <c r="K167" s="1465"/>
      <c r="L167" s="1466"/>
      <c r="M167" s="1466"/>
      <c r="N167" s="1330"/>
      <c r="O167" s="1466"/>
      <c r="P167" s="1467"/>
      <c r="Q167" s="1330"/>
      <c r="R167" s="1404"/>
    </row>
    <row r="168" spans="1:18">
      <c r="A168" s="1330"/>
      <c r="B168" s="1473" t="s">
        <v>345</v>
      </c>
      <c r="C168" s="1330">
        <v>47.34240715178413</v>
      </c>
      <c r="D168" s="1465">
        <v>82.131887759711432</v>
      </c>
      <c r="E168" s="1465">
        <v>15.269481014016574</v>
      </c>
      <c r="F168" s="1465">
        <v>70.997559168032836</v>
      </c>
      <c r="G168" s="1466">
        <v>45.883341490768892</v>
      </c>
      <c r="H168" s="1330">
        <v>130.40622423904119</v>
      </c>
      <c r="I168" s="1465">
        <v>2.7939266336878932</v>
      </c>
      <c r="J168" s="1465">
        <v>74.998839313953653</v>
      </c>
      <c r="K168" s="1465">
        <v>8.3229591442659956</v>
      </c>
      <c r="L168" s="1466">
        <v>61.449439960436678</v>
      </c>
      <c r="M168" s="1466">
        <v>57.808487624197923</v>
      </c>
      <c r="N168" s="1330">
        <v>54.262673464840042</v>
      </c>
      <c r="O168" s="1466">
        <v>63.706776885902293</v>
      </c>
      <c r="P168" s="1467">
        <v>56.896928597494821</v>
      </c>
      <c r="Q168" s="1330"/>
      <c r="R168" s="1404"/>
    </row>
    <row r="169" spans="1:18">
      <c r="A169" s="1330"/>
      <c r="B169" s="1473" t="s">
        <v>334</v>
      </c>
      <c r="C169" s="1330">
        <v>51.283045060617468</v>
      </c>
      <c r="D169" s="1465">
        <v>91.221422382173657</v>
      </c>
      <c r="E169" s="1465">
        <v>18.461318691196649</v>
      </c>
      <c r="F169" s="1465">
        <v>74.91926031668379</v>
      </c>
      <c r="G169" s="1466">
        <v>50.160917176253726</v>
      </c>
      <c r="H169" s="1330">
        <v>112.71015297716316</v>
      </c>
      <c r="I169" s="1465">
        <v>2.7836030012851509</v>
      </c>
      <c r="J169" s="1465">
        <v>79.380593166113499</v>
      </c>
      <c r="K169" s="1465">
        <v>8.3444359366664944</v>
      </c>
      <c r="L169" s="1466">
        <v>64.994130139341394</v>
      </c>
      <c r="M169" s="1466">
        <v>64.306932362101364</v>
      </c>
      <c r="N169" s="1330">
        <v>55.044946449474928</v>
      </c>
      <c r="O169" s="1466">
        <v>69.840238957238824</v>
      </c>
      <c r="P169" s="1467">
        <v>59.391548726043133</v>
      </c>
      <c r="Q169" s="1330"/>
      <c r="R169" s="1404"/>
    </row>
    <row r="170" spans="1:18">
      <c r="A170" s="1330"/>
      <c r="B170" s="1473" t="s">
        <v>335</v>
      </c>
      <c r="C170" s="1330">
        <v>72.668242117626875</v>
      </c>
      <c r="D170" s="1465">
        <v>102.55005158808355</v>
      </c>
      <c r="E170" s="1465">
        <v>22.138307947270739</v>
      </c>
      <c r="F170" s="1465">
        <v>83.177646421441011</v>
      </c>
      <c r="G170" s="1466">
        <v>53.33567306890177</v>
      </c>
      <c r="H170" s="1330">
        <v>122.10401020299506</v>
      </c>
      <c r="I170" s="1465">
        <v>4.594508661154717</v>
      </c>
      <c r="J170" s="1465">
        <v>83.51072190206439</v>
      </c>
      <c r="K170" s="1465">
        <v>12.299914418859537</v>
      </c>
      <c r="L170" s="1466">
        <v>72.723746111868778</v>
      </c>
      <c r="M170" s="1466">
        <v>73.745261840172319</v>
      </c>
      <c r="N170" s="1330">
        <v>61.187733815541925</v>
      </c>
      <c r="O170" s="1466">
        <v>78.553213554199203</v>
      </c>
      <c r="P170" s="1467">
        <v>66.796172906109177</v>
      </c>
      <c r="Q170" s="1330"/>
      <c r="R170" s="1404"/>
    </row>
    <row r="171" spans="1:18">
      <c r="A171" s="1330"/>
      <c r="B171" s="1473" t="s">
        <v>336</v>
      </c>
      <c r="C171" s="1330">
        <v>93.083793369505855</v>
      </c>
      <c r="D171" s="1465">
        <v>115.12581081609055</v>
      </c>
      <c r="E171" s="1465">
        <v>22.940336758299075</v>
      </c>
      <c r="F171" s="1465">
        <v>93.883158106096445</v>
      </c>
      <c r="G171" s="1466">
        <v>83.65689637178761</v>
      </c>
      <c r="H171" s="1330">
        <v>130.40140290161557</v>
      </c>
      <c r="I171" s="1465">
        <v>8.4864799097231103</v>
      </c>
      <c r="J171" s="1465">
        <v>93.538828584451991</v>
      </c>
      <c r="K171" s="1465">
        <v>19.331314108160825</v>
      </c>
      <c r="L171" s="1466">
        <v>103.05683687004704</v>
      </c>
      <c r="M171" s="1466">
        <v>82.564765116366928</v>
      </c>
      <c r="N171" s="1330">
        <v>68.169430915232198</v>
      </c>
      <c r="O171" s="1466">
        <v>92.522632027336286</v>
      </c>
      <c r="P171" s="1467">
        <v>75.857381211294438</v>
      </c>
      <c r="Q171" s="1330"/>
      <c r="R171" s="1404"/>
    </row>
    <row r="172" spans="1:18">
      <c r="A172" s="1330"/>
      <c r="B172" s="1473" t="s">
        <v>337</v>
      </c>
      <c r="C172" s="1330">
        <v>134.80177771155292</v>
      </c>
      <c r="D172" s="1465">
        <v>140.46329011592019</v>
      </c>
      <c r="E172" s="1465">
        <v>26.073047325013647</v>
      </c>
      <c r="F172" s="1465">
        <v>116.47268100964854</v>
      </c>
      <c r="G172" s="1466">
        <v>114.53868655840108</v>
      </c>
      <c r="H172" s="1330">
        <v>167.31650014501673</v>
      </c>
      <c r="I172" s="1465">
        <v>42.357796289362369</v>
      </c>
      <c r="J172" s="1465">
        <v>151.041190839969</v>
      </c>
      <c r="K172" s="1465">
        <v>22.974944883035221</v>
      </c>
      <c r="L172" s="1466">
        <v>116.48569119962735</v>
      </c>
      <c r="M172" s="1466">
        <v>98.278050198862559</v>
      </c>
      <c r="N172" s="1330">
        <v>85.942261201590981</v>
      </c>
      <c r="O172" s="1466">
        <v>126.42512197557619</v>
      </c>
      <c r="P172" s="1467">
        <v>97.853193646198349</v>
      </c>
      <c r="Q172" s="1330"/>
      <c r="R172" s="1404"/>
    </row>
    <row r="173" spans="1:18">
      <c r="A173" s="1330"/>
      <c r="B173" s="1473" t="s">
        <v>338</v>
      </c>
      <c r="C173" s="1330">
        <v>228.95161693604234</v>
      </c>
      <c r="D173" s="1465">
        <v>283.95739251583933</v>
      </c>
      <c r="E173" s="1465">
        <v>49.134060180474172</v>
      </c>
      <c r="F173" s="1465">
        <v>256.29053530690607</v>
      </c>
      <c r="G173" s="1466">
        <v>213.17358634443266</v>
      </c>
      <c r="H173" s="1330">
        <v>278.5800620912712</v>
      </c>
      <c r="I173" s="1465">
        <v>45.524865970506958</v>
      </c>
      <c r="J173" s="1465">
        <v>240.71022899312072</v>
      </c>
      <c r="K173" s="1465">
        <v>23.053651040058632</v>
      </c>
      <c r="L173" s="1466">
        <v>177.91358384541743</v>
      </c>
      <c r="M173" s="1466">
        <v>168.23743216889486</v>
      </c>
      <c r="N173" s="1330">
        <v>142.83996337819022</v>
      </c>
      <c r="O173" s="1466">
        <v>251.93717880660981</v>
      </c>
      <c r="P173" s="1467">
        <v>175.65642478876003</v>
      </c>
      <c r="Q173" s="1330"/>
      <c r="R173" s="1404"/>
    </row>
    <row r="174" spans="1:18" ht="16.2" thickBot="1">
      <c r="B174" s="1468"/>
      <c r="C174" s="1195"/>
      <c r="D174" s="1194"/>
      <c r="E174" s="1194"/>
      <c r="F174" s="1194"/>
      <c r="G174" s="1194"/>
      <c r="H174" s="1194"/>
      <c r="I174" s="1194"/>
      <c r="J174" s="1194"/>
      <c r="K174" s="1194"/>
      <c r="L174" s="1194"/>
      <c r="M174" s="1194"/>
      <c r="N174" s="1194"/>
      <c r="O174" s="1194"/>
      <c r="P174" s="1469"/>
    </row>
    <row r="175" spans="1:18" ht="16.2" thickTop="1"/>
    <row r="176" spans="1:18">
      <c r="B176" s="966" t="s">
        <v>1776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51" customWidth="1"/>
    <col min="2" max="2" width="15.453125" style="51" customWidth="1"/>
    <col min="3" max="3" width="25.08984375" style="51" customWidth="1"/>
    <col min="4" max="4" width="22" style="51" bestFit="1" customWidth="1"/>
    <col min="5" max="5" width="21.1796875" style="51" bestFit="1" customWidth="1"/>
    <col min="6" max="6" width="19.54296875" style="51" customWidth="1"/>
    <col min="7" max="7" width="20.81640625" style="51" customWidth="1"/>
    <col min="8" max="8" width="17.90625" style="51" customWidth="1"/>
    <col min="9" max="9" width="21.36328125" style="51" customWidth="1"/>
    <col min="10" max="10" width="11" style="51" customWidth="1"/>
    <col min="11" max="11" width="20.453125" style="51" bestFit="1" customWidth="1"/>
    <col min="12" max="12" width="19.54296875" style="51" bestFit="1" customWidth="1"/>
    <col min="13" max="13" width="22.6328125" style="51" bestFit="1" customWidth="1"/>
    <col min="14" max="14" width="1.36328125" style="51" customWidth="1"/>
    <col min="15" max="30" width="9.6328125" style="51" customWidth="1"/>
    <col min="31" max="31" width="2.81640625" style="51" customWidth="1"/>
    <col min="32" max="16384" width="9.6328125" style="51"/>
  </cols>
  <sheetData>
    <row r="2" spans="1:13" ht="18">
      <c r="B2" s="52"/>
      <c r="C2" s="52"/>
      <c r="D2" s="52"/>
      <c r="E2" s="72"/>
      <c r="F2" s="71" t="s">
        <v>252</v>
      </c>
      <c r="G2" s="71"/>
      <c r="H2" s="71"/>
      <c r="I2" s="72"/>
    </row>
    <row r="3" spans="1:13" ht="12.75" customHeight="1">
      <c r="B3" s="52"/>
      <c r="D3" s="52"/>
      <c r="E3" s="72"/>
      <c r="F3" s="71"/>
      <c r="G3" s="71"/>
      <c r="H3" s="71"/>
      <c r="I3" s="72"/>
    </row>
    <row r="4" spans="1:13" ht="19.5" customHeight="1">
      <c r="B4" s="52"/>
      <c r="D4" s="52"/>
      <c r="E4" s="72"/>
      <c r="F4" s="71" t="s">
        <v>0</v>
      </c>
      <c r="G4" s="71"/>
      <c r="H4" s="71"/>
      <c r="I4" s="72"/>
    </row>
    <row r="5" spans="1:13" ht="12.75" customHeight="1" thickBot="1">
      <c r="B5" s="54"/>
      <c r="C5" s="54"/>
      <c r="D5" s="54"/>
      <c r="E5" s="54"/>
      <c r="F5" s="54"/>
      <c r="G5" s="54"/>
      <c r="H5" s="54"/>
      <c r="I5" s="54"/>
      <c r="J5" s="54"/>
      <c r="K5" s="54"/>
      <c r="L5" s="54"/>
    </row>
    <row r="6" spans="1:13" ht="12.75" customHeight="1" thickTop="1">
      <c r="B6" s="55"/>
      <c r="C6" s="74"/>
      <c r="D6" s="55"/>
      <c r="E6" s="56"/>
      <c r="F6" s="56"/>
      <c r="G6" s="55"/>
      <c r="H6" s="56"/>
      <c r="I6" s="56"/>
      <c r="J6" s="56"/>
      <c r="K6" s="56"/>
      <c r="L6" s="56"/>
      <c r="M6" s="74"/>
    </row>
    <row r="7" spans="1:13" ht="15.75" customHeight="1">
      <c r="B7" s="59"/>
      <c r="C7" s="76"/>
      <c r="D7" s="1839" t="s">
        <v>329</v>
      </c>
      <c r="E7" s="1842"/>
      <c r="F7" s="1841"/>
      <c r="G7" s="59" t="s">
        <v>260</v>
      </c>
      <c r="H7" s="64"/>
      <c r="I7" s="54"/>
      <c r="J7" s="54"/>
      <c r="K7" s="54"/>
      <c r="L7" s="54"/>
      <c r="M7" s="76"/>
    </row>
    <row r="8" spans="1:13" ht="15.75" customHeight="1" thickBot="1">
      <c r="B8" s="59"/>
      <c r="C8" s="76"/>
      <c r="D8" s="60"/>
      <c r="E8" s="54"/>
      <c r="F8" s="54"/>
      <c r="G8" s="123"/>
      <c r="J8" s="54"/>
      <c r="K8" s="54"/>
      <c r="L8" s="54"/>
      <c r="M8" s="76"/>
    </row>
    <row r="9" spans="1:13" ht="15.75" customHeight="1" thickTop="1">
      <c r="B9" s="57" t="s">
        <v>263</v>
      </c>
      <c r="C9" s="76"/>
      <c r="D9" s="55"/>
      <c r="E9" s="55"/>
      <c r="F9" s="55"/>
      <c r="G9" s="55"/>
      <c r="H9" s="56"/>
      <c r="I9" s="55"/>
      <c r="J9" s="56"/>
      <c r="K9" s="55"/>
      <c r="L9" s="55"/>
      <c r="M9" s="74"/>
    </row>
    <row r="10" spans="1:13" ht="15.75" customHeight="1">
      <c r="B10" s="59"/>
      <c r="C10" s="124" t="s">
        <v>332</v>
      </c>
      <c r="D10" s="57" t="s">
        <v>270</v>
      </c>
      <c r="E10" s="57" t="s">
        <v>271</v>
      </c>
      <c r="F10" s="57" t="s">
        <v>272</v>
      </c>
      <c r="G10" s="1839" t="s">
        <v>273</v>
      </c>
      <c r="H10" s="1841"/>
      <c r="I10" s="59" t="s">
        <v>274</v>
      </c>
      <c r="J10" s="54"/>
      <c r="K10" s="57" t="s">
        <v>275</v>
      </c>
      <c r="L10" s="57" t="s">
        <v>276</v>
      </c>
      <c r="M10" s="124" t="s">
        <v>331</v>
      </c>
    </row>
    <row r="11" spans="1:13" ht="15.75" customHeight="1" thickBot="1">
      <c r="B11" s="59"/>
      <c r="C11" s="76"/>
      <c r="D11" s="57" t="s">
        <v>283</v>
      </c>
      <c r="E11" s="57" t="s">
        <v>284</v>
      </c>
      <c r="F11" s="59"/>
      <c r="G11" s="59"/>
      <c r="H11" s="54"/>
      <c r="I11" s="59"/>
      <c r="J11" s="54"/>
      <c r="K11" s="57" t="s">
        <v>282</v>
      </c>
      <c r="L11" s="57" t="s">
        <v>284</v>
      </c>
      <c r="M11" s="76"/>
    </row>
    <row r="12" spans="1:13" ht="15.75" customHeight="1" thickTop="1">
      <c r="B12" s="59"/>
      <c r="C12" s="76"/>
      <c r="D12" s="125"/>
      <c r="E12" s="125"/>
      <c r="F12" s="125"/>
      <c r="G12" s="55"/>
      <c r="H12" s="55"/>
      <c r="I12" s="55"/>
      <c r="J12" s="55"/>
      <c r="K12" s="59"/>
      <c r="L12" s="59"/>
      <c r="M12" s="76"/>
    </row>
    <row r="13" spans="1:13" ht="15.75" customHeight="1">
      <c r="B13" s="59"/>
      <c r="C13" s="76"/>
      <c r="D13" s="59"/>
      <c r="E13" s="59"/>
      <c r="F13" s="59"/>
      <c r="G13" s="57" t="s">
        <v>291</v>
      </c>
      <c r="H13" s="57" t="s">
        <v>293</v>
      </c>
      <c r="I13" s="57" t="s">
        <v>291</v>
      </c>
      <c r="J13" s="57" t="s">
        <v>293</v>
      </c>
      <c r="K13" s="59"/>
      <c r="L13" s="59"/>
      <c r="M13" s="76"/>
    </row>
    <row r="14" spans="1:13" ht="12.75" customHeight="1" thickBot="1">
      <c r="B14" s="60"/>
      <c r="C14" s="126"/>
      <c r="D14" s="60"/>
      <c r="E14" s="60"/>
      <c r="F14" s="60"/>
      <c r="G14" s="60"/>
      <c r="H14" s="60"/>
      <c r="I14" s="60"/>
      <c r="J14" s="60"/>
      <c r="K14" s="60"/>
      <c r="L14" s="60"/>
      <c r="M14" s="126"/>
    </row>
    <row r="15" spans="1:13" ht="12.75" hidden="1" customHeight="1" thickTop="1">
      <c r="A15" s="78"/>
      <c r="B15" s="61"/>
      <c r="C15" s="79"/>
      <c r="D15" s="61"/>
      <c r="E15" s="61"/>
      <c r="F15" s="61"/>
      <c r="G15" s="61"/>
      <c r="H15" s="61"/>
      <c r="I15" s="61"/>
      <c r="J15" s="61"/>
      <c r="K15" s="61"/>
      <c r="L15" s="61"/>
      <c r="M15" s="79"/>
    </row>
    <row r="16" spans="1:13" ht="12.75" hidden="1" customHeight="1">
      <c r="B16" s="57" t="s">
        <v>297</v>
      </c>
      <c r="C16" s="69"/>
      <c r="D16" s="68"/>
      <c r="E16" s="68"/>
      <c r="F16" s="68"/>
      <c r="G16" s="68"/>
      <c r="H16" s="68"/>
      <c r="I16" s="68"/>
      <c r="J16" s="68"/>
      <c r="K16" s="68"/>
      <c r="L16" s="68"/>
      <c r="M16" s="69" t="s">
        <v>296</v>
      </c>
    </row>
    <row r="17" spans="1:13" ht="12.75" hidden="1" customHeight="1">
      <c r="B17" s="63"/>
      <c r="C17" s="69"/>
      <c r="D17" s="68"/>
      <c r="E17" s="68"/>
      <c r="F17" s="68"/>
      <c r="G17" s="68"/>
      <c r="H17" s="68"/>
      <c r="I17" s="68"/>
      <c r="J17" s="68"/>
      <c r="K17" s="68"/>
      <c r="L17" s="68"/>
      <c r="M17" s="69"/>
    </row>
    <row r="18" spans="1:13" ht="12.75" hidden="1" customHeight="1">
      <c r="A18" s="82"/>
      <c r="B18" s="63" t="s">
        <v>298</v>
      </c>
      <c r="C18" s="69">
        <v>5486.9</v>
      </c>
      <c r="D18" s="68">
        <v>947.4</v>
      </c>
      <c r="E18" s="68">
        <v>1292.7</v>
      </c>
      <c r="F18" s="68">
        <v>1717.6</v>
      </c>
      <c r="G18" s="68">
        <v>1773.3</v>
      </c>
      <c r="H18" s="68">
        <v>48.7</v>
      </c>
      <c r="I18" s="68">
        <v>173.7</v>
      </c>
      <c r="J18" s="68">
        <v>0.1</v>
      </c>
      <c r="K18" s="68">
        <v>360.8</v>
      </c>
      <c r="L18" s="68">
        <v>306.2</v>
      </c>
      <c r="M18" s="69">
        <v>12107.4</v>
      </c>
    </row>
    <row r="19" spans="1:13" ht="12.75" hidden="1" customHeight="1">
      <c r="A19" s="82"/>
      <c r="B19" s="63"/>
      <c r="C19" s="69"/>
      <c r="D19" s="68"/>
      <c r="E19" s="68"/>
      <c r="F19" s="68"/>
      <c r="G19" s="68"/>
      <c r="H19" s="68"/>
      <c r="I19" s="68"/>
      <c r="J19" s="68"/>
      <c r="K19" s="68"/>
      <c r="L19" s="68"/>
      <c r="M19" s="69"/>
    </row>
    <row r="20" spans="1:13" ht="12.75" hidden="1" customHeight="1">
      <c r="A20" s="82"/>
      <c r="B20" s="63" t="s">
        <v>299</v>
      </c>
      <c r="C20" s="69">
        <v>5364.5</v>
      </c>
      <c r="D20" s="68">
        <v>950</v>
      </c>
      <c r="E20" s="68">
        <v>1352.7</v>
      </c>
      <c r="F20" s="68">
        <v>1729.9</v>
      </c>
      <c r="G20" s="68">
        <v>2115.8000000000002</v>
      </c>
      <c r="H20" s="68">
        <v>37.1</v>
      </c>
      <c r="I20" s="68">
        <v>153.69999999999999</v>
      </c>
      <c r="J20" s="68">
        <v>0</v>
      </c>
      <c r="K20" s="68">
        <v>139.6</v>
      </c>
      <c r="L20" s="68">
        <v>290.7</v>
      </c>
      <c r="M20" s="69">
        <v>12133.9</v>
      </c>
    </row>
    <row r="21" spans="1:13" ht="12.75" hidden="1" customHeight="1">
      <c r="A21" s="82"/>
      <c r="B21" s="63"/>
      <c r="C21" s="69"/>
      <c r="D21" s="68"/>
      <c r="E21" s="68"/>
      <c r="F21" s="68"/>
      <c r="G21" s="68"/>
      <c r="H21" s="68"/>
      <c r="I21" s="68"/>
      <c r="J21" s="68"/>
      <c r="K21" s="68"/>
      <c r="L21" s="68"/>
      <c r="M21" s="69"/>
    </row>
    <row r="22" spans="1:13" ht="12.75" hidden="1" customHeight="1">
      <c r="A22" s="82"/>
      <c r="B22" s="63" t="s">
        <v>300</v>
      </c>
      <c r="C22" s="69">
        <v>5635.4</v>
      </c>
      <c r="D22" s="68">
        <v>930.3</v>
      </c>
      <c r="E22" s="68">
        <v>1398.1</v>
      </c>
      <c r="F22" s="68">
        <v>1751</v>
      </c>
      <c r="G22" s="68">
        <v>2175</v>
      </c>
      <c r="H22" s="68">
        <v>39.4</v>
      </c>
      <c r="I22" s="68">
        <v>156.9</v>
      </c>
      <c r="J22" s="68">
        <v>0</v>
      </c>
      <c r="K22" s="68">
        <v>190.2</v>
      </c>
      <c r="L22" s="68">
        <v>308.5</v>
      </c>
      <c r="M22" s="69">
        <v>12584.9</v>
      </c>
    </row>
    <row r="23" spans="1:13" ht="12.75" hidden="1" customHeight="1">
      <c r="A23" s="82"/>
      <c r="B23" s="63"/>
      <c r="C23" s="69"/>
      <c r="D23" s="68"/>
      <c r="E23" s="68"/>
      <c r="F23" s="68"/>
      <c r="G23" s="68"/>
      <c r="H23" s="68"/>
      <c r="I23" s="68"/>
      <c r="J23" s="68"/>
      <c r="K23" s="68"/>
      <c r="L23" s="68"/>
      <c r="M23" s="69"/>
    </row>
    <row r="24" spans="1:13" ht="12.75" hidden="1" customHeight="1">
      <c r="A24" s="82"/>
      <c r="B24" s="63" t="s">
        <v>301</v>
      </c>
      <c r="C24" s="69">
        <v>5448.7</v>
      </c>
      <c r="D24" s="68">
        <v>952.7</v>
      </c>
      <c r="E24" s="68">
        <v>1532.1</v>
      </c>
      <c r="F24" s="68">
        <v>1774.3</v>
      </c>
      <c r="G24" s="68">
        <v>2119.9</v>
      </c>
      <c r="H24" s="68">
        <v>28.5</v>
      </c>
      <c r="I24" s="68">
        <v>178.1</v>
      </c>
      <c r="J24" s="68">
        <v>0</v>
      </c>
      <c r="K24" s="68">
        <v>300.7</v>
      </c>
      <c r="L24" s="68">
        <v>282.10000000000002</v>
      </c>
      <c r="M24" s="69">
        <v>12617.1</v>
      </c>
    </row>
    <row r="25" spans="1:13" ht="12.75" hidden="1" customHeight="1">
      <c r="A25" s="82"/>
      <c r="B25" s="63"/>
      <c r="C25" s="69"/>
      <c r="D25" s="68"/>
      <c r="E25" s="68"/>
      <c r="F25" s="68"/>
      <c r="G25" s="68"/>
      <c r="H25" s="68"/>
      <c r="I25" s="68"/>
      <c r="J25" s="68"/>
      <c r="K25" s="68"/>
      <c r="L25" s="68"/>
      <c r="M25" s="69"/>
    </row>
    <row r="26" spans="1:13" ht="12.75" hidden="1" customHeight="1">
      <c r="A26" s="82"/>
      <c r="B26" s="63" t="s">
        <v>302</v>
      </c>
      <c r="C26" s="69">
        <v>6126.1</v>
      </c>
      <c r="D26" s="68">
        <v>988.7</v>
      </c>
      <c r="E26" s="68">
        <v>1575.7</v>
      </c>
      <c r="F26" s="68">
        <v>1781.2</v>
      </c>
      <c r="G26" s="68">
        <v>2333.8000000000002</v>
      </c>
      <c r="H26" s="68">
        <v>38.200000000000003</v>
      </c>
      <c r="I26" s="68">
        <v>246.8</v>
      </c>
      <c r="J26" s="68">
        <v>0</v>
      </c>
      <c r="K26" s="68">
        <v>156.9</v>
      </c>
      <c r="L26" s="68">
        <v>297.7</v>
      </c>
      <c r="M26" s="69">
        <v>13545.1</v>
      </c>
    </row>
    <row r="27" spans="1:13" ht="12.75" hidden="1" customHeight="1">
      <c r="A27" s="82"/>
      <c r="B27" s="63"/>
      <c r="C27" s="69"/>
      <c r="D27" s="68"/>
      <c r="E27" s="68"/>
      <c r="F27" s="68"/>
      <c r="G27" s="68"/>
      <c r="H27" s="68"/>
      <c r="I27" s="68"/>
      <c r="J27" s="68"/>
      <c r="K27" s="68"/>
      <c r="L27" s="68"/>
      <c r="M27" s="69"/>
    </row>
    <row r="28" spans="1:13" ht="12.75" hidden="1" customHeight="1">
      <c r="A28" s="82"/>
      <c r="B28" s="63" t="s">
        <v>303</v>
      </c>
      <c r="C28" s="69">
        <v>5701.7</v>
      </c>
      <c r="D28" s="68">
        <v>1080.5999999999999</v>
      </c>
      <c r="E28" s="68">
        <v>1593.4</v>
      </c>
      <c r="F28" s="68">
        <v>1798.7</v>
      </c>
      <c r="G28" s="68">
        <v>2356.1999999999998</v>
      </c>
      <c r="H28" s="68">
        <v>48</v>
      </c>
      <c r="I28" s="68">
        <v>124.9</v>
      </c>
      <c r="J28" s="68">
        <v>0</v>
      </c>
      <c r="K28" s="68">
        <v>240.7</v>
      </c>
      <c r="L28" s="68">
        <v>403</v>
      </c>
      <c r="M28" s="69">
        <v>13347.2</v>
      </c>
    </row>
    <row r="29" spans="1:13" ht="12.75" hidden="1" customHeight="1">
      <c r="A29" s="82"/>
      <c r="B29" s="63"/>
      <c r="C29" s="69"/>
      <c r="D29" s="68"/>
      <c r="E29" s="68"/>
      <c r="F29" s="68"/>
      <c r="G29" s="68"/>
      <c r="H29" s="68"/>
      <c r="I29" s="68"/>
      <c r="J29" s="68"/>
      <c r="K29" s="68"/>
      <c r="L29" s="68"/>
      <c r="M29" s="69"/>
    </row>
    <row r="30" spans="1:13" ht="12.75" hidden="1" customHeight="1">
      <c r="A30" s="82"/>
      <c r="B30" s="63" t="s">
        <v>304</v>
      </c>
      <c r="C30" s="69">
        <v>6297.1</v>
      </c>
      <c r="D30" s="68">
        <v>1134.9000000000001</v>
      </c>
      <c r="E30" s="68">
        <v>1702.2</v>
      </c>
      <c r="F30" s="68">
        <v>2123</v>
      </c>
      <c r="G30" s="68">
        <v>2623</v>
      </c>
      <c r="H30" s="68">
        <v>60</v>
      </c>
      <c r="I30" s="68">
        <v>219.7</v>
      </c>
      <c r="J30" s="68">
        <v>0</v>
      </c>
      <c r="K30" s="68">
        <v>398.2</v>
      </c>
      <c r="L30" s="68">
        <v>426.7</v>
      </c>
      <c r="M30" s="69">
        <v>14984.8</v>
      </c>
    </row>
    <row r="31" spans="1:13" ht="12.75" hidden="1" customHeight="1">
      <c r="A31" s="82"/>
      <c r="B31" s="63"/>
      <c r="C31" s="69"/>
      <c r="D31" s="68"/>
      <c r="E31" s="68"/>
      <c r="F31" s="68"/>
      <c r="G31" s="68"/>
      <c r="H31" s="68"/>
      <c r="I31" s="68"/>
      <c r="J31" s="68"/>
      <c r="K31" s="68"/>
      <c r="L31" s="68"/>
      <c r="M31" s="69"/>
    </row>
    <row r="32" spans="1:13" ht="12.75" hidden="1" customHeight="1">
      <c r="A32" s="82"/>
      <c r="B32" s="63" t="s">
        <v>305</v>
      </c>
      <c r="C32" s="69">
        <v>6316.5</v>
      </c>
      <c r="D32" s="68">
        <v>1289.9000000000001</v>
      </c>
      <c r="E32" s="68">
        <v>1829.7</v>
      </c>
      <c r="F32" s="68">
        <v>2190</v>
      </c>
      <c r="G32" s="68">
        <v>2209.1999999999998</v>
      </c>
      <c r="H32" s="68">
        <v>61.9</v>
      </c>
      <c r="I32" s="68">
        <v>125.9</v>
      </c>
      <c r="J32" s="68">
        <v>0</v>
      </c>
      <c r="K32" s="68">
        <v>216.6</v>
      </c>
      <c r="L32" s="68">
        <v>323.8</v>
      </c>
      <c r="M32" s="69">
        <v>14563.6</v>
      </c>
    </row>
    <row r="33" spans="1:13" ht="12.75" hidden="1" customHeight="1">
      <c r="A33" s="82"/>
      <c r="B33" s="63"/>
      <c r="C33" s="69"/>
      <c r="D33" s="68"/>
      <c r="E33" s="68"/>
      <c r="F33" s="68"/>
      <c r="G33" s="68"/>
      <c r="H33" s="68"/>
      <c r="I33" s="68"/>
      <c r="J33" s="68"/>
      <c r="K33" s="68"/>
      <c r="L33" s="68" t="s">
        <v>296</v>
      </c>
      <c r="M33" s="69"/>
    </row>
    <row r="34" spans="1:13" ht="12.75" hidden="1" customHeight="1">
      <c r="A34" s="82"/>
      <c r="B34" s="63" t="s">
        <v>306</v>
      </c>
      <c r="C34" s="69">
        <v>6691.4</v>
      </c>
      <c r="D34" s="68">
        <v>1350</v>
      </c>
      <c r="E34" s="68">
        <v>1923.8</v>
      </c>
      <c r="F34" s="68">
        <v>2181.6</v>
      </c>
      <c r="G34" s="68">
        <v>2308</v>
      </c>
      <c r="H34" s="68">
        <v>42.7</v>
      </c>
      <c r="I34" s="68">
        <v>237.5</v>
      </c>
      <c r="J34" s="68">
        <v>0</v>
      </c>
      <c r="K34" s="68">
        <v>438.4</v>
      </c>
      <c r="L34" s="68">
        <v>326.10000000000002</v>
      </c>
      <c r="M34" s="69">
        <v>15499.5</v>
      </c>
    </row>
    <row r="35" spans="1:13" ht="12.75" hidden="1" customHeight="1">
      <c r="A35" s="82"/>
      <c r="B35" s="63"/>
      <c r="C35" s="69"/>
      <c r="D35" s="68"/>
      <c r="E35" s="68"/>
      <c r="F35" s="68"/>
      <c r="G35" s="68"/>
      <c r="H35" s="68"/>
      <c r="I35" s="68"/>
      <c r="J35" s="68"/>
      <c r="K35" s="68"/>
      <c r="L35" s="68"/>
      <c r="M35" s="69"/>
    </row>
    <row r="36" spans="1:13" ht="12.75" hidden="1" customHeight="1">
      <c r="A36" s="82"/>
      <c r="B36" s="63" t="s">
        <v>307</v>
      </c>
      <c r="C36" s="69">
        <v>6715.4</v>
      </c>
      <c r="D36" s="68">
        <v>1375.3</v>
      </c>
      <c r="E36" s="68">
        <v>1919.5</v>
      </c>
      <c r="F36" s="68">
        <v>2174.1999999999998</v>
      </c>
      <c r="G36" s="68">
        <v>2206.1999999999998</v>
      </c>
      <c r="H36" s="68">
        <v>83.8</v>
      </c>
      <c r="I36" s="68">
        <v>359.3</v>
      </c>
      <c r="J36" s="68">
        <v>0</v>
      </c>
      <c r="K36" s="68">
        <v>396.5</v>
      </c>
      <c r="L36" s="68">
        <v>362.9</v>
      </c>
      <c r="M36" s="69">
        <v>15593.1</v>
      </c>
    </row>
    <row r="37" spans="1:13" ht="12.75" hidden="1" customHeight="1">
      <c r="A37" s="82"/>
      <c r="B37" s="63"/>
      <c r="C37" s="69"/>
      <c r="D37" s="68"/>
      <c r="E37" s="68"/>
      <c r="F37" s="68"/>
      <c r="G37" s="68"/>
      <c r="H37" s="68"/>
      <c r="I37" s="68"/>
      <c r="J37" s="68"/>
      <c r="K37" s="68"/>
      <c r="L37" s="68"/>
      <c r="M37" s="69"/>
    </row>
    <row r="38" spans="1:13" ht="12.75" hidden="1" customHeight="1">
      <c r="A38" s="82"/>
      <c r="B38" s="63" t="s">
        <v>308</v>
      </c>
      <c r="C38" s="69">
        <v>7883.4</v>
      </c>
      <c r="D38" s="68">
        <v>1426.4</v>
      </c>
      <c r="E38" s="68">
        <v>2059.6</v>
      </c>
      <c r="F38" s="68">
        <v>2189.9</v>
      </c>
      <c r="G38" s="68">
        <v>2088.4</v>
      </c>
      <c r="H38" s="68">
        <v>74.8</v>
      </c>
      <c r="I38" s="68">
        <v>87.7</v>
      </c>
      <c r="J38" s="68">
        <v>0</v>
      </c>
      <c r="K38" s="68">
        <v>252.5</v>
      </c>
      <c r="L38" s="68">
        <v>407.4</v>
      </c>
      <c r="M38" s="69">
        <v>16469.7</v>
      </c>
    </row>
    <row r="39" spans="1:13" ht="12.75" hidden="1" customHeight="1">
      <c r="A39" s="82"/>
      <c r="B39" s="63"/>
      <c r="C39" s="69"/>
      <c r="D39" s="68"/>
      <c r="E39" s="68"/>
      <c r="F39" s="68"/>
      <c r="G39" s="68"/>
      <c r="H39" s="68"/>
      <c r="I39" s="68"/>
      <c r="J39" s="68"/>
      <c r="K39" s="68"/>
      <c r="L39" s="68"/>
      <c r="M39" s="69"/>
    </row>
    <row r="40" spans="1:13" ht="12.75" hidden="1" customHeight="1">
      <c r="A40" s="82"/>
      <c r="B40" s="63" t="s">
        <v>311</v>
      </c>
      <c r="C40" s="69">
        <v>6866.2</v>
      </c>
      <c r="D40" s="68">
        <v>1497.1</v>
      </c>
      <c r="E40" s="68">
        <v>2081.5</v>
      </c>
      <c r="F40" s="68">
        <v>2170.9</v>
      </c>
      <c r="G40" s="68">
        <v>2471.4</v>
      </c>
      <c r="H40" s="68">
        <v>240.5</v>
      </c>
      <c r="I40" s="68">
        <v>64.5</v>
      </c>
      <c r="J40" s="68">
        <v>0</v>
      </c>
      <c r="K40" s="68">
        <v>237.5</v>
      </c>
      <c r="L40" s="68">
        <v>380.4</v>
      </c>
      <c r="M40" s="69">
        <v>16009.7</v>
      </c>
    </row>
    <row r="41" spans="1:13" ht="12.75" hidden="1" customHeight="1">
      <c r="A41" s="82"/>
      <c r="B41" s="59"/>
      <c r="C41" s="69"/>
      <c r="D41" s="68"/>
      <c r="E41" s="68"/>
      <c r="F41" s="68"/>
      <c r="G41" s="68"/>
      <c r="H41" s="68"/>
      <c r="I41" s="68"/>
      <c r="J41" s="68"/>
      <c r="K41" s="68"/>
      <c r="L41" s="68"/>
      <c r="M41" s="69"/>
    </row>
    <row r="42" spans="1:13" ht="12.75" hidden="1" customHeight="1">
      <c r="A42" s="82"/>
      <c r="B42" s="57" t="s">
        <v>312</v>
      </c>
      <c r="C42" s="69"/>
      <c r="D42" s="68"/>
      <c r="E42" s="68"/>
      <c r="F42" s="68"/>
      <c r="G42" s="68"/>
      <c r="H42" s="68"/>
      <c r="I42" s="68"/>
      <c r="J42" s="68"/>
      <c r="K42" s="68"/>
      <c r="L42" s="68"/>
      <c r="M42" s="69" t="s">
        <v>296</v>
      </c>
    </row>
    <row r="43" spans="1:13" ht="12.75" hidden="1" customHeight="1">
      <c r="A43" s="82"/>
      <c r="B43" s="59"/>
      <c r="C43" s="69"/>
      <c r="D43" s="68"/>
      <c r="E43" s="68"/>
      <c r="F43" s="68"/>
      <c r="G43" s="68"/>
      <c r="H43" s="68"/>
      <c r="I43" s="68"/>
      <c r="J43" s="68"/>
      <c r="K43" s="68"/>
      <c r="L43" s="68"/>
      <c r="M43" s="69"/>
    </row>
    <row r="44" spans="1:13" ht="12.75" hidden="1" customHeight="1">
      <c r="A44" s="82"/>
      <c r="B44" s="63" t="s">
        <v>298</v>
      </c>
      <c r="C44" s="69">
        <v>7007.8</v>
      </c>
      <c r="D44" s="68">
        <v>1440.8</v>
      </c>
      <c r="E44" s="68">
        <v>2052.5</v>
      </c>
      <c r="F44" s="68">
        <v>2179.8000000000002</v>
      </c>
      <c r="G44" s="68">
        <v>2127.8000000000002</v>
      </c>
      <c r="H44" s="68">
        <v>76.400000000000006</v>
      </c>
      <c r="I44" s="68">
        <v>166.9</v>
      </c>
      <c r="J44" s="68">
        <v>0</v>
      </c>
      <c r="K44" s="68">
        <v>481.1</v>
      </c>
      <c r="L44" s="68">
        <v>593.79999999999995</v>
      </c>
      <c r="M44" s="69">
        <v>16126.8</v>
      </c>
    </row>
    <row r="45" spans="1:13" ht="12.75" hidden="1" customHeight="1">
      <c r="A45" s="82"/>
      <c r="B45" s="63"/>
      <c r="C45" s="69"/>
      <c r="D45" s="68"/>
      <c r="E45" s="68"/>
      <c r="F45" s="68"/>
      <c r="G45" s="68"/>
      <c r="H45" s="68"/>
      <c r="I45" s="68"/>
      <c r="J45" s="68"/>
      <c r="K45" s="68"/>
      <c r="L45" s="68"/>
      <c r="M45" s="69"/>
    </row>
    <row r="46" spans="1:13" ht="12.75" hidden="1" customHeight="1">
      <c r="A46" s="82"/>
      <c r="B46" s="63" t="s">
        <v>299</v>
      </c>
      <c r="C46" s="69">
        <v>6872.5</v>
      </c>
      <c r="D46" s="68">
        <v>1442.4</v>
      </c>
      <c r="E46" s="68">
        <v>2080.3000000000002</v>
      </c>
      <c r="F46" s="68">
        <v>2156.9</v>
      </c>
      <c r="G46" s="68">
        <v>1985.3</v>
      </c>
      <c r="H46" s="68">
        <v>83.7</v>
      </c>
      <c r="I46" s="68">
        <v>82.6</v>
      </c>
      <c r="J46" s="68">
        <v>0</v>
      </c>
      <c r="K46" s="68">
        <v>209.3</v>
      </c>
      <c r="L46" s="68">
        <v>748.9</v>
      </c>
      <c r="M46" s="69">
        <v>15662</v>
      </c>
    </row>
    <row r="47" spans="1:13" ht="12.75" hidden="1" customHeight="1">
      <c r="A47" s="82"/>
      <c r="B47" s="63"/>
      <c r="C47" s="69"/>
      <c r="D47" s="68"/>
      <c r="E47" s="68"/>
      <c r="F47" s="68"/>
      <c r="G47" s="68"/>
      <c r="H47" s="68"/>
      <c r="I47" s="68"/>
      <c r="J47" s="68"/>
      <c r="K47" s="68"/>
      <c r="L47" s="68"/>
      <c r="M47" s="69"/>
    </row>
    <row r="48" spans="1:13" ht="12.75" hidden="1" customHeight="1">
      <c r="A48" s="82"/>
      <c r="B48" s="63" t="s">
        <v>300</v>
      </c>
      <c r="C48" s="69">
        <v>7307.1</v>
      </c>
      <c r="D48" s="68">
        <v>1490.8</v>
      </c>
      <c r="E48" s="68">
        <v>2212.1999999999998</v>
      </c>
      <c r="F48" s="68">
        <v>2128.6999999999998</v>
      </c>
      <c r="G48" s="68">
        <v>1905.7</v>
      </c>
      <c r="H48" s="68">
        <v>68.2</v>
      </c>
      <c r="I48" s="68">
        <v>126.8</v>
      </c>
      <c r="J48" s="68">
        <v>0</v>
      </c>
      <c r="K48" s="68">
        <v>292.7</v>
      </c>
      <c r="L48" s="68">
        <v>883.4</v>
      </c>
      <c r="M48" s="69">
        <v>16415.5</v>
      </c>
    </row>
    <row r="49" spans="1:13" ht="12.75" hidden="1" customHeight="1">
      <c r="A49" s="82"/>
      <c r="B49" s="63"/>
      <c r="C49" s="69"/>
      <c r="D49" s="68"/>
      <c r="E49" s="68"/>
      <c r="F49" s="68"/>
      <c r="G49" s="68"/>
      <c r="H49" s="68"/>
      <c r="I49" s="68"/>
      <c r="J49" s="68"/>
      <c r="K49" s="68"/>
      <c r="L49" s="68"/>
      <c r="M49" s="69"/>
    </row>
    <row r="50" spans="1:13" ht="12.75" hidden="1" customHeight="1">
      <c r="A50" s="82"/>
      <c r="B50" s="63" t="s">
        <v>301</v>
      </c>
      <c r="C50" s="69">
        <v>6993.9</v>
      </c>
      <c r="D50" s="68">
        <v>1482.1</v>
      </c>
      <c r="E50" s="68">
        <v>2328</v>
      </c>
      <c r="F50" s="68">
        <v>2126</v>
      </c>
      <c r="G50" s="68">
        <v>2610.3000000000002</v>
      </c>
      <c r="H50" s="68">
        <v>61.7</v>
      </c>
      <c r="I50" s="68">
        <v>150.19999999999999</v>
      </c>
      <c r="J50" s="68">
        <v>0</v>
      </c>
      <c r="K50" s="68">
        <v>482.4</v>
      </c>
      <c r="L50" s="68">
        <v>885.7</v>
      </c>
      <c r="M50" s="69">
        <v>17120.400000000001</v>
      </c>
    </row>
    <row r="51" spans="1:13" ht="12.75" hidden="1" customHeight="1">
      <c r="A51" s="82"/>
      <c r="B51" s="63"/>
      <c r="C51" s="69"/>
      <c r="D51" s="68"/>
      <c r="E51" s="68"/>
      <c r="F51" s="68"/>
      <c r="G51" s="68"/>
      <c r="H51" s="68"/>
      <c r="I51" s="68"/>
      <c r="J51" s="68"/>
      <c r="K51" s="68"/>
      <c r="L51" s="68"/>
      <c r="M51" s="69"/>
    </row>
    <row r="52" spans="1:13" ht="12.75" hidden="1" customHeight="1">
      <c r="A52" s="82"/>
      <c r="B52" s="63" t="s">
        <v>302</v>
      </c>
      <c r="C52" s="69">
        <v>7919.4</v>
      </c>
      <c r="D52" s="68">
        <v>1534.7</v>
      </c>
      <c r="E52" s="68">
        <v>2389.6999999999998</v>
      </c>
      <c r="F52" s="68">
        <v>2109.1999999999998</v>
      </c>
      <c r="G52" s="68">
        <v>2433.6999999999998</v>
      </c>
      <c r="H52" s="68">
        <v>96</v>
      </c>
      <c r="I52" s="68">
        <v>121.3</v>
      </c>
      <c r="J52" s="68">
        <v>46.7</v>
      </c>
      <c r="K52" s="68">
        <v>247.8</v>
      </c>
      <c r="L52" s="68">
        <v>286.2</v>
      </c>
      <c r="M52" s="69">
        <v>17184.8</v>
      </c>
    </row>
    <row r="53" spans="1:13" ht="12.75" hidden="1" customHeight="1">
      <c r="A53" s="82"/>
      <c r="B53" s="63"/>
      <c r="C53" s="69"/>
      <c r="D53" s="68"/>
      <c r="E53" s="68"/>
      <c r="F53" s="68"/>
      <c r="G53" s="68"/>
      <c r="H53" s="68"/>
      <c r="I53" s="68"/>
      <c r="J53" s="68"/>
      <c r="K53" s="68"/>
      <c r="L53" s="68"/>
      <c r="M53" s="69"/>
    </row>
    <row r="54" spans="1:13" ht="12.75" hidden="1" customHeight="1">
      <c r="A54" s="82"/>
      <c r="B54" s="63" t="s">
        <v>303</v>
      </c>
      <c r="C54" s="69">
        <v>8059.3</v>
      </c>
      <c r="D54" s="68">
        <v>1626.1</v>
      </c>
      <c r="E54" s="68">
        <v>2384.6999999999998</v>
      </c>
      <c r="F54" s="68">
        <v>2122.3000000000002</v>
      </c>
      <c r="G54" s="68">
        <v>2196.3000000000002</v>
      </c>
      <c r="H54" s="68">
        <v>89.6</v>
      </c>
      <c r="I54" s="68">
        <v>97.6</v>
      </c>
      <c r="J54" s="68">
        <v>41.4</v>
      </c>
      <c r="K54" s="68">
        <v>411.4</v>
      </c>
      <c r="L54" s="68">
        <v>953.7</v>
      </c>
      <c r="M54" s="69">
        <v>17982.5</v>
      </c>
    </row>
    <row r="55" spans="1:13" ht="12.75" hidden="1" customHeight="1">
      <c r="A55" s="82"/>
      <c r="B55" s="63"/>
      <c r="C55" s="69"/>
      <c r="D55" s="68"/>
      <c r="E55" s="68"/>
      <c r="F55" s="68"/>
      <c r="G55" s="68"/>
      <c r="H55" s="68"/>
      <c r="I55" s="68"/>
      <c r="J55" s="68"/>
      <c r="K55" s="68"/>
      <c r="L55" s="68"/>
      <c r="M55" s="69"/>
    </row>
    <row r="56" spans="1:13" ht="12.75" hidden="1" customHeight="1">
      <c r="A56" s="82"/>
      <c r="B56" s="63" t="s">
        <v>304</v>
      </c>
      <c r="C56" s="69">
        <v>8643.1</v>
      </c>
      <c r="D56" s="68">
        <v>1713.6</v>
      </c>
      <c r="E56" s="68">
        <v>2455.1</v>
      </c>
      <c r="F56" s="68">
        <v>2635.4</v>
      </c>
      <c r="G56" s="68">
        <v>2095.3000000000002</v>
      </c>
      <c r="H56" s="68">
        <v>89.5</v>
      </c>
      <c r="I56" s="68">
        <v>166.5</v>
      </c>
      <c r="J56" s="68">
        <v>8.9</v>
      </c>
      <c r="K56" s="68">
        <v>495</v>
      </c>
      <c r="L56" s="68">
        <v>1145.2</v>
      </c>
      <c r="M56" s="69">
        <v>19447.5</v>
      </c>
    </row>
    <row r="57" spans="1:13" ht="12.75" hidden="1" customHeight="1">
      <c r="A57" s="82"/>
      <c r="B57" s="63"/>
      <c r="C57" s="69"/>
      <c r="D57" s="68"/>
      <c r="E57" s="68"/>
      <c r="F57" s="68"/>
      <c r="G57" s="68"/>
      <c r="H57" s="68"/>
      <c r="I57" s="68"/>
      <c r="J57" s="68"/>
      <c r="K57" s="68"/>
      <c r="L57" s="68"/>
      <c r="M57" s="69"/>
    </row>
    <row r="58" spans="1:13" ht="12.75" hidden="1" customHeight="1">
      <c r="A58" s="82"/>
      <c r="B58" s="63" t="s">
        <v>305</v>
      </c>
      <c r="C58" s="69">
        <v>9885.5</v>
      </c>
      <c r="D58" s="68">
        <v>1794.8</v>
      </c>
      <c r="E58" s="68">
        <v>2521.3000000000002</v>
      </c>
      <c r="F58" s="68">
        <v>2630</v>
      </c>
      <c r="G58" s="68">
        <v>1779.1</v>
      </c>
      <c r="H58" s="68">
        <v>86.5</v>
      </c>
      <c r="I58" s="68">
        <v>260.10000000000002</v>
      </c>
      <c r="J58" s="68">
        <v>9.1999999999999993</v>
      </c>
      <c r="K58" s="68">
        <v>353.7</v>
      </c>
      <c r="L58" s="68">
        <v>1359.5</v>
      </c>
      <c r="M58" s="69">
        <v>20679.7</v>
      </c>
    </row>
    <row r="59" spans="1:13" ht="12.75" hidden="1" customHeight="1">
      <c r="A59" s="82"/>
      <c r="B59" s="63"/>
      <c r="C59" s="69"/>
      <c r="D59" s="68"/>
      <c r="E59" s="68"/>
      <c r="F59" s="68"/>
      <c r="G59" s="68"/>
      <c r="H59" s="68"/>
      <c r="I59" s="68"/>
      <c r="J59" s="68"/>
      <c r="K59" s="68"/>
      <c r="L59" s="68"/>
      <c r="M59" s="69"/>
    </row>
    <row r="60" spans="1:13" ht="12.75" hidden="1" customHeight="1">
      <c r="A60" s="82"/>
      <c r="B60" s="63" t="s">
        <v>306</v>
      </c>
      <c r="C60" s="69">
        <v>9344.9</v>
      </c>
      <c r="D60" s="68">
        <v>1911.5</v>
      </c>
      <c r="E60" s="68">
        <v>2730.1</v>
      </c>
      <c r="F60" s="68">
        <v>2612</v>
      </c>
      <c r="G60" s="68">
        <v>2109.1999999999998</v>
      </c>
      <c r="H60" s="68">
        <v>123.3</v>
      </c>
      <c r="I60" s="68">
        <v>118.7</v>
      </c>
      <c r="J60" s="68">
        <v>24.7</v>
      </c>
      <c r="K60" s="68">
        <v>355.8</v>
      </c>
      <c r="L60" s="68">
        <v>1397.6</v>
      </c>
      <c r="M60" s="69">
        <v>20727.900000000001</v>
      </c>
    </row>
    <row r="61" spans="1:13" ht="12.75" hidden="1" customHeight="1">
      <c r="A61" s="82"/>
      <c r="B61" s="63"/>
      <c r="C61" s="69"/>
      <c r="D61" s="68"/>
      <c r="E61" s="68"/>
      <c r="F61" s="68"/>
      <c r="G61" s="68"/>
      <c r="H61" s="68"/>
      <c r="I61" s="68"/>
      <c r="J61" s="68"/>
      <c r="K61" s="68"/>
      <c r="L61" s="68"/>
      <c r="M61" s="69"/>
    </row>
    <row r="62" spans="1:13" ht="12.75" hidden="1" customHeight="1">
      <c r="A62" s="82"/>
      <c r="B62" s="63" t="s">
        <v>307</v>
      </c>
      <c r="C62" s="69">
        <v>10543.7</v>
      </c>
      <c r="D62" s="68">
        <v>1920.5</v>
      </c>
      <c r="E62" s="68">
        <v>2819.7</v>
      </c>
      <c r="F62" s="68">
        <v>2663.9</v>
      </c>
      <c r="G62" s="68">
        <v>2109.6999999999998</v>
      </c>
      <c r="H62" s="68">
        <v>173.6</v>
      </c>
      <c r="I62" s="68">
        <v>53.6</v>
      </c>
      <c r="J62" s="68">
        <v>75.7</v>
      </c>
      <c r="K62" s="68">
        <v>439.2</v>
      </c>
      <c r="L62" s="68">
        <v>1403.5</v>
      </c>
      <c r="M62" s="69">
        <v>22203.200000000001</v>
      </c>
    </row>
    <row r="63" spans="1:13" ht="12.75" hidden="1" customHeight="1">
      <c r="A63" s="82"/>
      <c r="B63" s="63"/>
      <c r="C63" s="69"/>
      <c r="D63" s="68"/>
      <c r="E63" s="68"/>
      <c r="F63" s="68"/>
      <c r="G63" s="68"/>
      <c r="H63" s="68"/>
      <c r="I63" s="68"/>
      <c r="J63" s="68"/>
      <c r="K63" s="68"/>
      <c r="L63" s="68"/>
      <c r="M63" s="69"/>
    </row>
    <row r="64" spans="1:13" ht="12.75" hidden="1" customHeight="1">
      <c r="A64" s="82"/>
      <c r="B64" s="63" t="s">
        <v>308</v>
      </c>
      <c r="C64" s="69">
        <v>11079.8</v>
      </c>
      <c r="D64" s="68">
        <v>1918.6</v>
      </c>
      <c r="E64" s="68">
        <v>2836.8</v>
      </c>
      <c r="F64" s="68">
        <v>2655.4</v>
      </c>
      <c r="G64" s="68">
        <v>1932</v>
      </c>
      <c r="H64" s="68">
        <v>234.7</v>
      </c>
      <c r="I64" s="68">
        <v>146.30000000000001</v>
      </c>
      <c r="J64" s="68">
        <v>50.4</v>
      </c>
      <c r="K64" s="68">
        <v>211.6</v>
      </c>
      <c r="L64" s="68">
        <v>1502.1</v>
      </c>
      <c r="M64" s="69">
        <v>22567.7</v>
      </c>
    </row>
    <row r="65" spans="1:13" ht="12.75" hidden="1" customHeight="1">
      <c r="A65" s="82"/>
      <c r="B65" s="63"/>
      <c r="C65" s="69"/>
      <c r="D65" s="68"/>
      <c r="E65" s="68"/>
      <c r="F65" s="68"/>
      <c r="G65" s="68"/>
      <c r="H65" s="68"/>
      <c r="I65" s="68"/>
      <c r="J65" s="68"/>
      <c r="K65" s="68"/>
      <c r="L65" s="68"/>
      <c r="M65" s="69"/>
    </row>
    <row r="66" spans="1:13" ht="12.75" hidden="1" customHeight="1">
      <c r="A66" s="82"/>
      <c r="B66" s="63" t="s">
        <v>311</v>
      </c>
      <c r="C66" s="69">
        <v>10081.200000000001</v>
      </c>
      <c r="D66" s="68">
        <v>1926.5</v>
      </c>
      <c r="E66" s="68">
        <v>2900.2</v>
      </c>
      <c r="F66" s="68">
        <v>2652.8</v>
      </c>
      <c r="G66" s="68">
        <v>1956.5</v>
      </c>
      <c r="H66" s="68">
        <v>267.2</v>
      </c>
      <c r="I66" s="68">
        <v>99.3</v>
      </c>
      <c r="J66" s="68">
        <v>53.1</v>
      </c>
      <c r="K66" s="68">
        <v>206.9</v>
      </c>
      <c r="L66" s="68">
        <v>1486.9</v>
      </c>
      <c r="M66" s="69">
        <v>21630.6</v>
      </c>
    </row>
    <row r="67" spans="1:13" ht="12.75" hidden="1" customHeight="1">
      <c r="A67" s="82"/>
      <c r="B67" s="59"/>
      <c r="C67" s="69"/>
      <c r="D67" s="68"/>
      <c r="E67" s="68"/>
      <c r="F67" s="68"/>
      <c r="G67" s="68"/>
      <c r="H67" s="68"/>
      <c r="I67" s="68"/>
      <c r="J67" s="68"/>
      <c r="K67" s="68"/>
      <c r="L67" s="68"/>
      <c r="M67" s="69"/>
    </row>
    <row r="68" spans="1:13" ht="12.75" hidden="1" customHeight="1">
      <c r="A68" s="82"/>
      <c r="B68" s="57" t="s">
        <v>313</v>
      </c>
      <c r="C68" s="69"/>
      <c r="D68" s="68"/>
      <c r="E68" s="68"/>
      <c r="F68" s="68"/>
      <c r="G68" s="68"/>
      <c r="H68" s="68"/>
      <c r="I68" s="68"/>
      <c r="J68" s="68"/>
      <c r="K68" s="68"/>
      <c r="L68" s="68"/>
      <c r="M68" s="69"/>
    </row>
    <row r="69" spans="1:13" ht="12.75" hidden="1" customHeight="1">
      <c r="A69" s="82"/>
      <c r="B69" s="59"/>
      <c r="C69" s="69"/>
      <c r="D69" s="68"/>
      <c r="E69" s="68"/>
      <c r="F69" s="68"/>
      <c r="G69" s="68"/>
      <c r="H69" s="68"/>
      <c r="I69" s="68"/>
      <c r="J69" s="68"/>
      <c r="K69" s="68"/>
      <c r="L69" s="68"/>
      <c r="M69" s="69"/>
    </row>
    <row r="70" spans="1:13" ht="12.75" hidden="1" customHeight="1">
      <c r="A70" s="82"/>
      <c r="B70" s="63" t="s">
        <v>298</v>
      </c>
      <c r="C70" s="88">
        <v>10734</v>
      </c>
      <c r="D70" s="87">
        <v>1844.9</v>
      </c>
      <c r="E70" s="87">
        <v>2971.1</v>
      </c>
      <c r="F70" s="87">
        <v>2659</v>
      </c>
      <c r="G70" s="87">
        <v>1675.1</v>
      </c>
      <c r="H70" s="87">
        <v>193.3</v>
      </c>
      <c r="I70" s="87">
        <v>186.6</v>
      </c>
      <c r="J70" s="87">
        <v>2.8</v>
      </c>
      <c r="K70" s="87">
        <v>307.10000000000002</v>
      </c>
      <c r="L70" s="87">
        <v>1153.0999999999999</v>
      </c>
      <c r="M70" s="88">
        <v>21727.1</v>
      </c>
    </row>
    <row r="71" spans="1:13" ht="12.75" hidden="1" customHeight="1">
      <c r="A71" s="82"/>
      <c r="B71" s="63"/>
      <c r="C71" s="88"/>
      <c r="D71" s="87"/>
      <c r="E71" s="87"/>
      <c r="F71" s="87"/>
      <c r="G71" s="87"/>
      <c r="H71" s="87"/>
      <c r="I71" s="87"/>
      <c r="J71" s="87"/>
      <c r="K71" s="87"/>
      <c r="L71" s="87"/>
      <c r="M71" s="88"/>
    </row>
    <row r="72" spans="1:13" ht="12.75" hidden="1" customHeight="1">
      <c r="A72" s="82"/>
      <c r="B72" s="63" t="s">
        <v>299</v>
      </c>
      <c r="C72" s="88">
        <v>9593.7000000000007</v>
      </c>
      <c r="D72" s="87">
        <v>1874.5</v>
      </c>
      <c r="E72" s="87">
        <v>3095.5</v>
      </c>
      <c r="F72" s="87">
        <v>2638.4</v>
      </c>
      <c r="G72" s="87">
        <v>1527.8</v>
      </c>
      <c r="H72" s="87">
        <v>296.7</v>
      </c>
      <c r="I72" s="87">
        <v>183</v>
      </c>
      <c r="J72" s="87">
        <v>1.6</v>
      </c>
      <c r="K72" s="87">
        <v>296</v>
      </c>
      <c r="L72" s="87">
        <v>1315.6</v>
      </c>
      <c r="M72" s="88">
        <v>20822.8</v>
      </c>
    </row>
    <row r="73" spans="1:13" ht="12.75" hidden="1" customHeight="1">
      <c r="A73" s="82"/>
      <c r="B73" s="63"/>
      <c r="C73" s="88"/>
      <c r="D73" s="87"/>
      <c r="E73" s="87"/>
      <c r="F73" s="87"/>
      <c r="G73" s="87"/>
      <c r="H73" s="87"/>
      <c r="I73" s="87"/>
      <c r="J73" s="87"/>
      <c r="K73" s="87"/>
      <c r="L73" s="87"/>
      <c r="M73" s="88"/>
    </row>
    <row r="74" spans="1:13" ht="12.75" hidden="1" customHeight="1">
      <c r="A74" s="82"/>
      <c r="B74" s="63" t="s">
        <v>300</v>
      </c>
      <c r="C74" s="88">
        <v>9421.6</v>
      </c>
      <c r="D74" s="87">
        <v>1880.8</v>
      </c>
      <c r="E74" s="87">
        <v>3113.9</v>
      </c>
      <c r="F74" s="87">
        <v>2638.5</v>
      </c>
      <c r="G74" s="87">
        <v>2836</v>
      </c>
      <c r="H74" s="87">
        <v>236.9</v>
      </c>
      <c r="I74" s="87">
        <v>209.2</v>
      </c>
      <c r="J74" s="87">
        <v>5.2</v>
      </c>
      <c r="K74" s="87">
        <v>299.60000000000002</v>
      </c>
      <c r="L74" s="87">
        <v>802.9</v>
      </c>
      <c r="M74" s="88">
        <v>21444.7</v>
      </c>
    </row>
    <row r="75" spans="1:13" ht="12.75" hidden="1" customHeight="1">
      <c r="A75" s="82"/>
      <c r="B75" s="63"/>
      <c r="C75" s="88"/>
      <c r="D75" s="87"/>
      <c r="E75" s="87"/>
      <c r="F75" s="87"/>
      <c r="G75" s="87"/>
      <c r="H75" s="87"/>
      <c r="I75" s="87"/>
      <c r="J75" s="87"/>
      <c r="K75" s="87"/>
      <c r="L75" s="87"/>
      <c r="M75" s="88"/>
    </row>
    <row r="76" spans="1:13" ht="12.75" hidden="1" customHeight="1">
      <c r="A76" s="82"/>
      <c r="B76" s="63" t="s">
        <v>301</v>
      </c>
      <c r="C76" s="88">
        <v>10764</v>
      </c>
      <c r="D76" s="87">
        <v>1878.3</v>
      </c>
      <c r="E76" s="87">
        <v>3052.3</v>
      </c>
      <c r="F76" s="87">
        <v>2642</v>
      </c>
      <c r="G76" s="87">
        <v>2851.4</v>
      </c>
      <c r="H76" s="87">
        <v>241.4</v>
      </c>
      <c r="I76" s="87">
        <v>454.9</v>
      </c>
      <c r="J76" s="87">
        <v>5.2</v>
      </c>
      <c r="K76" s="87">
        <v>258.5</v>
      </c>
      <c r="L76" s="87">
        <v>1286.8</v>
      </c>
      <c r="M76" s="88">
        <v>23435</v>
      </c>
    </row>
    <row r="77" spans="1:13" ht="12.75" hidden="1" customHeight="1">
      <c r="A77" s="82"/>
      <c r="B77" s="63"/>
      <c r="C77" s="88"/>
      <c r="D77" s="87"/>
      <c r="E77" s="87"/>
      <c r="F77" s="87"/>
      <c r="G77" s="87"/>
      <c r="H77" s="87"/>
      <c r="I77" s="87"/>
      <c r="J77" s="87"/>
      <c r="K77" s="87"/>
      <c r="L77" s="87"/>
      <c r="M77" s="88"/>
    </row>
    <row r="78" spans="1:13" ht="12.75" hidden="1" customHeight="1">
      <c r="A78" s="82"/>
      <c r="B78" s="63" t="s">
        <v>302</v>
      </c>
      <c r="C78" s="88">
        <v>11024.2</v>
      </c>
      <c r="D78" s="87">
        <v>1940.7</v>
      </c>
      <c r="E78" s="87">
        <v>2985.7</v>
      </c>
      <c r="F78" s="87">
        <v>2655.9</v>
      </c>
      <c r="G78" s="87">
        <v>2658.6</v>
      </c>
      <c r="H78" s="87">
        <v>160.30000000000001</v>
      </c>
      <c r="I78" s="87">
        <v>201.2</v>
      </c>
      <c r="J78" s="87">
        <v>3.6</v>
      </c>
      <c r="K78" s="87">
        <v>411.6</v>
      </c>
      <c r="L78" s="87">
        <v>1430</v>
      </c>
      <c r="M78" s="88">
        <v>23471.9</v>
      </c>
    </row>
    <row r="79" spans="1:13" ht="12.75" hidden="1" customHeight="1">
      <c r="A79" s="82"/>
      <c r="B79" s="63"/>
      <c r="C79" s="88"/>
      <c r="D79" s="87"/>
      <c r="E79" s="87"/>
      <c r="F79" s="87"/>
      <c r="G79" s="87"/>
      <c r="H79" s="87"/>
      <c r="I79" s="87"/>
      <c r="J79" s="87"/>
      <c r="K79" s="87"/>
      <c r="L79" s="87"/>
      <c r="M79" s="88"/>
    </row>
    <row r="80" spans="1:13" ht="12.75" hidden="1" customHeight="1">
      <c r="A80" s="82"/>
      <c r="B80" s="63" t="s">
        <v>303</v>
      </c>
      <c r="C80" s="88">
        <v>11597.6</v>
      </c>
      <c r="D80" s="87">
        <v>2053.1</v>
      </c>
      <c r="E80" s="87">
        <v>2973.9</v>
      </c>
      <c r="F80" s="87">
        <v>2703.5</v>
      </c>
      <c r="G80" s="87">
        <v>2402.5</v>
      </c>
      <c r="H80" s="87">
        <v>161</v>
      </c>
      <c r="I80" s="87">
        <v>159.5</v>
      </c>
      <c r="J80" s="87">
        <v>7.3</v>
      </c>
      <c r="K80" s="87">
        <v>159.1</v>
      </c>
      <c r="L80" s="87">
        <v>691.5</v>
      </c>
      <c r="M80" s="88">
        <v>22908.799999999999</v>
      </c>
    </row>
    <row r="81" spans="1:13" ht="12.75" hidden="1" customHeight="1">
      <c r="A81" s="82"/>
      <c r="B81" s="63"/>
      <c r="C81" s="88"/>
      <c r="D81" s="87"/>
      <c r="E81" s="87"/>
      <c r="F81" s="87"/>
      <c r="G81" s="87"/>
      <c r="H81" s="87"/>
      <c r="I81" s="87"/>
      <c r="J81" s="87"/>
      <c r="K81" s="87"/>
      <c r="L81" s="87"/>
      <c r="M81" s="88"/>
    </row>
    <row r="82" spans="1:13" ht="12.75" hidden="1" customHeight="1">
      <c r="A82" s="82"/>
      <c r="B82" s="63" t="s">
        <v>304</v>
      </c>
      <c r="C82" s="88">
        <v>13066.1</v>
      </c>
      <c r="D82" s="87">
        <v>2164.8000000000002</v>
      </c>
      <c r="E82" s="87">
        <v>3044</v>
      </c>
      <c r="F82" s="87">
        <v>3181</v>
      </c>
      <c r="G82" s="87">
        <v>2535.1</v>
      </c>
      <c r="H82" s="87">
        <v>163.19999999999999</v>
      </c>
      <c r="I82" s="87">
        <v>492.9</v>
      </c>
      <c r="J82" s="87">
        <v>67.3</v>
      </c>
      <c r="K82" s="87">
        <v>184.6</v>
      </c>
      <c r="L82" s="87">
        <v>1110.4000000000001</v>
      </c>
      <c r="M82" s="88">
        <v>26009.4</v>
      </c>
    </row>
    <row r="83" spans="1:13" ht="12.75" hidden="1" customHeight="1">
      <c r="A83" s="82"/>
      <c r="B83" s="63"/>
      <c r="C83" s="88"/>
      <c r="D83" s="87"/>
      <c r="E83" s="87"/>
      <c r="F83" s="87"/>
      <c r="G83" s="87"/>
      <c r="H83" s="87"/>
      <c r="I83" s="87"/>
      <c r="J83" s="87"/>
      <c r="K83" s="87"/>
      <c r="L83" s="87"/>
      <c r="M83" s="88"/>
    </row>
    <row r="84" spans="1:13" ht="12.75" hidden="1" customHeight="1">
      <c r="A84" s="82"/>
      <c r="B84" s="63" t="s">
        <v>305</v>
      </c>
      <c r="C84" s="88">
        <v>12737.6</v>
      </c>
      <c r="D84" s="87">
        <v>2254.5</v>
      </c>
      <c r="E84" s="87">
        <v>3116.7</v>
      </c>
      <c r="F84" s="87">
        <v>3373.9</v>
      </c>
      <c r="G84" s="87">
        <v>2411.1999999999998</v>
      </c>
      <c r="H84" s="87">
        <v>177.5</v>
      </c>
      <c r="I84" s="87">
        <v>441.5</v>
      </c>
      <c r="J84" s="87">
        <v>87.8</v>
      </c>
      <c r="K84" s="87">
        <v>247</v>
      </c>
      <c r="L84" s="87">
        <v>879.7</v>
      </c>
      <c r="M84" s="88">
        <v>25727.3</v>
      </c>
    </row>
    <row r="85" spans="1:13" ht="12.75" hidden="1" customHeight="1">
      <c r="A85" s="82"/>
      <c r="B85" s="63"/>
      <c r="C85" s="88"/>
      <c r="D85" s="87"/>
      <c r="E85" s="87"/>
      <c r="F85" s="87"/>
      <c r="G85" s="87"/>
      <c r="H85" s="87"/>
      <c r="I85" s="87"/>
      <c r="J85" s="87"/>
      <c r="K85" s="87"/>
      <c r="L85" s="87"/>
      <c r="M85" s="88"/>
    </row>
    <row r="86" spans="1:13" ht="12.75" hidden="1" customHeight="1">
      <c r="A86" s="82"/>
      <c r="B86" s="63" t="s">
        <v>306</v>
      </c>
      <c r="C86" s="88">
        <v>13419</v>
      </c>
      <c r="D86" s="87">
        <v>2338.3000000000002</v>
      </c>
      <c r="E86" s="87">
        <v>3186.2</v>
      </c>
      <c r="F86" s="87">
        <v>3420.7</v>
      </c>
      <c r="G86" s="87">
        <v>2832.9</v>
      </c>
      <c r="H86" s="87">
        <v>214.8</v>
      </c>
      <c r="I86" s="87">
        <v>460.1</v>
      </c>
      <c r="J86" s="87">
        <v>127.3</v>
      </c>
      <c r="K86" s="87">
        <v>339.1</v>
      </c>
      <c r="L86" s="87">
        <v>1458.1</v>
      </c>
      <c r="M86" s="88">
        <v>27796.5</v>
      </c>
    </row>
    <row r="87" spans="1:13" ht="12.75" hidden="1" customHeight="1">
      <c r="A87" s="82"/>
      <c r="B87" s="63"/>
      <c r="C87" s="88"/>
      <c r="D87" s="87"/>
      <c r="E87" s="87"/>
      <c r="F87" s="87"/>
      <c r="G87" s="87"/>
      <c r="H87" s="87"/>
      <c r="I87" s="87"/>
      <c r="J87" s="87"/>
      <c r="K87" s="87"/>
      <c r="L87" s="87"/>
      <c r="M87" s="88"/>
    </row>
    <row r="88" spans="1:13" ht="12.75" hidden="1" customHeight="1">
      <c r="A88" s="82"/>
      <c r="B88" s="63" t="s">
        <v>307</v>
      </c>
      <c r="C88" s="88">
        <v>11780.4</v>
      </c>
      <c r="D88" s="87">
        <v>2366.4</v>
      </c>
      <c r="E88" s="87">
        <v>3281.9</v>
      </c>
      <c r="F88" s="87">
        <v>3534</v>
      </c>
      <c r="G88" s="87">
        <v>2166.1999999999998</v>
      </c>
      <c r="H88" s="87">
        <v>171.2</v>
      </c>
      <c r="I88" s="87">
        <v>444.2</v>
      </c>
      <c r="J88" s="87">
        <v>0.1</v>
      </c>
      <c r="K88" s="87">
        <v>169.2</v>
      </c>
      <c r="L88" s="87">
        <v>1257.5</v>
      </c>
      <c r="M88" s="88">
        <v>25171.1</v>
      </c>
    </row>
    <row r="89" spans="1:13" ht="12.75" hidden="1" customHeight="1">
      <c r="A89" s="82"/>
      <c r="B89" s="63"/>
      <c r="C89" s="88"/>
      <c r="D89" s="87"/>
      <c r="E89" s="87"/>
      <c r="F89" s="87"/>
      <c r="G89" s="87"/>
      <c r="H89" s="87"/>
      <c r="I89" s="87"/>
      <c r="J89" s="87"/>
      <c r="K89" s="87"/>
      <c r="L89" s="87"/>
      <c r="M89" s="88"/>
    </row>
    <row r="90" spans="1:13" ht="12.75" hidden="1" customHeight="1">
      <c r="A90" s="82"/>
      <c r="B90" s="63" t="s">
        <v>308</v>
      </c>
      <c r="C90" s="88">
        <v>11741.6</v>
      </c>
      <c r="D90" s="87">
        <v>2466.3000000000002</v>
      </c>
      <c r="E90" s="87">
        <v>3436.3</v>
      </c>
      <c r="F90" s="87">
        <v>3584.4</v>
      </c>
      <c r="G90" s="87">
        <v>1027.7</v>
      </c>
      <c r="H90" s="87">
        <v>198.8</v>
      </c>
      <c r="I90" s="87">
        <v>263.89999999999998</v>
      </c>
      <c r="J90" s="87">
        <v>0.5</v>
      </c>
      <c r="K90" s="87">
        <v>549.29999999999995</v>
      </c>
      <c r="L90" s="87">
        <v>727</v>
      </c>
      <c r="M90" s="88">
        <v>23995.7</v>
      </c>
    </row>
    <row r="91" spans="1:13" ht="12.75" hidden="1" customHeight="1">
      <c r="A91" s="82"/>
      <c r="B91" s="63"/>
      <c r="C91" s="88"/>
      <c r="D91" s="87"/>
      <c r="E91" s="87"/>
      <c r="F91" s="87"/>
      <c r="G91" s="87"/>
      <c r="H91" s="87"/>
      <c r="I91" s="87"/>
      <c r="J91" s="87"/>
      <c r="K91" s="87"/>
      <c r="L91" s="87"/>
      <c r="M91" s="88"/>
    </row>
    <row r="92" spans="1:13" ht="12.75" hidden="1" customHeight="1">
      <c r="A92" s="82"/>
      <c r="B92" s="63" t="s">
        <v>311</v>
      </c>
      <c r="C92" s="88">
        <v>13273.1</v>
      </c>
      <c r="D92" s="87">
        <v>2509.1999999999998</v>
      </c>
      <c r="E92" s="87">
        <v>3484.5</v>
      </c>
      <c r="F92" s="87">
        <v>3604.4</v>
      </c>
      <c r="G92" s="87">
        <v>1546.1</v>
      </c>
      <c r="H92" s="87">
        <v>192</v>
      </c>
      <c r="I92" s="87">
        <v>362.9</v>
      </c>
      <c r="J92" s="87">
        <v>0</v>
      </c>
      <c r="K92" s="87">
        <v>254.8</v>
      </c>
      <c r="L92" s="87">
        <v>450.1</v>
      </c>
      <c r="M92" s="88">
        <v>25677</v>
      </c>
    </row>
    <row r="93" spans="1:13" ht="12.75" hidden="1" customHeight="1">
      <c r="A93" s="82"/>
      <c r="B93" s="63"/>
      <c r="C93" s="88"/>
      <c r="D93" s="87"/>
      <c r="E93" s="87"/>
      <c r="F93" s="87"/>
      <c r="G93" s="87"/>
      <c r="H93" s="87"/>
      <c r="I93" s="87"/>
      <c r="J93" s="87"/>
      <c r="K93" s="87"/>
      <c r="L93" s="87"/>
      <c r="M93" s="88"/>
    </row>
    <row r="94" spans="1:13" ht="12.75" hidden="1" customHeight="1">
      <c r="A94" s="82"/>
      <c r="B94" s="57" t="s">
        <v>314</v>
      </c>
      <c r="C94" s="88"/>
      <c r="D94" s="87"/>
      <c r="E94" s="87"/>
      <c r="F94" s="87"/>
      <c r="G94" s="87"/>
      <c r="H94" s="87"/>
      <c r="I94" s="87"/>
      <c r="J94" s="87"/>
      <c r="K94" s="87"/>
      <c r="L94" s="87"/>
      <c r="M94" s="88"/>
    </row>
    <row r="95" spans="1:13" ht="12.75" hidden="1" customHeight="1">
      <c r="A95" s="82"/>
      <c r="B95" s="59"/>
      <c r="C95" s="88"/>
      <c r="D95" s="87"/>
      <c r="E95" s="87"/>
      <c r="F95" s="87"/>
      <c r="G95" s="87"/>
      <c r="H95" s="87"/>
      <c r="I95" s="87"/>
      <c r="J95" s="87"/>
      <c r="K95" s="87"/>
      <c r="L95" s="87"/>
      <c r="M95" s="88"/>
    </row>
    <row r="96" spans="1:13" ht="12.75" hidden="1" customHeight="1">
      <c r="A96" s="82"/>
      <c r="B96" s="63" t="s">
        <v>298</v>
      </c>
      <c r="C96" s="88">
        <v>12386.9</v>
      </c>
      <c r="D96" s="87">
        <v>2535.8000000000002</v>
      </c>
      <c r="E96" s="87">
        <v>3325.1</v>
      </c>
      <c r="F96" s="87">
        <v>3651.1</v>
      </c>
      <c r="G96" s="87">
        <v>2648</v>
      </c>
      <c r="H96" s="87">
        <v>168.1</v>
      </c>
      <c r="I96" s="87">
        <v>429.6</v>
      </c>
      <c r="J96" s="87">
        <v>1.4</v>
      </c>
      <c r="K96" s="87">
        <v>349.1</v>
      </c>
      <c r="L96" s="87">
        <v>1181.5</v>
      </c>
      <c r="M96" s="88">
        <v>26676.6</v>
      </c>
    </row>
    <row r="97" spans="1:13" ht="12.75" hidden="1" customHeight="1">
      <c r="A97" s="82"/>
      <c r="B97" s="63"/>
      <c r="C97" s="88"/>
      <c r="D97" s="87"/>
      <c r="E97" s="87"/>
      <c r="F97" s="87"/>
      <c r="G97" s="87"/>
      <c r="H97" s="87"/>
      <c r="I97" s="87"/>
      <c r="J97" s="87"/>
      <c r="K97" s="87"/>
      <c r="L97" s="87"/>
      <c r="M97" s="88"/>
    </row>
    <row r="98" spans="1:13" ht="12.75" hidden="1" customHeight="1">
      <c r="A98" s="82"/>
      <c r="B98" s="63" t="s">
        <v>299</v>
      </c>
      <c r="C98" s="88">
        <v>13284.9</v>
      </c>
      <c r="D98" s="87">
        <v>2514.1</v>
      </c>
      <c r="E98" s="87">
        <v>3403.9</v>
      </c>
      <c r="F98" s="87">
        <v>3673.5</v>
      </c>
      <c r="G98" s="87">
        <v>2241.6999999999998</v>
      </c>
      <c r="H98" s="87">
        <v>444.4</v>
      </c>
      <c r="I98" s="87">
        <v>123.5</v>
      </c>
      <c r="J98" s="87">
        <v>3</v>
      </c>
      <c r="K98" s="87">
        <v>450.2</v>
      </c>
      <c r="L98" s="87">
        <v>1147.4000000000001</v>
      </c>
      <c r="M98" s="88">
        <v>27286.6</v>
      </c>
    </row>
    <row r="99" spans="1:13" ht="12.75" hidden="1" customHeight="1">
      <c r="A99" s="82"/>
      <c r="B99" s="63"/>
      <c r="C99" s="88"/>
      <c r="D99" s="87"/>
      <c r="E99" s="87"/>
      <c r="F99" s="87"/>
      <c r="G99" s="87"/>
      <c r="H99" s="87"/>
      <c r="I99" s="87"/>
      <c r="J99" s="87"/>
      <c r="K99" s="87"/>
      <c r="L99" s="87"/>
      <c r="M99" s="88"/>
    </row>
    <row r="100" spans="1:13" ht="12.75" hidden="1" customHeight="1">
      <c r="A100" s="82"/>
      <c r="B100" s="63" t="s">
        <v>300</v>
      </c>
      <c r="C100" s="88">
        <v>13998.2</v>
      </c>
      <c r="D100" s="87">
        <v>2594.6999999999998</v>
      </c>
      <c r="E100" s="87">
        <v>3497.5</v>
      </c>
      <c r="F100" s="87">
        <v>3647.9</v>
      </c>
      <c r="G100" s="87">
        <v>2211.3000000000002</v>
      </c>
      <c r="H100" s="87">
        <v>245.2</v>
      </c>
      <c r="I100" s="87">
        <v>201.5</v>
      </c>
      <c r="J100" s="87">
        <v>1.3</v>
      </c>
      <c r="K100" s="87">
        <v>356.1</v>
      </c>
      <c r="L100" s="87">
        <v>1040.9000000000001</v>
      </c>
      <c r="M100" s="88">
        <v>27794.7</v>
      </c>
    </row>
    <row r="101" spans="1:13" ht="12.75" hidden="1" customHeight="1">
      <c r="A101" s="82"/>
      <c r="B101" s="63"/>
      <c r="C101" s="88"/>
      <c r="D101" s="87"/>
      <c r="E101" s="87"/>
      <c r="F101" s="87"/>
      <c r="G101" s="87"/>
      <c r="H101" s="87"/>
      <c r="I101" s="87"/>
      <c r="J101" s="87"/>
      <c r="K101" s="87"/>
      <c r="L101" s="87"/>
      <c r="M101" s="88"/>
    </row>
    <row r="102" spans="1:13" ht="12.75" hidden="1" customHeight="1">
      <c r="A102" s="82"/>
      <c r="B102" s="63" t="s">
        <v>301</v>
      </c>
      <c r="C102" s="88">
        <v>14857.1</v>
      </c>
      <c r="D102" s="87">
        <v>2590.5</v>
      </c>
      <c r="E102" s="87">
        <v>3466.6</v>
      </c>
      <c r="F102" s="87">
        <v>3613.4</v>
      </c>
      <c r="G102" s="87">
        <v>2438.6999999999998</v>
      </c>
      <c r="H102" s="87">
        <v>314.10000000000002</v>
      </c>
      <c r="I102" s="87">
        <v>418.9</v>
      </c>
      <c r="J102" s="87">
        <v>11.3</v>
      </c>
      <c r="K102" s="87">
        <v>323.5</v>
      </c>
      <c r="L102" s="87">
        <v>1486.3</v>
      </c>
      <c r="M102" s="88">
        <v>29520.3</v>
      </c>
    </row>
    <row r="103" spans="1:13" ht="12.75" hidden="1" customHeight="1">
      <c r="A103" s="82"/>
      <c r="B103" s="63"/>
      <c r="C103" s="88"/>
      <c r="D103" s="87"/>
      <c r="E103" s="87"/>
      <c r="F103" s="87"/>
      <c r="G103" s="87"/>
      <c r="H103" s="87"/>
      <c r="I103" s="87"/>
      <c r="J103" s="87"/>
      <c r="K103" s="87"/>
      <c r="L103" s="87"/>
      <c r="M103" s="88"/>
    </row>
    <row r="104" spans="1:13" ht="12.75" hidden="1" customHeight="1">
      <c r="A104" s="82"/>
      <c r="B104" s="63" t="s">
        <v>302</v>
      </c>
      <c r="C104" s="88">
        <v>15550.8</v>
      </c>
      <c r="D104" s="87">
        <v>2588.4</v>
      </c>
      <c r="E104" s="87">
        <v>3534.3</v>
      </c>
      <c r="F104" s="87">
        <v>3558.5</v>
      </c>
      <c r="G104" s="87">
        <v>2548.3000000000002</v>
      </c>
      <c r="H104" s="87">
        <v>145</v>
      </c>
      <c r="I104" s="87">
        <v>44.8</v>
      </c>
      <c r="J104" s="87">
        <v>22.8</v>
      </c>
      <c r="K104" s="87">
        <v>397.9</v>
      </c>
      <c r="L104" s="87">
        <v>1576.9</v>
      </c>
      <c r="M104" s="88">
        <v>29967.7</v>
      </c>
    </row>
    <row r="105" spans="1:13" ht="12.75" hidden="1" customHeight="1">
      <c r="A105" s="82"/>
      <c r="B105" s="63"/>
      <c r="C105" s="88"/>
      <c r="D105" s="87"/>
      <c r="E105" s="87"/>
      <c r="F105" s="87"/>
      <c r="G105" s="87"/>
      <c r="H105" s="87"/>
      <c r="I105" s="87"/>
      <c r="J105" s="87"/>
      <c r="K105" s="87"/>
      <c r="L105" s="87"/>
      <c r="M105" s="88"/>
    </row>
    <row r="106" spans="1:13" ht="12.75" hidden="1" customHeight="1">
      <c r="A106" s="82"/>
      <c r="B106" s="63" t="s">
        <v>303</v>
      </c>
      <c r="C106" s="88">
        <v>14735.6</v>
      </c>
      <c r="D106" s="87">
        <v>2653.5</v>
      </c>
      <c r="E106" s="87">
        <v>3685.2</v>
      </c>
      <c r="F106" s="87">
        <v>3546.8</v>
      </c>
      <c r="G106" s="87">
        <v>2624.5</v>
      </c>
      <c r="H106" s="87">
        <v>16.600000000000001</v>
      </c>
      <c r="I106" s="87">
        <v>115.1</v>
      </c>
      <c r="J106" s="87">
        <v>33.700000000000003</v>
      </c>
      <c r="K106" s="87">
        <v>382.6</v>
      </c>
      <c r="L106" s="87">
        <v>1553.6</v>
      </c>
      <c r="M106" s="88">
        <v>29347.3</v>
      </c>
    </row>
    <row r="107" spans="1:13" ht="12.75" hidden="1" customHeight="1">
      <c r="A107" s="82"/>
      <c r="B107" s="63"/>
      <c r="C107" s="88"/>
      <c r="D107" s="87"/>
      <c r="E107" s="87"/>
      <c r="F107" s="87"/>
      <c r="G107" s="87"/>
      <c r="H107" s="87"/>
      <c r="I107" s="87"/>
      <c r="J107" s="87"/>
      <c r="K107" s="87"/>
      <c r="L107" s="87"/>
      <c r="M107" s="88"/>
    </row>
    <row r="108" spans="1:13" ht="12.75" hidden="1" customHeight="1">
      <c r="B108" s="63" t="s">
        <v>304</v>
      </c>
      <c r="C108" s="88">
        <v>14558.1</v>
      </c>
      <c r="D108" s="87">
        <v>2728.3</v>
      </c>
      <c r="E108" s="87">
        <v>3779.5</v>
      </c>
      <c r="F108" s="87">
        <v>3674.6</v>
      </c>
      <c r="G108" s="87">
        <f>1364.3-22.3</f>
        <v>1342</v>
      </c>
      <c r="H108" s="87">
        <v>22.3</v>
      </c>
      <c r="I108" s="87">
        <f>174-34.4</f>
        <v>139.6</v>
      </c>
      <c r="J108" s="87">
        <v>34.4</v>
      </c>
      <c r="K108" s="87">
        <v>406</v>
      </c>
      <c r="L108" s="87">
        <v>1209.5</v>
      </c>
      <c r="M108" s="88">
        <v>27894.3</v>
      </c>
    </row>
    <row r="109" spans="1:13" ht="12.75" hidden="1" customHeight="1">
      <c r="B109" s="63"/>
      <c r="C109" s="88"/>
      <c r="D109" s="87"/>
      <c r="E109" s="87"/>
      <c r="F109" s="87"/>
      <c r="G109" s="87"/>
      <c r="H109" s="87"/>
      <c r="I109" s="87"/>
      <c r="J109" s="87"/>
      <c r="K109" s="87"/>
      <c r="L109" s="87"/>
      <c r="M109" s="88"/>
    </row>
    <row r="110" spans="1:13" ht="12.75" hidden="1" customHeight="1">
      <c r="B110" s="63" t="s">
        <v>305</v>
      </c>
      <c r="C110" s="88">
        <v>15806.7</v>
      </c>
      <c r="D110" s="87">
        <v>2675.4</v>
      </c>
      <c r="E110" s="87">
        <v>3818.1</v>
      </c>
      <c r="F110" s="87">
        <v>3626</v>
      </c>
      <c r="G110" s="87">
        <f>1388.9-3</f>
        <v>1385.9</v>
      </c>
      <c r="H110" s="87">
        <v>3</v>
      </c>
      <c r="I110" s="87">
        <f>194.3-12.1</f>
        <v>182.20000000000002</v>
      </c>
      <c r="J110" s="87">
        <v>12.1</v>
      </c>
      <c r="K110" s="87">
        <v>590.29999999999995</v>
      </c>
      <c r="L110" s="87">
        <v>1254.0999999999999</v>
      </c>
      <c r="M110" s="88">
        <v>29353.7</v>
      </c>
    </row>
    <row r="111" spans="1:13" ht="12.75" hidden="1" customHeight="1">
      <c r="B111" s="63"/>
      <c r="C111" s="88"/>
      <c r="D111" s="87"/>
      <c r="E111" s="87"/>
      <c r="F111" s="87"/>
      <c r="G111" s="87"/>
      <c r="H111" s="87"/>
      <c r="I111" s="87"/>
      <c r="J111" s="87"/>
      <c r="K111" s="87"/>
      <c r="L111" s="87"/>
      <c r="M111" s="88"/>
    </row>
    <row r="112" spans="1:13" ht="12.75" hidden="1" customHeight="1">
      <c r="B112" s="63" t="s">
        <v>306</v>
      </c>
      <c r="C112" s="88">
        <v>16290.7</v>
      </c>
      <c r="D112" s="87">
        <v>2808.4</v>
      </c>
      <c r="E112" s="87">
        <v>3972.1</v>
      </c>
      <c r="F112" s="87">
        <v>3628</v>
      </c>
      <c r="G112" s="87">
        <f>2319.5-3.3</f>
        <v>2316.1999999999998</v>
      </c>
      <c r="H112" s="87">
        <v>3.3</v>
      </c>
      <c r="I112" s="87">
        <f>175.1-13.2</f>
        <v>161.9</v>
      </c>
      <c r="J112" s="87">
        <v>13.2</v>
      </c>
      <c r="K112" s="87">
        <v>464.3</v>
      </c>
      <c r="L112" s="87">
        <v>1596.7</v>
      </c>
      <c r="M112" s="88">
        <v>31254.7</v>
      </c>
    </row>
    <row r="113" spans="2:13" ht="12.75" hidden="1" customHeight="1">
      <c r="B113" s="63"/>
      <c r="C113" s="88"/>
      <c r="D113" s="87"/>
      <c r="E113" s="87"/>
      <c r="F113" s="87"/>
      <c r="G113" s="87"/>
      <c r="H113" s="87"/>
      <c r="I113" s="87"/>
      <c r="J113" s="87"/>
      <c r="K113" s="87"/>
      <c r="L113" s="87"/>
      <c r="M113" s="88"/>
    </row>
    <row r="114" spans="2:13" ht="12.75" hidden="1" customHeight="1">
      <c r="B114" s="63" t="s">
        <v>307</v>
      </c>
      <c r="C114" s="88">
        <v>17306.7</v>
      </c>
      <c r="D114" s="87">
        <v>2776</v>
      </c>
      <c r="E114" s="87">
        <v>4092</v>
      </c>
      <c r="F114" s="87">
        <v>3529.4</v>
      </c>
      <c r="G114" s="87">
        <f>1996-198.7</f>
        <v>1797.3</v>
      </c>
      <c r="H114" s="87">
        <v>198.7</v>
      </c>
      <c r="I114" s="87">
        <f>267.6-14.1</f>
        <v>253.50000000000003</v>
      </c>
      <c r="J114" s="87">
        <v>14.1</v>
      </c>
      <c r="K114" s="87">
        <v>342.2</v>
      </c>
      <c r="L114" s="87">
        <v>1436.2</v>
      </c>
      <c r="M114" s="88">
        <v>31746.2</v>
      </c>
    </row>
    <row r="115" spans="2:13" ht="12.75" hidden="1" customHeight="1">
      <c r="B115" s="63"/>
      <c r="C115" s="88"/>
      <c r="D115" s="87"/>
      <c r="E115" s="87"/>
      <c r="F115" s="87"/>
      <c r="G115" s="87"/>
      <c r="H115" s="87"/>
      <c r="I115" s="87"/>
      <c r="J115" s="87"/>
      <c r="K115" s="87"/>
      <c r="L115" s="87"/>
      <c r="M115" s="88"/>
    </row>
    <row r="116" spans="2:13" ht="12.75" hidden="1" customHeight="1">
      <c r="B116" s="63" t="s">
        <v>308</v>
      </c>
      <c r="C116" s="88">
        <v>17220.8</v>
      </c>
      <c r="D116" s="87">
        <v>2892.3</v>
      </c>
      <c r="E116" s="87">
        <v>4367.8</v>
      </c>
      <c r="F116" s="87">
        <v>3467.1</v>
      </c>
      <c r="G116" s="87">
        <f>1853.5-127.3</f>
        <v>1726.2</v>
      </c>
      <c r="H116" s="87">
        <v>127.3</v>
      </c>
      <c r="I116" s="87">
        <f>656.7-14.8</f>
        <v>641.90000000000009</v>
      </c>
      <c r="J116" s="87">
        <v>14.8</v>
      </c>
      <c r="K116" s="87">
        <v>578.9</v>
      </c>
      <c r="L116" s="87">
        <v>1707.7</v>
      </c>
      <c r="M116" s="88">
        <v>32744.7</v>
      </c>
    </row>
    <row r="117" spans="2:13" ht="12.75" hidden="1" customHeight="1">
      <c r="B117" s="63"/>
      <c r="C117" s="88"/>
      <c r="D117" s="87"/>
      <c r="E117" s="87"/>
      <c r="F117" s="87"/>
      <c r="G117" s="87"/>
      <c r="H117" s="87"/>
      <c r="I117" s="87"/>
      <c r="J117" s="87"/>
      <c r="K117" s="87"/>
      <c r="L117" s="87"/>
      <c r="M117" s="88"/>
    </row>
    <row r="118" spans="2:13" ht="12.75" hidden="1" customHeight="1">
      <c r="B118" s="63" t="s">
        <v>311</v>
      </c>
      <c r="C118" s="88">
        <v>19600.599999999999</v>
      </c>
      <c r="D118" s="87">
        <v>2974.8</v>
      </c>
      <c r="E118" s="87">
        <v>5720.9</v>
      </c>
      <c r="F118" s="87">
        <v>4514.8</v>
      </c>
      <c r="G118" s="87">
        <f>1851.4-139.6</f>
        <v>1711.8000000000002</v>
      </c>
      <c r="H118" s="87">
        <v>139.6</v>
      </c>
      <c r="I118" s="87">
        <f>774.2-18.9</f>
        <v>755.30000000000007</v>
      </c>
      <c r="J118" s="87">
        <v>18.899999999999999</v>
      </c>
      <c r="K118" s="87">
        <v>481.9</v>
      </c>
      <c r="L118" s="87">
        <v>1595.8</v>
      </c>
      <c r="M118" s="88">
        <v>37514.199999999997</v>
      </c>
    </row>
    <row r="119" spans="2:13" ht="12.75" hidden="1" customHeight="1">
      <c r="B119" s="63"/>
      <c r="C119" s="88"/>
      <c r="D119" s="87"/>
      <c r="E119" s="87"/>
      <c r="F119" s="87"/>
      <c r="G119" s="87"/>
      <c r="H119" s="87"/>
      <c r="I119" s="87"/>
      <c r="J119" s="87"/>
      <c r="K119" s="87"/>
      <c r="L119" s="87"/>
      <c r="M119" s="88"/>
    </row>
    <row r="120" spans="2:13" ht="12.75" hidden="1" customHeight="1">
      <c r="B120" s="57" t="s">
        <v>315</v>
      </c>
      <c r="C120" s="88"/>
      <c r="D120" s="87"/>
      <c r="E120" s="87"/>
      <c r="F120" s="87"/>
      <c r="G120" s="87"/>
      <c r="H120" s="87"/>
      <c r="I120" s="87"/>
      <c r="J120" s="87"/>
      <c r="K120" s="87"/>
      <c r="L120" s="87"/>
      <c r="M120" s="88"/>
    </row>
    <row r="121" spans="2:13" ht="12.75" hidden="1" customHeight="1">
      <c r="B121" s="59"/>
      <c r="C121" s="88"/>
      <c r="D121" s="87"/>
      <c r="E121" s="87"/>
      <c r="F121" s="87"/>
      <c r="G121" s="87"/>
      <c r="H121" s="87"/>
      <c r="I121" s="87"/>
      <c r="J121" s="87"/>
      <c r="K121" s="87"/>
      <c r="L121" s="87"/>
      <c r="M121" s="88"/>
    </row>
    <row r="122" spans="2:13" ht="12.75" hidden="1" customHeight="1">
      <c r="B122" s="63" t="s">
        <v>298</v>
      </c>
      <c r="C122" s="88">
        <v>17862.599999999999</v>
      </c>
      <c r="D122" s="87">
        <v>2954.6</v>
      </c>
      <c r="E122" s="87">
        <v>5118.3</v>
      </c>
      <c r="F122" s="87">
        <v>4271.8</v>
      </c>
      <c r="G122" s="87">
        <f>2076.3-123</f>
        <v>1953.3000000000002</v>
      </c>
      <c r="H122" s="87">
        <v>123</v>
      </c>
      <c r="I122" s="87">
        <f>630.6-145.9</f>
        <v>484.70000000000005</v>
      </c>
      <c r="J122" s="87">
        <v>145.9</v>
      </c>
      <c r="K122" s="87">
        <v>342.8</v>
      </c>
      <c r="L122" s="87">
        <v>2107.9</v>
      </c>
      <c r="M122" s="88">
        <v>35364.9</v>
      </c>
    </row>
    <row r="123" spans="2:13" ht="12.75" hidden="1" customHeight="1">
      <c r="B123" s="63"/>
      <c r="C123" s="88"/>
      <c r="D123" s="87"/>
      <c r="E123" s="87"/>
      <c r="F123" s="87"/>
      <c r="G123" s="87"/>
      <c r="H123" s="87"/>
      <c r="I123" s="87"/>
      <c r="J123" s="87"/>
      <c r="K123" s="87"/>
      <c r="L123" s="87"/>
      <c r="M123" s="88"/>
    </row>
    <row r="124" spans="2:13" ht="12.75" hidden="1" customHeight="1">
      <c r="B124" s="63" t="s">
        <v>299</v>
      </c>
      <c r="C124" s="88">
        <v>16469.599999999999</v>
      </c>
      <c r="D124" s="87">
        <v>2879.5</v>
      </c>
      <c r="E124" s="87">
        <v>4960.8999999999996</v>
      </c>
      <c r="F124" s="87">
        <v>4085.9</v>
      </c>
      <c r="G124" s="87">
        <f>2323.9-111.9</f>
        <v>2212</v>
      </c>
      <c r="H124" s="87">
        <v>111.9</v>
      </c>
      <c r="I124" s="87">
        <f>445.8-96.5</f>
        <v>349.3</v>
      </c>
      <c r="J124" s="87">
        <v>96.5</v>
      </c>
      <c r="K124" s="87">
        <v>577.79999999999995</v>
      </c>
      <c r="L124" s="87">
        <v>2356.5</v>
      </c>
      <c r="M124" s="88">
        <v>34099.9</v>
      </c>
    </row>
    <row r="125" spans="2:13" ht="12.75" hidden="1" customHeight="1">
      <c r="B125" s="63"/>
      <c r="C125" s="88"/>
      <c r="D125" s="87"/>
      <c r="E125" s="87"/>
      <c r="F125" s="87"/>
      <c r="G125" s="87"/>
      <c r="H125" s="87"/>
      <c r="I125" s="87"/>
      <c r="J125" s="87"/>
      <c r="K125" s="87"/>
      <c r="L125" s="87"/>
      <c r="M125" s="88"/>
    </row>
    <row r="126" spans="2:13" ht="12.75" hidden="1" customHeight="1">
      <c r="B126" s="63" t="s">
        <v>300</v>
      </c>
      <c r="C126" s="88">
        <v>17359.599999999999</v>
      </c>
      <c r="D126" s="87">
        <v>3030.9</v>
      </c>
      <c r="E126" s="87">
        <v>4836.3999999999996</v>
      </c>
      <c r="F126" s="87">
        <v>3786.7</v>
      </c>
      <c r="G126" s="87">
        <f>2579.8-150.1</f>
        <v>2429.7000000000003</v>
      </c>
      <c r="H126" s="87">
        <v>150.1</v>
      </c>
      <c r="I126" s="87">
        <f>267.2-79</f>
        <v>188.2</v>
      </c>
      <c r="J126" s="87">
        <v>79</v>
      </c>
      <c r="K126" s="87">
        <v>590.79999999999995</v>
      </c>
      <c r="L126" s="87">
        <v>2478.4</v>
      </c>
      <c r="M126" s="88">
        <v>34929.599999999999</v>
      </c>
    </row>
    <row r="127" spans="2:13" ht="12.75" hidden="1" customHeight="1">
      <c r="B127" s="63"/>
      <c r="C127" s="88"/>
      <c r="D127" s="87"/>
      <c r="E127" s="87"/>
      <c r="F127" s="87"/>
      <c r="G127" s="87"/>
      <c r="H127" s="87"/>
      <c r="I127" s="87"/>
      <c r="J127" s="87"/>
      <c r="K127" s="87"/>
      <c r="L127" s="87"/>
      <c r="M127" s="88"/>
    </row>
    <row r="128" spans="2:13" ht="12.75" hidden="1" customHeight="1">
      <c r="B128" s="63" t="s">
        <v>301</v>
      </c>
      <c r="C128" s="88">
        <v>18135.599999999999</v>
      </c>
      <c r="D128" s="87">
        <v>3007.6</v>
      </c>
      <c r="E128" s="87">
        <v>4610.5</v>
      </c>
      <c r="F128" s="87">
        <v>3731.8</v>
      </c>
      <c r="G128" s="87">
        <f>3000.8-236</f>
        <v>2764.8</v>
      </c>
      <c r="H128" s="87">
        <v>236</v>
      </c>
      <c r="I128" s="87">
        <f>215.4-82.9</f>
        <v>132.5</v>
      </c>
      <c r="J128" s="87">
        <v>82.9</v>
      </c>
      <c r="K128" s="87">
        <v>331.5</v>
      </c>
      <c r="L128" s="87">
        <v>1840</v>
      </c>
      <c r="M128" s="88">
        <v>34873.1</v>
      </c>
    </row>
    <row r="129" spans="2:13" ht="12.75" hidden="1" customHeight="1">
      <c r="B129" s="63"/>
      <c r="C129" s="88"/>
      <c r="D129" s="87"/>
      <c r="E129" s="87"/>
      <c r="F129" s="87"/>
      <c r="G129" s="87"/>
      <c r="H129" s="87"/>
      <c r="I129" s="87"/>
      <c r="J129" s="87"/>
      <c r="K129" s="87"/>
      <c r="L129" s="87"/>
      <c r="M129" s="88"/>
    </row>
    <row r="130" spans="2:13" ht="12.75" hidden="1" customHeight="1">
      <c r="B130" s="63" t="s">
        <v>302</v>
      </c>
      <c r="C130" s="88">
        <v>17038.099999999999</v>
      </c>
      <c r="D130" s="87">
        <v>3029.8</v>
      </c>
      <c r="E130" s="87">
        <v>4376.2</v>
      </c>
      <c r="F130" s="87">
        <v>3592.3</v>
      </c>
      <c r="G130" s="87">
        <f>2810.7-219.9</f>
        <v>2590.7999999999997</v>
      </c>
      <c r="H130" s="87">
        <v>219.9</v>
      </c>
      <c r="I130" s="87">
        <f>183-72.7</f>
        <v>110.3</v>
      </c>
      <c r="J130" s="87">
        <v>72.7</v>
      </c>
      <c r="K130" s="87">
        <v>547.1</v>
      </c>
      <c r="L130" s="87">
        <v>1685.2</v>
      </c>
      <c r="M130" s="88">
        <v>33262.300000000003</v>
      </c>
    </row>
    <row r="131" spans="2:13" ht="12.75" hidden="1" customHeight="1">
      <c r="B131" s="63"/>
      <c r="C131" s="88"/>
      <c r="D131" s="87"/>
      <c r="E131" s="87"/>
      <c r="F131" s="87"/>
      <c r="G131" s="87"/>
      <c r="H131" s="87"/>
      <c r="I131" s="87"/>
      <c r="J131" s="87"/>
      <c r="K131" s="87"/>
      <c r="L131" s="87"/>
      <c r="M131" s="88"/>
    </row>
    <row r="132" spans="2:13" ht="12.75" hidden="1" customHeight="1">
      <c r="B132" s="63" t="s">
        <v>303</v>
      </c>
      <c r="C132" s="88">
        <v>17828.5</v>
      </c>
      <c r="D132" s="87">
        <v>3151.1</v>
      </c>
      <c r="E132" s="87">
        <v>4517.1000000000004</v>
      </c>
      <c r="F132" s="87">
        <v>3591.6</v>
      </c>
      <c r="G132" s="87">
        <f>3323.4-248.8</f>
        <v>3074.6</v>
      </c>
      <c r="H132" s="87">
        <v>248.8</v>
      </c>
      <c r="I132" s="87">
        <f>314-135.6</f>
        <v>178.4</v>
      </c>
      <c r="J132" s="87">
        <v>135.6</v>
      </c>
      <c r="K132" s="87">
        <v>638</v>
      </c>
      <c r="L132" s="87">
        <v>1196.2</v>
      </c>
      <c r="M132" s="88">
        <v>34559.9</v>
      </c>
    </row>
    <row r="133" spans="2:13" ht="12.75" hidden="1" customHeight="1">
      <c r="B133" s="63"/>
      <c r="C133" s="88"/>
      <c r="D133" s="87"/>
      <c r="E133" s="87"/>
      <c r="F133" s="87"/>
      <c r="G133" s="87"/>
      <c r="H133" s="87"/>
      <c r="I133" s="87"/>
      <c r="J133" s="87"/>
      <c r="K133" s="87"/>
      <c r="L133" s="87"/>
      <c r="M133" s="88"/>
    </row>
    <row r="134" spans="2:13" ht="12.75" hidden="1" customHeight="1">
      <c r="B134" s="63" t="s">
        <v>304</v>
      </c>
      <c r="C134" s="88">
        <v>18140.400000000001</v>
      </c>
      <c r="D134" s="87">
        <v>3191.1</v>
      </c>
      <c r="E134" s="87">
        <v>4654.5</v>
      </c>
      <c r="F134" s="87">
        <v>3605.1</v>
      </c>
      <c r="G134" s="87">
        <f>2986-324.6</f>
        <v>2661.4</v>
      </c>
      <c r="H134" s="87">
        <v>324.60000000000002</v>
      </c>
      <c r="I134" s="87">
        <f>276.6-105.7</f>
        <v>170.90000000000003</v>
      </c>
      <c r="J134" s="87">
        <v>105.7</v>
      </c>
      <c r="K134" s="87">
        <v>743.6</v>
      </c>
      <c r="L134" s="87">
        <v>1343.5</v>
      </c>
      <c r="M134" s="88">
        <v>34940.800000000003</v>
      </c>
    </row>
    <row r="135" spans="2:13" ht="12.75" hidden="1" customHeight="1">
      <c r="B135" s="63"/>
      <c r="C135" s="88"/>
      <c r="D135" s="87"/>
      <c r="E135" s="87"/>
      <c r="F135" s="87"/>
      <c r="G135" s="87"/>
      <c r="H135" s="87"/>
      <c r="I135" s="87"/>
      <c r="J135" s="87"/>
      <c r="K135" s="87"/>
      <c r="L135" s="87"/>
      <c r="M135" s="88"/>
    </row>
    <row r="136" spans="2:13" ht="12.75" hidden="1" customHeight="1">
      <c r="B136" s="63" t="s">
        <v>305</v>
      </c>
      <c r="C136" s="88">
        <v>18356.2</v>
      </c>
      <c r="D136" s="87">
        <v>3246.8</v>
      </c>
      <c r="E136" s="87">
        <v>4784.1000000000004</v>
      </c>
      <c r="F136" s="87">
        <v>3494.2</v>
      </c>
      <c r="G136" s="87">
        <f>3732.7-262.1</f>
        <v>3470.6</v>
      </c>
      <c r="H136" s="87">
        <v>262.10000000000002</v>
      </c>
      <c r="I136" s="87">
        <f>472.3-170.7</f>
        <v>301.60000000000002</v>
      </c>
      <c r="J136" s="87">
        <v>170.7</v>
      </c>
      <c r="K136" s="87">
        <v>1279.3</v>
      </c>
      <c r="L136" s="87">
        <v>1432.7</v>
      </c>
      <c r="M136" s="88">
        <v>36798.1</v>
      </c>
    </row>
    <row r="137" spans="2:13" ht="12.75" hidden="1" customHeight="1">
      <c r="B137" s="63"/>
      <c r="C137" s="88"/>
      <c r="D137" s="87"/>
      <c r="E137" s="87"/>
      <c r="F137" s="87"/>
      <c r="G137" s="87"/>
      <c r="H137" s="87"/>
      <c r="I137" s="87"/>
      <c r="J137" s="87"/>
      <c r="K137" s="87"/>
      <c r="L137" s="87"/>
      <c r="M137" s="88"/>
    </row>
    <row r="138" spans="2:13" ht="12.75" hidden="1" customHeight="1">
      <c r="B138" s="63" t="s">
        <v>306</v>
      </c>
      <c r="C138" s="88">
        <v>19310.900000000001</v>
      </c>
      <c r="D138" s="87">
        <v>3254.3</v>
      </c>
      <c r="E138" s="87">
        <v>4973.2</v>
      </c>
      <c r="F138" s="87">
        <v>3941.2</v>
      </c>
      <c r="G138" s="87">
        <v>3458.7</v>
      </c>
      <c r="H138" s="87">
        <v>30.7</v>
      </c>
      <c r="I138" s="87">
        <v>281.8</v>
      </c>
      <c r="J138" s="87">
        <v>232.2</v>
      </c>
      <c r="K138" s="87">
        <v>1208</v>
      </c>
      <c r="L138" s="87">
        <v>1297.2</v>
      </c>
      <c r="M138" s="88">
        <v>37988.199999999997</v>
      </c>
    </row>
    <row r="139" spans="2:13" ht="12.75" hidden="1" customHeight="1">
      <c r="B139" s="63"/>
      <c r="C139" s="88"/>
      <c r="D139" s="87"/>
      <c r="E139" s="87"/>
      <c r="F139" s="87"/>
      <c r="G139" s="87"/>
      <c r="H139" s="87"/>
      <c r="I139" s="87"/>
      <c r="J139" s="87"/>
      <c r="K139" s="87"/>
      <c r="L139" s="87"/>
      <c r="M139" s="88"/>
    </row>
    <row r="140" spans="2:13" ht="12.75" hidden="1" customHeight="1">
      <c r="B140" s="63" t="s">
        <v>307</v>
      </c>
      <c r="C140" s="88">
        <v>20215.599999999999</v>
      </c>
      <c r="D140" s="87">
        <v>3287</v>
      </c>
      <c r="E140" s="87">
        <v>5234.3999999999996</v>
      </c>
      <c r="F140" s="87">
        <v>3900.5</v>
      </c>
      <c r="G140" s="87">
        <f>1968.6-89.8</f>
        <v>1878.8</v>
      </c>
      <c r="H140" s="87">
        <f>80.8+9</f>
        <v>89.8</v>
      </c>
      <c r="I140" s="87">
        <f>881.3-812.3</f>
        <v>69</v>
      </c>
      <c r="J140" s="87">
        <v>812.4</v>
      </c>
      <c r="K140" s="87">
        <v>1217</v>
      </c>
      <c r="L140" s="87">
        <v>1794.4</v>
      </c>
      <c r="M140" s="88">
        <v>38499.4</v>
      </c>
    </row>
    <row r="141" spans="2:13" ht="12.75" hidden="1" customHeight="1">
      <c r="B141" s="63"/>
      <c r="C141" s="88"/>
      <c r="D141" s="87"/>
      <c r="E141" s="87"/>
      <c r="F141" s="87"/>
      <c r="G141" s="87"/>
      <c r="H141" s="87"/>
      <c r="I141" s="87"/>
      <c r="J141" s="87"/>
      <c r="K141" s="87"/>
      <c r="L141" s="87"/>
      <c r="M141" s="88"/>
    </row>
    <row r="142" spans="2:13" ht="12.75" hidden="1" customHeight="1">
      <c r="B142" s="63" t="s">
        <v>308</v>
      </c>
      <c r="C142" s="88">
        <v>22667.5</v>
      </c>
      <c r="D142" s="87">
        <v>3349.5</v>
      </c>
      <c r="E142" s="87">
        <v>5577</v>
      </c>
      <c r="F142" s="87">
        <v>3880.5</v>
      </c>
      <c r="G142" s="87">
        <f>2877.5-12.5</f>
        <v>2865</v>
      </c>
      <c r="H142" s="87">
        <f>10.6+1.9</f>
        <v>12.5</v>
      </c>
      <c r="I142" s="87">
        <f>720.7-640.2</f>
        <v>80.5</v>
      </c>
      <c r="J142" s="87">
        <v>640.20000000000005</v>
      </c>
      <c r="K142" s="87">
        <v>1424.5</v>
      </c>
      <c r="L142" s="87">
        <v>2099.1999999999998</v>
      </c>
      <c r="M142" s="88">
        <v>42596.4</v>
      </c>
    </row>
    <row r="143" spans="2:13" ht="12.75" hidden="1" customHeight="1">
      <c r="B143" s="63"/>
      <c r="C143" s="88"/>
      <c r="D143" s="87"/>
      <c r="E143" s="87"/>
      <c r="F143" s="87"/>
      <c r="G143" s="87"/>
      <c r="H143" s="87"/>
      <c r="I143" s="87"/>
      <c r="J143" s="87"/>
      <c r="K143" s="87"/>
      <c r="L143" s="87"/>
      <c r="M143" s="88"/>
    </row>
    <row r="144" spans="2:13" ht="12.75" hidden="1" customHeight="1">
      <c r="B144" s="63" t="s">
        <v>311</v>
      </c>
      <c r="C144" s="88">
        <f>4265.2+20404.2</f>
        <v>24669.4</v>
      </c>
      <c r="D144" s="87">
        <v>3609.5</v>
      </c>
      <c r="E144" s="87">
        <v>5511.5</v>
      </c>
      <c r="F144" s="87">
        <v>3765.6</v>
      </c>
      <c r="G144" s="57">
        <f>2504.7-20.5</f>
        <v>2484.1999999999998</v>
      </c>
      <c r="H144" s="87">
        <v>20.5</v>
      </c>
      <c r="I144" s="87">
        <f>76-2.3</f>
        <v>73.7</v>
      </c>
      <c r="J144" s="87">
        <v>2.2999999999999998</v>
      </c>
      <c r="K144" s="57">
        <v>1450.9</v>
      </c>
      <c r="L144" s="87">
        <v>1545.7</v>
      </c>
      <c r="M144" s="88">
        <v>43133.3</v>
      </c>
    </row>
    <row r="145" spans="2:13" ht="12.75" hidden="1" customHeight="1">
      <c r="B145" s="63"/>
      <c r="C145" s="88"/>
      <c r="D145" s="87"/>
      <c r="E145" s="87"/>
      <c r="F145" s="87"/>
      <c r="G145" s="57"/>
      <c r="H145" s="87"/>
      <c r="I145" s="87"/>
      <c r="J145" s="87"/>
      <c r="K145" s="57"/>
      <c r="L145" s="87"/>
      <c r="M145" s="88"/>
    </row>
    <row r="146" spans="2:13" ht="12.75" hidden="1" customHeight="1">
      <c r="B146" s="57">
        <v>1999</v>
      </c>
      <c r="C146" s="88"/>
      <c r="D146" s="87"/>
      <c r="E146" s="87"/>
      <c r="F146" s="87"/>
      <c r="G146" s="57"/>
      <c r="H146" s="87"/>
      <c r="I146" s="87"/>
      <c r="J146" s="87"/>
      <c r="K146" s="57"/>
      <c r="L146" s="87"/>
      <c r="M146" s="88"/>
    </row>
    <row r="147" spans="2:13" ht="12.75" hidden="1" customHeight="1">
      <c r="B147" s="63"/>
      <c r="C147" s="88"/>
      <c r="D147" s="87"/>
      <c r="E147" s="87"/>
      <c r="F147" s="87"/>
      <c r="G147" s="57"/>
      <c r="H147" s="87"/>
      <c r="I147" s="87"/>
      <c r="J147" s="87"/>
      <c r="K147" s="57"/>
      <c r="L147" s="87"/>
      <c r="M147" s="88"/>
    </row>
    <row r="148" spans="2:13" ht="12.75" hidden="1" customHeight="1">
      <c r="B148" s="63" t="s">
        <v>298</v>
      </c>
      <c r="C148" s="88">
        <v>23765.599999999999</v>
      </c>
      <c r="D148" s="87">
        <v>3618.4</v>
      </c>
      <c r="E148" s="87">
        <v>5493.2</v>
      </c>
      <c r="F148" s="87">
        <v>3645</v>
      </c>
      <c r="G148" s="57">
        <f>2344.3-38.7</f>
        <v>2305.6000000000004</v>
      </c>
      <c r="H148" s="87">
        <v>38.700000000000003</v>
      </c>
      <c r="I148" s="87">
        <f>306.7-1.6</f>
        <v>305.09999999999997</v>
      </c>
      <c r="J148" s="87">
        <v>1.6</v>
      </c>
      <c r="K148" s="57">
        <v>1405.4</v>
      </c>
      <c r="L148" s="87">
        <v>1952.3</v>
      </c>
      <c r="M148" s="88">
        <v>42530.9</v>
      </c>
    </row>
    <row r="149" spans="2:13" ht="12.75" hidden="1" customHeight="1">
      <c r="B149" s="63"/>
      <c r="C149" s="88"/>
      <c r="D149" s="87"/>
      <c r="E149" s="87"/>
      <c r="F149" s="87"/>
      <c r="G149" s="57"/>
      <c r="H149" s="87"/>
      <c r="I149" s="87"/>
      <c r="J149" s="87"/>
      <c r="K149" s="57"/>
      <c r="L149" s="87"/>
      <c r="M149" s="88"/>
    </row>
    <row r="150" spans="2:13" ht="12.75" hidden="1" customHeight="1">
      <c r="B150" s="63" t="s">
        <v>299</v>
      </c>
      <c r="C150" s="88">
        <v>24056.5</v>
      </c>
      <c r="D150" s="87">
        <v>3730.6</v>
      </c>
      <c r="E150" s="87">
        <v>5780.9</v>
      </c>
      <c r="F150" s="87">
        <v>3691.6</v>
      </c>
      <c r="G150" s="57">
        <f>2265.9-H150</f>
        <v>2242.6</v>
      </c>
      <c r="H150" s="87">
        <v>23.3</v>
      </c>
      <c r="I150" s="87">
        <f>259.4-J150</f>
        <v>257.79999999999995</v>
      </c>
      <c r="J150" s="87">
        <v>1.6</v>
      </c>
      <c r="K150" s="87">
        <v>1373</v>
      </c>
      <c r="L150" s="87">
        <v>2224.1</v>
      </c>
      <c r="M150" s="88">
        <v>43382</v>
      </c>
    </row>
    <row r="151" spans="2:13" ht="12.75" hidden="1" customHeight="1">
      <c r="B151" s="63"/>
      <c r="C151" s="88"/>
      <c r="D151" s="87"/>
      <c r="E151" s="87"/>
      <c r="F151" s="87"/>
      <c r="G151" s="57"/>
      <c r="H151" s="87"/>
      <c r="I151" s="87"/>
      <c r="J151" s="87"/>
      <c r="K151" s="87"/>
      <c r="L151" s="87"/>
      <c r="M151" s="88"/>
    </row>
    <row r="152" spans="2:13" ht="12.75" hidden="1" customHeight="1">
      <c r="B152" s="63" t="s">
        <v>300</v>
      </c>
      <c r="C152" s="88">
        <v>25475.8</v>
      </c>
      <c r="D152" s="87">
        <v>4075.7</v>
      </c>
      <c r="E152" s="87">
        <v>5964.5</v>
      </c>
      <c r="F152" s="87">
        <v>3665.1</v>
      </c>
      <c r="G152" s="57">
        <f>2588.4-118.3</f>
        <v>2470.1</v>
      </c>
      <c r="H152" s="87">
        <v>118.3</v>
      </c>
      <c r="I152" s="87">
        <f>478.3-1.7</f>
        <v>476.6</v>
      </c>
      <c r="J152" s="87">
        <v>1.7</v>
      </c>
      <c r="K152" s="87">
        <v>1540.3</v>
      </c>
      <c r="L152" s="87">
        <v>1980.1</v>
      </c>
      <c r="M152" s="88">
        <v>45768.2</v>
      </c>
    </row>
    <row r="153" spans="2:13" ht="12.75" hidden="1" customHeight="1">
      <c r="B153" s="63"/>
      <c r="C153" s="88"/>
      <c r="D153" s="87"/>
      <c r="E153" s="87"/>
      <c r="F153" s="87"/>
      <c r="G153" s="57"/>
      <c r="H153" s="87"/>
      <c r="I153" s="87"/>
      <c r="J153" s="87"/>
      <c r="K153" s="87"/>
      <c r="L153" s="87"/>
      <c r="M153" s="88"/>
    </row>
    <row r="154" spans="2:13" ht="12.75" hidden="1" customHeight="1">
      <c r="B154" s="63" t="s">
        <v>301</v>
      </c>
      <c r="C154" s="88">
        <v>28148.2</v>
      </c>
      <c r="D154" s="87">
        <v>4068.3</v>
      </c>
      <c r="E154" s="87">
        <v>6042.6</v>
      </c>
      <c r="F154" s="87">
        <v>3712.4</v>
      </c>
      <c r="G154" s="57">
        <f>2556.3-51.9</f>
        <v>2504.4</v>
      </c>
      <c r="H154" s="87">
        <v>51.9</v>
      </c>
      <c r="I154" s="87">
        <f>746.6-485.3</f>
        <v>261.3</v>
      </c>
      <c r="J154" s="87">
        <v>485.3</v>
      </c>
      <c r="K154" s="87">
        <v>1329.6</v>
      </c>
      <c r="L154" s="87">
        <v>1912.5</v>
      </c>
      <c r="M154" s="88">
        <v>48516.5</v>
      </c>
    </row>
    <row r="155" spans="2:13" ht="12.75" hidden="1" customHeight="1">
      <c r="B155" s="63"/>
      <c r="C155" s="88"/>
      <c r="D155" s="87"/>
      <c r="E155" s="87"/>
      <c r="F155" s="87"/>
      <c r="G155" s="57"/>
      <c r="H155" s="87"/>
      <c r="I155" s="87"/>
      <c r="J155" s="87"/>
      <c r="K155" s="87"/>
      <c r="L155" s="87"/>
      <c r="M155" s="88"/>
    </row>
    <row r="156" spans="2:13" ht="12.75" hidden="1" customHeight="1">
      <c r="B156" s="63" t="s">
        <v>302</v>
      </c>
      <c r="C156" s="88">
        <v>29890.400000000001</v>
      </c>
      <c r="D156" s="87">
        <v>4310.3999999999996</v>
      </c>
      <c r="E156" s="87">
        <v>6251.9</v>
      </c>
      <c r="F156" s="87">
        <v>3719</v>
      </c>
      <c r="G156" s="57">
        <f>3074.1-36.9</f>
        <v>3037.2</v>
      </c>
      <c r="H156" s="87">
        <v>36.9</v>
      </c>
      <c r="I156" s="87">
        <f>192.3-110.5</f>
        <v>81.800000000000011</v>
      </c>
      <c r="J156" s="87">
        <v>110.5</v>
      </c>
      <c r="K156" s="87">
        <v>1541.3</v>
      </c>
      <c r="L156" s="87">
        <v>2200.5</v>
      </c>
      <c r="M156" s="88">
        <v>51179.9</v>
      </c>
    </row>
    <row r="157" spans="2:13" ht="12.75" hidden="1" customHeight="1">
      <c r="B157" s="63"/>
      <c r="C157" s="88"/>
      <c r="D157" s="87"/>
      <c r="E157" s="87"/>
      <c r="F157" s="87"/>
      <c r="G157" s="57"/>
      <c r="H157" s="87"/>
      <c r="I157" s="87"/>
      <c r="J157" s="87"/>
      <c r="K157" s="87"/>
      <c r="L157" s="87"/>
      <c r="M157" s="88"/>
    </row>
    <row r="158" spans="2:13" ht="12.75" hidden="1" customHeight="1">
      <c r="B158" s="63" t="s">
        <v>303</v>
      </c>
      <c r="C158" s="88">
        <v>30957.9</v>
      </c>
      <c r="D158" s="87">
        <v>4471.1000000000004</v>
      </c>
      <c r="E158" s="87">
        <v>6597.8</v>
      </c>
      <c r="F158" s="87">
        <v>3764.5</v>
      </c>
      <c r="G158" s="57">
        <f>3906.7-798.3</f>
        <v>3108.3999999999996</v>
      </c>
      <c r="H158" s="87">
        <v>798.3</v>
      </c>
      <c r="I158" s="87">
        <f>200-1.5</f>
        <v>198.5</v>
      </c>
      <c r="J158" s="87">
        <v>1.5</v>
      </c>
      <c r="K158" s="87">
        <v>1058.5999999999999</v>
      </c>
      <c r="L158" s="87">
        <v>1904.3</v>
      </c>
      <c r="M158" s="88">
        <v>52860.9</v>
      </c>
    </row>
    <row r="159" spans="2:13" ht="12.75" hidden="1" customHeight="1">
      <c r="B159" s="63"/>
      <c r="C159" s="88"/>
      <c r="D159" s="87"/>
      <c r="E159" s="87"/>
      <c r="F159" s="87"/>
      <c r="G159" s="57"/>
      <c r="H159" s="87"/>
      <c r="I159" s="87"/>
      <c r="J159" s="87"/>
      <c r="K159" s="87"/>
      <c r="L159" s="87"/>
      <c r="M159" s="88"/>
    </row>
    <row r="160" spans="2:13" ht="12.75" hidden="1" customHeight="1">
      <c r="B160" s="63" t="s">
        <v>304</v>
      </c>
      <c r="C160" s="88">
        <v>32799.599999999999</v>
      </c>
      <c r="D160" s="87">
        <v>5122.2</v>
      </c>
      <c r="E160" s="87">
        <v>7524.6</v>
      </c>
      <c r="F160" s="87">
        <v>3978.9</v>
      </c>
      <c r="G160" s="57">
        <f>3303-82.2</f>
        <v>3220.8</v>
      </c>
      <c r="H160" s="87">
        <v>82.2</v>
      </c>
      <c r="I160" s="87">
        <f>150-1.5</f>
        <v>148.5</v>
      </c>
      <c r="J160" s="87">
        <v>1.5</v>
      </c>
      <c r="K160" s="87">
        <v>1254</v>
      </c>
      <c r="L160" s="87">
        <v>1858.5</v>
      </c>
      <c r="M160" s="88">
        <v>55990.8</v>
      </c>
    </row>
    <row r="161" spans="2:13" ht="12.75" hidden="1" customHeight="1">
      <c r="B161" s="63"/>
      <c r="C161" s="88"/>
      <c r="D161" s="87"/>
      <c r="E161" s="87"/>
      <c r="F161" s="87"/>
      <c r="G161" s="57"/>
      <c r="H161" s="87"/>
      <c r="I161" s="87"/>
      <c r="J161" s="87"/>
      <c r="K161" s="87"/>
      <c r="L161" s="87"/>
      <c r="M161" s="88"/>
    </row>
    <row r="162" spans="2:13" ht="12.75" hidden="1" customHeight="1">
      <c r="B162" s="63" t="s">
        <v>305</v>
      </c>
      <c r="C162" s="88">
        <v>34208.1</v>
      </c>
      <c r="D162" s="87">
        <v>5480.4</v>
      </c>
      <c r="E162" s="87">
        <v>7201.4</v>
      </c>
      <c r="F162" s="87">
        <v>3930.1</v>
      </c>
      <c r="G162" s="57">
        <f>2952.1-85.6</f>
        <v>2866.5</v>
      </c>
      <c r="H162" s="87">
        <v>85.6</v>
      </c>
      <c r="I162" s="87">
        <f>150-2</f>
        <v>148</v>
      </c>
      <c r="J162" s="87">
        <v>2</v>
      </c>
      <c r="K162" s="87">
        <v>1093.4000000000001</v>
      </c>
      <c r="L162" s="87">
        <v>2135.3000000000002</v>
      </c>
      <c r="M162" s="88">
        <v>57150.8</v>
      </c>
    </row>
    <row r="163" spans="2:13" ht="12.75" hidden="1" customHeight="1">
      <c r="B163" s="63"/>
      <c r="C163" s="88"/>
      <c r="D163" s="87"/>
      <c r="E163" s="87"/>
      <c r="F163" s="87"/>
      <c r="G163" s="57"/>
      <c r="H163" s="87"/>
      <c r="I163" s="87"/>
      <c r="J163" s="87"/>
      <c r="K163" s="87"/>
      <c r="L163" s="87"/>
      <c r="M163" s="88"/>
    </row>
    <row r="164" spans="2:13" ht="12.75" hidden="1" customHeight="1">
      <c r="B164" s="63" t="s">
        <v>306</v>
      </c>
      <c r="C164" s="88">
        <v>33889.699999999997</v>
      </c>
      <c r="D164" s="87">
        <v>5635.8</v>
      </c>
      <c r="E164" s="87">
        <v>7167.5</v>
      </c>
      <c r="F164" s="87">
        <v>3811.6</v>
      </c>
      <c r="G164" s="57">
        <f>3601.8-86.3</f>
        <v>3515.5</v>
      </c>
      <c r="H164" s="87">
        <v>86.3</v>
      </c>
      <c r="I164" s="87">
        <f>208.4-50.1</f>
        <v>158.30000000000001</v>
      </c>
      <c r="J164" s="87">
        <v>50.1</v>
      </c>
      <c r="K164" s="87">
        <v>918.8</v>
      </c>
      <c r="L164" s="87">
        <v>2438.1999999999998</v>
      </c>
      <c r="M164" s="88">
        <v>57671.8</v>
      </c>
    </row>
    <row r="165" spans="2:13" ht="12.75" hidden="1" customHeight="1">
      <c r="B165" s="63"/>
      <c r="C165" s="88"/>
      <c r="D165" s="87"/>
      <c r="E165" s="87"/>
      <c r="F165" s="87"/>
      <c r="G165" s="57"/>
      <c r="H165" s="87"/>
      <c r="I165" s="87"/>
      <c r="J165" s="87"/>
      <c r="K165" s="87"/>
      <c r="L165" s="87"/>
      <c r="M165" s="88"/>
    </row>
    <row r="166" spans="2:13" ht="12.75" hidden="1" customHeight="1">
      <c r="B166" s="63" t="s">
        <v>307</v>
      </c>
      <c r="C166" s="88">
        <v>33113.5</v>
      </c>
      <c r="D166" s="87">
        <v>5432.2</v>
      </c>
      <c r="E166" s="87">
        <v>7127</v>
      </c>
      <c r="F166" s="87">
        <v>4430.8999999999996</v>
      </c>
      <c r="G166" s="57">
        <f>3509.5-38.7</f>
        <v>3470.8</v>
      </c>
      <c r="H166" s="87">
        <v>38.700000000000003</v>
      </c>
      <c r="I166" s="87">
        <v>47.6</v>
      </c>
      <c r="J166" s="87">
        <v>0</v>
      </c>
      <c r="K166" s="87">
        <v>1322.9</v>
      </c>
      <c r="L166" s="87">
        <v>3391.6</v>
      </c>
      <c r="M166" s="88">
        <v>58375</v>
      </c>
    </row>
    <row r="167" spans="2:13" ht="12.75" hidden="1" customHeight="1">
      <c r="B167" s="63"/>
      <c r="C167" s="88"/>
      <c r="D167" s="87"/>
      <c r="E167" s="87"/>
      <c r="F167" s="87"/>
      <c r="G167" s="57"/>
      <c r="H167" s="87"/>
      <c r="I167" s="87"/>
      <c r="J167" s="87"/>
      <c r="K167" s="87"/>
      <c r="L167" s="87"/>
      <c r="M167" s="88"/>
    </row>
    <row r="168" spans="2:13" ht="12.75" hidden="1" customHeight="1">
      <c r="B168" s="63" t="s">
        <v>308</v>
      </c>
      <c r="C168" s="88">
        <v>35726.5</v>
      </c>
      <c r="D168" s="87">
        <v>5619.3</v>
      </c>
      <c r="E168" s="87">
        <v>7594.6</v>
      </c>
      <c r="F168" s="87">
        <v>4417</v>
      </c>
      <c r="G168" s="57">
        <f>3896.5-88.6</f>
        <v>3807.9</v>
      </c>
      <c r="H168" s="87">
        <v>88.6</v>
      </c>
      <c r="I168" s="87">
        <f>100-2.2</f>
        <v>97.8</v>
      </c>
      <c r="J168" s="87">
        <v>2.2000000000000002</v>
      </c>
      <c r="K168" s="87">
        <v>1393.9</v>
      </c>
      <c r="L168" s="87">
        <v>2897.3</v>
      </c>
      <c r="M168" s="88">
        <v>61645</v>
      </c>
    </row>
    <row r="169" spans="2:13" ht="12.75" hidden="1" customHeight="1">
      <c r="B169" s="63"/>
      <c r="C169" s="88"/>
      <c r="D169" s="87"/>
      <c r="E169" s="87"/>
      <c r="F169" s="87"/>
      <c r="G169" s="57"/>
      <c r="H169" s="87"/>
      <c r="I169" s="87"/>
      <c r="J169" s="87"/>
      <c r="K169" s="87"/>
      <c r="L169" s="87"/>
      <c r="M169" s="88"/>
    </row>
    <row r="170" spans="2:13" ht="12.75" hidden="1" customHeight="1">
      <c r="B170" s="63" t="s">
        <v>311</v>
      </c>
      <c r="C170" s="88">
        <v>34316.400000000001</v>
      </c>
      <c r="D170" s="87">
        <v>5472.6</v>
      </c>
      <c r="E170" s="87">
        <v>7247.5</v>
      </c>
      <c r="F170" s="87">
        <v>4408.8999999999996</v>
      </c>
      <c r="G170" s="57">
        <f>2626.6-51.5</f>
        <v>2575.1</v>
      </c>
      <c r="H170" s="87">
        <v>51.5</v>
      </c>
      <c r="I170" s="87">
        <f>110-2.9</f>
        <v>107.1</v>
      </c>
      <c r="J170" s="87">
        <v>2.9</v>
      </c>
      <c r="K170" s="87">
        <v>1297.4000000000001</v>
      </c>
      <c r="L170" s="87">
        <v>2917.5</v>
      </c>
      <c r="M170" s="88">
        <v>58396.7</v>
      </c>
    </row>
    <row r="171" spans="2:13" ht="12.75" hidden="1" customHeight="1">
      <c r="B171" s="63"/>
      <c r="C171" s="88"/>
      <c r="D171" s="87"/>
      <c r="E171" s="87"/>
      <c r="F171" s="87"/>
      <c r="G171" s="57"/>
      <c r="H171" s="87"/>
      <c r="I171" s="87"/>
      <c r="J171" s="87"/>
      <c r="K171" s="87"/>
      <c r="L171" s="87"/>
      <c r="M171" s="88"/>
    </row>
    <row r="172" spans="2:13" ht="15.6" hidden="1">
      <c r="B172" s="57">
        <v>2000</v>
      </c>
      <c r="C172" s="88"/>
      <c r="D172" s="87"/>
      <c r="E172" s="87"/>
      <c r="F172" s="87"/>
      <c r="G172" s="57"/>
      <c r="H172" s="87"/>
      <c r="I172" s="87"/>
      <c r="J172" s="87"/>
      <c r="K172" s="87"/>
      <c r="L172" s="87"/>
      <c r="M172" s="88"/>
    </row>
    <row r="173" spans="2:13" ht="15.6" hidden="1">
      <c r="B173" s="57"/>
      <c r="C173" s="88"/>
      <c r="D173" s="87"/>
      <c r="E173" s="87"/>
      <c r="F173" s="87"/>
      <c r="G173" s="57"/>
      <c r="H173" s="87"/>
      <c r="I173" s="87"/>
      <c r="J173" s="87"/>
      <c r="K173" s="87"/>
      <c r="L173" s="87"/>
      <c r="M173" s="88"/>
    </row>
    <row r="174" spans="2:13" ht="15.6" hidden="1">
      <c r="B174" s="59" t="s">
        <v>298</v>
      </c>
      <c r="C174" s="88">
        <v>37466.400000000001</v>
      </c>
      <c r="D174" s="87">
        <v>5607.8</v>
      </c>
      <c r="E174" s="87">
        <v>7143.1</v>
      </c>
      <c r="F174" s="87">
        <v>4374.8999999999996</v>
      </c>
      <c r="G174" s="57">
        <f>6020.5-39.3</f>
        <v>5981.2</v>
      </c>
      <c r="H174" s="87">
        <v>39.299999999999997</v>
      </c>
      <c r="I174" s="87">
        <f>200.8-4.6</f>
        <v>196.20000000000002</v>
      </c>
      <c r="J174" s="87">
        <v>4.5999999999999996</v>
      </c>
      <c r="K174" s="87">
        <v>1339.3</v>
      </c>
      <c r="L174" s="87">
        <v>3541.1</v>
      </c>
      <c r="M174" s="88">
        <v>65694</v>
      </c>
    </row>
    <row r="175" spans="2:13" ht="15.6" hidden="1">
      <c r="B175" s="59"/>
      <c r="C175" s="88"/>
      <c r="D175" s="87"/>
      <c r="E175" s="87"/>
      <c r="F175" s="87"/>
      <c r="G175" s="57"/>
      <c r="H175" s="87"/>
      <c r="I175" s="87"/>
      <c r="J175" s="87"/>
      <c r="K175" s="87"/>
      <c r="L175" s="87"/>
      <c r="M175" s="88"/>
    </row>
    <row r="176" spans="2:13" ht="15.6" hidden="1">
      <c r="B176" s="59" t="s">
        <v>299</v>
      </c>
      <c r="C176" s="88">
        <v>36876.6</v>
      </c>
      <c r="D176" s="87">
        <v>5841.8</v>
      </c>
      <c r="E176" s="87">
        <v>7639</v>
      </c>
      <c r="F176" s="87">
        <v>4368.8</v>
      </c>
      <c r="G176" s="57">
        <f>4753.3-50.1</f>
        <v>4703.2</v>
      </c>
      <c r="H176" s="87">
        <v>50.1</v>
      </c>
      <c r="I176" s="87">
        <f>158.3-32.5</f>
        <v>125.80000000000001</v>
      </c>
      <c r="J176" s="87">
        <v>32.5</v>
      </c>
      <c r="K176" s="87">
        <v>1463.7</v>
      </c>
      <c r="L176" s="87">
        <v>3868.2</v>
      </c>
      <c r="M176" s="88">
        <v>64969.5</v>
      </c>
    </row>
    <row r="177" spans="2:13" ht="15.6" hidden="1">
      <c r="B177" s="59"/>
      <c r="C177" s="88"/>
      <c r="D177" s="87"/>
      <c r="E177" s="87"/>
      <c r="F177" s="87"/>
      <c r="G177" s="57"/>
      <c r="H177" s="87"/>
      <c r="I177" s="87"/>
      <c r="J177" s="87"/>
      <c r="K177" s="87"/>
      <c r="L177" s="87"/>
      <c r="M177" s="88"/>
    </row>
    <row r="178" spans="2:13" ht="15.6" hidden="1">
      <c r="B178" s="59" t="s">
        <v>300</v>
      </c>
      <c r="C178" s="88">
        <v>37019.5</v>
      </c>
      <c r="D178" s="87">
        <v>6100.4</v>
      </c>
      <c r="E178" s="87">
        <v>8159.6</v>
      </c>
      <c r="F178" s="87">
        <v>4432.3</v>
      </c>
      <c r="G178" s="57">
        <f>6742.3-50</f>
        <v>6692.3</v>
      </c>
      <c r="H178" s="87">
        <v>50</v>
      </c>
      <c r="I178" s="87">
        <f>344.8-61.3</f>
        <v>283.5</v>
      </c>
      <c r="J178" s="87">
        <v>61.3</v>
      </c>
      <c r="K178" s="87">
        <v>1535.9</v>
      </c>
      <c r="L178" s="87">
        <v>4665.2</v>
      </c>
      <c r="M178" s="88">
        <v>69000</v>
      </c>
    </row>
    <row r="179" spans="2:13" ht="15.6" hidden="1">
      <c r="B179" s="59"/>
      <c r="C179" s="88"/>
      <c r="D179" s="87"/>
      <c r="E179" s="87"/>
      <c r="F179" s="87"/>
      <c r="G179" s="57"/>
      <c r="H179" s="87"/>
      <c r="I179" s="87"/>
      <c r="J179" s="87"/>
      <c r="K179" s="87"/>
      <c r="L179" s="87"/>
      <c r="M179" s="88"/>
    </row>
    <row r="180" spans="2:13" ht="15.6" hidden="1">
      <c r="B180" s="59" t="s">
        <v>301</v>
      </c>
      <c r="C180" s="88">
        <v>39630.800000000003</v>
      </c>
      <c r="D180" s="87">
        <v>6219.3</v>
      </c>
      <c r="E180" s="87">
        <v>8187.5</v>
      </c>
      <c r="F180" s="87">
        <v>4438.5</v>
      </c>
      <c r="G180" s="57">
        <f>6683.6-40</f>
        <v>6643.6</v>
      </c>
      <c r="H180" s="87">
        <v>40</v>
      </c>
      <c r="I180" s="87">
        <f>79.5-20.9</f>
        <v>58.6</v>
      </c>
      <c r="J180" s="87">
        <v>20.9</v>
      </c>
      <c r="K180" s="87">
        <v>1563.3</v>
      </c>
      <c r="L180" s="87">
        <v>5533.7</v>
      </c>
      <c r="M180" s="88">
        <v>72336.2</v>
      </c>
    </row>
    <row r="181" spans="2:13" ht="15.6" hidden="1">
      <c r="B181" s="59"/>
      <c r="C181" s="88"/>
      <c r="D181" s="87"/>
      <c r="E181" s="87"/>
      <c r="F181" s="87"/>
      <c r="G181" s="57"/>
      <c r="H181" s="87"/>
      <c r="I181" s="87"/>
      <c r="J181" s="87"/>
      <c r="K181" s="87"/>
      <c r="L181" s="87"/>
      <c r="M181" s="88"/>
    </row>
    <row r="182" spans="2:13" ht="15.6" hidden="1">
      <c r="B182" s="59" t="s">
        <v>302</v>
      </c>
      <c r="C182" s="88">
        <v>40506.800000000003</v>
      </c>
      <c r="D182" s="87">
        <v>6555.1</v>
      </c>
      <c r="E182" s="87">
        <v>8189.7</v>
      </c>
      <c r="F182" s="87">
        <v>4393.1000000000004</v>
      </c>
      <c r="G182" s="57">
        <f>7730.4-29</f>
        <v>7701.4</v>
      </c>
      <c r="H182" s="87">
        <v>29</v>
      </c>
      <c r="I182" s="87">
        <f>463.3-17.1</f>
        <v>446.2</v>
      </c>
      <c r="J182" s="87">
        <v>17.100000000000001</v>
      </c>
      <c r="K182" s="87">
        <v>1249.0999999999999</v>
      </c>
      <c r="L182" s="87">
        <v>5516.6</v>
      </c>
      <c r="M182" s="88">
        <v>74604.100000000006</v>
      </c>
    </row>
    <row r="183" spans="2:13" ht="15.6" hidden="1">
      <c r="B183" s="59"/>
      <c r="C183" s="88"/>
      <c r="D183" s="87"/>
      <c r="E183" s="87"/>
      <c r="F183" s="87"/>
      <c r="G183" s="57"/>
      <c r="H183" s="87"/>
      <c r="I183" s="87"/>
      <c r="J183" s="87"/>
      <c r="K183" s="87"/>
      <c r="L183" s="87"/>
      <c r="M183" s="88"/>
    </row>
    <row r="184" spans="2:13" ht="15.6" hidden="1">
      <c r="B184" s="59" t="s">
        <v>303</v>
      </c>
      <c r="C184" s="88">
        <v>42157.3</v>
      </c>
      <c r="D184" s="87">
        <v>6739.9</v>
      </c>
      <c r="E184" s="87">
        <v>8769</v>
      </c>
      <c r="F184" s="87">
        <v>4507</v>
      </c>
      <c r="G184" s="57">
        <f>7138.1-25</f>
        <v>7113.1</v>
      </c>
      <c r="H184" s="87">
        <v>25</v>
      </c>
      <c r="I184" s="87">
        <f>530.4-16.3</f>
        <v>514.1</v>
      </c>
      <c r="J184" s="87">
        <v>16.3</v>
      </c>
      <c r="K184" s="87">
        <v>957.3</v>
      </c>
      <c r="L184" s="87">
        <v>5263.1</v>
      </c>
      <c r="M184" s="88">
        <v>76062.2</v>
      </c>
    </row>
    <row r="185" spans="2:13" ht="15.6" hidden="1">
      <c r="B185" s="59"/>
      <c r="C185" s="88"/>
      <c r="D185" s="87"/>
      <c r="E185" s="87"/>
      <c r="F185" s="87"/>
      <c r="G185" s="57"/>
      <c r="H185" s="87"/>
      <c r="I185" s="87"/>
      <c r="J185" s="87"/>
      <c r="K185" s="87"/>
      <c r="L185" s="87"/>
      <c r="M185" s="88"/>
    </row>
    <row r="186" spans="2:13" ht="15.6" hidden="1">
      <c r="B186" s="59" t="s">
        <v>304</v>
      </c>
      <c r="C186" s="88">
        <v>42611.7</v>
      </c>
      <c r="D186" s="87">
        <v>6702.2</v>
      </c>
      <c r="E186" s="87">
        <v>9246.7999999999993</v>
      </c>
      <c r="F186" s="87">
        <v>4531.5</v>
      </c>
      <c r="G186" s="57">
        <f>8093.5-22.9</f>
        <v>8070.6</v>
      </c>
      <c r="H186" s="87">
        <v>22.9</v>
      </c>
      <c r="I186" s="87">
        <f>385.6-17.6</f>
        <v>368</v>
      </c>
      <c r="J186" s="87">
        <v>17.600000000000001</v>
      </c>
      <c r="K186" s="87">
        <v>855.8</v>
      </c>
      <c r="L186" s="87">
        <v>7395.1</v>
      </c>
      <c r="M186" s="88">
        <v>79822.2</v>
      </c>
    </row>
    <row r="187" spans="2:13" ht="15.6" hidden="1">
      <c r="B187" s="59"/>
      <c r="C187" s="88"/>
      <c r="D187" s="87"/>
      <c r="E187" s="87"/>
      <c r="F187" s="87"/>
      <c r="G187" s="57"/>
      <c r="H187" s="87"/>
      <c r="I187" s="87"/>
      <c r="J187" s="87"/>
      <c r="K187" s="87"/>
      <c r="L187" s="87"/>
      <c r="M187" s="88"/>
    </row>
    <row r="188" spans="2:13" ht="15.6" hidden="1">
      <c r="B188" s="59" t="s">
        <v>305</v>
      </c>
      <c r="C188" s="88">
        <v>45683.199999999997</v>
      </c>
      <c r="D188" s="87">
        <v>7136.8</v>
      </c>
      <c r="E188" s="87">
        <v>9964.5</v>
      </c>
      <c r="F188" s="87">
        <v>4560.1000000000004</v>
      </c>
      <c r="G188" s="57">
        <f>9433.3-35.3</f>
        <v>9398</v>
      </c>
      <c r="H188" s="87">
        <v>35.299999999999997</v>
      </c>
      <c r="I188" s="87">
        <f>526.2-22.6</f>
        <v>503.6</v>
      </c>
      <c r="J188" s="87">
        <v>22.6</v>
      </c>
      <c r="K188" s="87">
        <v>686.2</v>
      </c>
      <c r="L188" s="87">
        <v>7832.1</v>
      </c>
      <c r="M188" s="88">
        <v>85822.5</v>
      </c>
    </row>
    <row r="189" spans="2:13" ht="15.6" hidden="1">
      <c r="B189" s="59"/>
      <c r="C189" s="88"/>
      <c r="D189" s="87"/>
      <c r="E189" s="87"/>
      <c r="F189" s="87"/>
      <c r="G189" s="57"/>
      <c r="H189" s="87"/>
      <c r="I189" s="87"/>
      <c r="J189" s="87"/>
      <c r="K189" s="87"/>
      <c r="L189" s="87"/>
      <c r="M189" s="88"/>
    </row>
    <row r="190" spans="2:13" ht="15.6" hidden="1">
      <c r="B190" s="59" t="s">
        <v>306</v>
      </c>
      <c r="C190" s="88">
        <v>45727.7</v>
      </c>
      <c r="D190" s="87">
        <v>7281.3</v>
      </c>
      <c r="E190" s="87">
        <v>9058.7000000000007</v>
      </c>
      <c r="F190" s="87">
        <v>4435.3</v>
      </c>
      <c r="G190" s="57">
        <f>10623.6-30.1</f>
        <v>10593.5</v>
      </c>
      <c r="H190" s="87">
        <v>30.1</v>
      </c>
      <c r="I190" s="87">
        <f>1152.1-21.4</f>
        <v>1130.6999999999998</v>
      </c>
      <c r="J190" s="87">
        <v>21.4</v>
      </c>
      <c r="K190" s="87">
        <v>507.3</v>
      </c>
      <c r="L190" s="87">
        <v>8224.1</v>
      </c>
      <c r="M190" s="88">
        <v>87010.1</v>
      </c>
    </row>
    <row r="191" spans="2:13" ht="15.6" hidden="1">
      <c r="B191" s="59"/>
      <c r="C191" s="88"/>
      <c r="D191" s="87"/>
      <c r="E191" s="87"/>
      <c r="F191" s="87"/>
      <c r="G191" s="57"/>
      <c r="H191" s="87"/>
      <c r="I191" s="87"/>
      <c r="J191" s="87"/>
      <c r="K191" s="87"/>
      <c r="L191" s="87"/>
      <c r="M191" s="88"/>
    </row>
    <row r="192" spans="2:13" ht="15.6" hidden="1">
      <c r="B192" s="59" t="s">
        <v>307</v>
      </c>
      <c r="C192" s="88">
        <v>53219.1</v>
      </c>
      <c r="D192" s="87">
        <v>7454.2</v>
      </c>
      <c r="E192" s="87">
        <v>9086.9</v>
      </c>
      <c r="F192" s="87">
        <v>5276</v>
      </c>
      <c r="G192" s="57">
        <f>12181.4-32.8</f>
        <v>12148.6</v>
      </c>
      <c r="H192" s="87">
        <v>32.799999999999997</v>
      </c>
      <c r="I192" s="87">
        <f>1223.4-47.2</f>
        <v>1176.2</v>
      </c>
      <c r="J192" s="87">
        <v>47.2</v>
      </c>
      <c r="K192" s="87">
        <v>622.79999999999995</v>
      </c>
      <c r="L192" s="87">
        <v>8111.5</v>
      </c>
      <c r="M192" s="88">
        <v>97175.5</v>
      </c>
    </row>
    <row r="193" spans="2:13" ht="15.6" hidden="1">
      <c r="B193" s="59"/>
      <c r="C193" s="88"/>
      <c r="D193" s="87"/>
      <c r="E193" s="87"/>
      <c r="F193" s="87"/>
      <c r="G193" s="57"/>
      <c r="H193" s="87"/>
      <c r="I193" s="87"/>
      <c r="J193" s="87"/>
      <c r="K193" s="87"/>
      <c r="L193" s="87"/>
      <c r="M193" s="88"/>
    </row>
    <row r="194" spans="2:13" ht="15.6" hidden="1">
      <c r="B194" s="59" t="s">
        <v>308</v>
      </c>
      <c r="C194" s="88">
        <v>53732.5</v>
      </c>
      <c r="D194" s="87">
        <v>7832</v>
      </c>
      <c r="E194" s="87">
        <v>10444.4</v>
      </c>
      <c r="F194" s="87">
        <v>5337.8</v>
      </c>
      <c r="G194" s="57">
        <f>9697.6-42.4</f>
        <v>9655.2000000000007</v>
      </c>
      <c r="H194" s="87">
        <v>42.4</v>
      </c>
      <c r="I194" s="87">
        <f>2457.3-27.2</f>
        <v>2430.1000000000004</v>
      </c>
      <c r="J194" s="87">
        <v>27.2</v>
      </c>
      <c r="K194" s="87">
        <v>731.3</v>
      </c>
      <c r="L194" s="87">
        <v>7712.4</v>
      </c>
      <c r="M194" s="88">
        <v>97945.3</v>
      </c>
    </row>
    <row r="195" spans="2:13" ht="15.6" hidden="1">
      <c r="B195" s="59"/>
      <c r="C195" s="88"/>
      <c r="D195" s="87"/>
      <c r="E195" s="87"/>
      <c r="F195" s="87"/>
      <c r="G195" s="57"/>
      <c r="H195" s="87"/>
      <c r="I195" s="87"/>
      <c r="J195" s="87"/>
      <c r="K195" s="87"/>
      <c r="L195" s="87"/>
      <c r="M195" s="88"/>
    </row>
    <row r="196" spans="2:13" ht="15.6" hidden="1">
      <c r="B196" s="59" t="s">
        <v>311</v>
      </c>
      <c r="C196" s="88">
        <v>52599.8</v>
      </c>
      <c r="D196" s="87">
        <v>8128.1</v>
      </c>
      <c r="E196" s="87">
        <v>10298.799999999999</v>
      </c>
      <c r="F196" s="87">
        <v>5432.2</v>
      </c>
      <c r="G196" s="57">
        <f>9979.7-35</f>
        <v>9944.7000000000007</v>
      </c>
      <c r="H196" s="87">
        <v>35</v>
      </c>
      <c r="I196" s="87">
        <f>799.9-133.8</f>
        <v>666.09999999999991</v>
      </c>
      <c r="J196" s="87">
        <v>133.80000000000001</v>
      </c>
      <c r="K196" s="87">
        <v>1420.9</v>
      </c>
      <c r="L196" s="87">
        <v>10789.3</v>
      </c>
      <c r="M196" s="88">
        <v>99448.7</v>
      </c>
    </row>
    <row r="197" spans="2:13" ht="15.6" hidden="1">
      <c r="B197" s="59"/>
      <c r="C197" s="69"/>
      <c r="D197" s="68"/>
      <c r="E197" s="68"/>
      <c r="F197" s="68"/>
      <c r="G197" s="65"/>
      <c r="H197" s="68"/>
      <c r="I197" s="68"/>
      <c r="J197" s="68"/>
      <c r="K197" s="65"/>
      <c r="L197" s="68"/>
      <c r="M197" s="69"/>
    </row>
    <row r="198" spans="2:13" ht="15.6" hidden="1">
      <c r="B198" s="57">
        <v>2001</v>
      </c>
      <c r="C198" s="69"/>
      <c r="D198" s="68"/>
      <c r="E198" s="68"/>
      <c r="F198" s="68"/>
      <c r="G198" s="65"/>
      <c r="H198" s="68"/>
      <c r="I198" s="68"/>
      <c r="J198" s="68"/>
      <c r="K198" s="65"/>
      <c r="L198" s="68"/>
      <c r="M198" s="69"/>
    </row>
    <row r="199" spans="2:13" ht="15.6" hidden="1">
      <c r="B199" s="59"/>
      <c r="C199" s="69"/>
      <c r="D199" s="68"/>
      <c r="E199" s="68"/>
      <c r="F199" s="68"/>
      <c r="G199" s="65"/>
      <c r="H199" s="68"/>
      <c r="I199" s="68"/>
      <c r="J199" s="68"/>
      <c r="K199" s="65"/>
      <c r="L199" s="68"/>
      <c r="M199" s="69"/>
    </row>
    <row r="200" spans="2:13" ht="15.6" hidden="1">
      <c r="B200" s="59" t="s">
        <v>298</v>
      </c>
      <c r="C200" s="88">
        <v>61827.7</v>
      </c>
      <c r="D200" s="87">
        <v>9028.5</v>
      </c>
      <c r="E200" s="87">
        <v>9583.5</v>
      </c>
      <c r="F200" s="87">
        <v>5317</v>
      </c>
      <c r="G200" s="57">
        <f>11060.8-48.2</f>
        <v>11012.599999999999</v>
      </c>
      <c r="H200" s="87">
        <v>48.2</v>
      </c>
      <c r="I200" s="87">
        <f>152.1-124.1</f>
        <v>28</v>
      </c>
      <c r="J200" s="87">
        <v>124.1</v>
      </c>
      <c r="K200" s="57">
        <v>693.4</v>
      </c>
      <c r="L200" s="87">
        <v>6372.6</v>
      </c>
      <c r="M200" s="88">
        <v>104035.8</v>
      </c>
    </row>
    <row r="201" spans="2:13" ht="15.6" hidden="1">
      <c r="B201" s="59"/>
      <c r="C201" s="88"/>
      <c r="D201" s="87"/>
      <c r="E201" s="87"/>
      <c r="F201" s="87"/>
      <c r="G201" s="57"/>
      <c r="H201" s="87"/>
      <c r="I201" s="87"/>
      <c r="J201" s="87"/>
      <c r="K201" s="57"/>
      <c r="L201" s="87"/>
      <c r="M201" s="88"/>
    </row>
    <row r="202" spans="2:13" ht="15.6" hidden="1">
      <c r="B202" s="59" t="s">
        <v>299</v>
      </c>
      <c r="C202" s="88">
        <v>64154.2</v>
      </c>
      <c r="D202" s="87">
        <v>9693.6</v>
      </c>
      <c r="E202" s="87">
        <v>10073.9</v>
      </c>
      <c r="F202" s="87">
        <v>5519.8</v>
      </c>
      <c r="G202" s="57">
        <f>13442.9-114.2</f>
        <v>13328.699999999999</v>
      </c>
      <c r="H202" s="87">
        <v>114.2</v>
      </c>
      <c r="I202" s="87">
        <f>125-48.8</f>
        <v>76.2</v>
      </c>
      <c r="J202" s="87">
        <v>48.8</v>
      </c>
      <c r="K202" s="57">
        <v>820.3</v>
      </c>
      <c r="L202" s="87">
        <v>7631.3</v>
      </c>
      <c r="M202" s="88">
        <v>111461</v>
      </c>
    </row>
    <row r="203" spans="2:13" ht="15.6" hidden="1">
      <c r="B203" s="59"/>
      <c r="C203" s="88"/>
      <c r="D203" s="87"/>
      <c r="E203" s="87"/>
      <c r="F203" s="87"/>
      <c r="G203" s="57"/>
      <c r="H203" s="87"/>
      <c r="I203" s="87"/>
      <c r="J203" s="87"/>
      <c r="K203" s="57"/>
      <c r="L203" s="87"/>
      <c r="M203" s="88"/>
    </row>
    <row r="204" spans="2:13" ht="15.6" hidden="1">
      <c r="B204" s="59" t="s">
        <v>300</v>
      </c>
      <c r="C204" s="88">
        <v>65793.399999999994</v>
      </c>
      <c r="D204" s="87">
        <v>11425.9</v>
      </c>
      <c r="E204" s="87">
        <v>10741.1</v>
      </c>
      <c r="F204" s="87">
        <v>5897.4</v>
      </c>
      <c r="G204" s="57">
        <f>16444.3-113.7</f>
        <v>16330.599999999999</v>
      </c>
      <c r="H204" s="87">
        <v>113.7</v>
      </c>
      <c r="I204" s="87">
        <f>177.6-47.4</f>
        <v>130.19999999999999</v>
      </c>
      <c r="J204" s="87">
        <v>47.4</v>
      </c>
      <c r="K204" s="57">
        <v>631.70000000000005</v>
      </c>
      <c r="L204" s="87">
        <v>6503.3</v>
      </c>
      <c r="M204" s="88">
        <v>117614.7</v>
      </c>
    </row>
    <row r="205" spans="2:13" ht="15.6" hidden="1">
      <c r="B205" s="59"/>
      <c r="C205" s="88"/>
      <c r="D205" s="87"/>
      <c r="E205" s="87"/>
      <c r="F205" s="87"/>
      <c r="G205" s="57"/>
      <c r="H205" s="87"/>
      <c r="I205" s="87"/>
      <c r="J205" s="87"/>
      <c r="K205" s="57"/>
      <c r="L205" s="87"/>
      <c r="M205" s="88"/>
    </row>
    <row r="206" spans="2:13" ht="15.6" hidden="1">
      <c r="B206" s="59" t="s">
        <v>301</v>
      </c>
      <c r="C206" s="88">
        <v>73377.600000000006</v>
      </c>
      <c r="D206" s="87">
        <v>12300.7</v>
      </c>
      <c r="E206" s="87">
        <v>11000.7</v>
      </c>
      <c r="F206" s="87">
        <v>6171.5</v>
      </c>
      <c r="G206" s="57">
        <f>13994.4-H206</f>
        <v>13884.3</v>
      </c>
      <c r="H206" s="87">
        <v>110.1</v>
      </c>
      <c r="I206" s="87">
        <f>79.2-J206</f>
        <v>43.800000000000004</v>
      </c>
      <c r="J206" s="87">
        <v>35.4</v>
      </c>
      <c r="K206" s="57">
        <v>940.6</v>
      </c>
      <c r="L206" s="87">
        <v>4625.1000000000004</v>
      </c>
      <c r="M206" s="88">
        <v>122489.7</v>
      </c>
    </row>
    <row r="207" spans="2:13" ht="15.6" hidden="1">
      <c r="B207" s="59"/>
      <c r="C207" s="88"/>
      <c r="D207" s="87"/>
      <c r="E207" s="87"/>
      <c r="F207" s="87"/>
      <c r="G207" s="57"/>
      <c r="H207" s="87"/>
      <c r="I207" s="87"/>
      <c r="J207" s="87"/>
      <c r="K207" s="57"/>
      <c r="L207" s="87"/>
      <c r="M207" s="88"/>
    </row>
    <row r="208" spans="2:13" ht="15.6" hidden="1">
      <c r="B208" s="59" t="s">
        <v>302</v>
      </c>
      <c r="C208" s="88">
        <v>79942.899999999994</v>
      </c>
      <c r="D208" s="87">
        <v>13349.2</v>
      </c>
      <c r="E208" s="87">
        <v>11619.5</v>
      </c>
      <c r="F208" s="87">
        <v>6443.1</v>
      </c>
      <c r="G208" s="57">
        <f>15594.8-106</f>
        <v>15488.8</v>
      </c>
      <c r="H208" s="87">
        <v>106</v>
      </c>
      <c r="I208" s="87">
        <f>100-27.2</f>
        <v>72.8</v>
      </c>
      <c r="J208" s="87">
        <v>27.2</v>
      </c>
      <c r="K208" s="57">
        <v>282.60000000000002</v>
      </c>
      <c r="L208" s="87">
        <v>7926.8</v>
      </c>
      <c r="M208" s="88">
        <v>135258.70000000001</v>
      </c>
    </row>
    <row r="209" spans="2:13" ht="15.6" hidden="1">
      <c r="B209" s="59"/>
      <c r="C209" s="88"/>
      <c r="D209" s="87"/>
      <c r="E209" s="87"/>
      <c r="F209" s="87"/>
      <c r="G209" s="57"/>
      <c r="H209" s="87"/>
      <c r="I209" s="87"/>
      <c r="J209" s="87"/>
      <c r="K209" s="57"/>
      <c r="L209" s="87"/>
      <c r="M209" s="88"/>
    </row>
    <row r="210" spans="2:13" ht="15.6" hidden="1">
      <c r="B210" s="59" t="s">
        <v>303</v>
      </c>
      <c r="C210" s="88">
        <v>79749.7</v>
      </c>
      <c r="D210" s="87">
        <v>13906.1</v>
      </c>
      <c r="E210" s="87">
        <v>13495.5</v>
      </c>
      <c r="F210" s="87">
        <v>6852.2</v>
      </c>
      <c r="G210" s="57">
        <f>16660.8-481.9</f>
        <v>16178.9</v>
      </c>
      <c r="H210" s="87">
        <v>481.9</v>
      </c>
      <c r="I210" s="87">
        <v>213.8</v>
      </c>
      <c r="J210" s="87">
        <v>0</v>
      </c>
      <c r="K210" s="57">
        <v>395.7</v>
      </c>
      <c r="L210" s="87">
        <v>8171.1</v>
      </c>
      <c r="M210" s="88">
        <v>139444.79999999999</v>
      </c>
    </row>
    <row r="211" spans="2:13" ht="15.6" hidden="1">
      <c r="B211" s="59"/>
      <c r="C211" s="88"/>
      <c r="D211" s="87"/>
      <c r="E211" s="87"/>
      <c r="F211" s="87"/>
      <c r="G211" s="57"/>
      <c r="H211" s="87"/>
      <c r="I211" s="87"/>
      <c r="J211" s="87"/>
      <c r="K211" s="57"/>
      <c r="L211" s="87"/>
      <c r="M211" s="88"/>
    </row>
    <row r="212" spans="2:13" ht="15.6" hidden="1">
      <c r="B212" s="59" t="s">
        <v>304</v>
      </c>
      <c r="C212" s="88">
        <v>89783.9</v>
      </c>
      <c r="D212" s="87">
        <v>14960.3</v>
      </c>
      <c r="E212" s="87">
        <v>13763.2</v>
      </c>
      <c r="F212" s="87">
        <v>7084.7</v>
      </c>
      <c r="G212" s="57">
        <f>15728.2-1061.1</f>
        <v>14667.1</v>
      </c>
      <c r="H212" s="87">
        <v>1061.0999999999999</v>
      </c>
      <c r="I212" s="87">
        <v>255.9</v>
      </c>
      <c r="J212" s="87">
        <v>0</v>
      </c>
      <c r="K212" s="57">
        <v>238.3</v>
      </c>
      <c r="L212" s="87">
        <v>9939.9</v>
      </c>
      <c r="M212" s="88">
        <v>151754.4</v>
      </c>
    </row>
    <row r="213" spans="2:13" ht="15.6" hidden="1">
      <c r="B213" s="59"/>
      <c r="C213" s="88"/>
      <c r="D213" s="87"/>
      <c r="E213" s="87"/>
      <c r="F213" s="87"/>
      <c r="G213" s="57"/>
      <c r="H213" s="87"/>
      <c r="I213" s="87"/>
      <c r="J213" s="87"/>
      <c r="K213" s="57"/>
      <c r="L213" s="87"/>
      <c r="M213" s="88"/>
    </row>
    <row r="214" spans="2:13" ht="15.6" hidden="1">
      <c r="B214" s="59" t="s">
        <v>305</v>
      </c>
      <c r="C214" s="88">
        <v>99555.4</v>
      </c>
      <c r="D214" s="87">
        <v>15482.8</v>
      </c>
      <c r="E214" s="87">
        <v>14813</v>
      </c>
      <c r="F214" s="87">
        <v>8365.2999999999993</v>
      </c>
      <c r="G214" s="57">
        <f>10943.7-121</f>
        <v>10822.7</v>
      </c>
      <c r="H214" s="87">
        <v>121</v>
      </c>
      <c r="I214" s="87">
        <v>275.5</v>
      </c>
      <c r="J214" s="87">
        <v>0</v>
      </c>
      <c r="K214" s="57">
        <v>532.70000000000005</v>
      </c>
      <c r="L214" s="87">
        <v>7135.1</v>
      </c>
      <c r="M214" s="88">
        <v>157103.6</v>
      </c>
    </row>
    <row r="215" spans="2:13" ht="15.6" hidden="1">
      <c r="B215" s="59"/>
      <c r="C215" s="88"/>
      <c r="D215" s="87"/>
      <c r="E215" s="87"/>
      <c r="F215" s="87"/>
      <c r="G215" s="57"/>
      <c r="H215" s="87"/>
      <c r="I215" s="87"/>
      <c r="J215" s="87"/>
      <c r="K215" s="57"/>
      <c r="L215" s="87"/>
      <c r="M215" s="88"/>
    </row>
    <row r="216" spans="2:13" ht="15.6" hidden="1">
      <c r="B216" s="59" t="s">
        <v>306</v>
      </c>
      <c r="C216" s="88">
        <v>103341.8</v>
      </c>
      <c r="D216" s="87">
        <v>17005.400000000001</v>
      </c>
      <c r="E216" s="87">
        <v>15653.9</v>
      </c>
      <c r="F216" s="87">
        <v>8517.5</v>
      </c>
      <c r="G216" s="57">
        <f>14433.7-108.7</f>
        <v>14325</v>
      </c>
      <c r="H216" s="87">
        <v>108.7</v>
      </c>
      <c r="I216" s="87">
        <v>348.9</v>
      </c>
      <c r="J216" s="87">
        <v>0</v>
      </c>
      <c r="K216" s="87">
        <v>574</v>
      </c>
      <c r="L216" s="87">
        <v>5185.8</v>
      </c>
      <c r="M216" s="88">
        <v>165060.9</v>
      </c>
    </row>
    <row r="217" spans="2:13" ht="15.6" hidden="1">
      <c r="B217" s="59"/>
      <c r="C217" s="88"/>
      <c r="D217" s="87"/>
      <c r="E217" s="87"/>
      <c r="F217" s="87"/>
      <c r="G217" s="57"/>
      <c r="H217" s="87"/>
      <c r="I217" s="87"/>
      <c r="J217" s="87"/>
      <c r="K217" s="57"/>
      <c r="L217" s="87"/>
      <c r="M217" s="88"/>
    </row>
    <row r="218" spans="2:13" ht="15.6" hidden="1">
      <c r="B218" s="59" t="s">
        <v>307</v>
      </c>
      <c r="C218" s="88">
        <v>115459.5</v>
      </c>
      <c r="D218" s="87">
        <v>17903.2</v>
      </c>
      <c r="E218" s="87">
        <v>15088.3</v>
      </c>
      <c r="F218" s="87">
        <v>8543.7000000000007</v>
      </c>
      <c r="G218" s="87">
        <f>13004.8-43.8</f>
        <v>12961</v>
      </c>
      <c r="H218" s="87">
        <v>43.8</v>
      </c>
      <c r="I218" s="87">
        <v>1126.5</v>
      </c>
      <c r="J218" s="87">
        <v>0</v>
      </c>
      <c r="K218" s="57">
        <v>1116.7</v>
      </c>
      <c r="L218" s="87">
        <v>5566.4</v>
      </c>
      <c r="M218" s="88">
        <v>177809.1</v>
      </c>
    </row>
    <row r="219" spans="2:13" ht="15.6" hidden="1">
      <c r="B219" s="59"/>
      <c r="C219" s="88"/>
      <c r="D219" s="87"/>
      <c r="E219" s="87"/>
      <c r="F219" s="87"/>
      <c r="G219" s="87"/>
      <c r="H219" s="87"/>
      <c r="I219" s="87"/>
      <c r="J219" s="87"/>
      <c r="K219" s="57"/>
      <c r="L219" s="87"/>
      <c r="M219" s="88"/>
    </row>
    <row r="220" spans="2:13" ht="15.6" hidden="1">
      <c r="B220" s="59" t="s">
        <v>308</v>
      </c>
      <c r="C220" s="88">
        <v>126886.6</v>
      </c>
      <c r="D220" s="87">
        <v>19257.5</v>
      </c>
      <c r="E220" s="87">
        <v>16125.9</v>
      </c>
      <c r="F220" s="87">
        <v>8855.7999999999993</v>
      </c>
      <c r="G220" s="57">
        <f>12017.8-115.4</f>
        <v>11902.4</v>
      </c>
      <c r="H220" s="87">
        <v>115.4</v>
      </c>
      <c r="I220" s="87">
        <v>1256.4000000000001</v>
      </c>
      <c r="J220" s="87">
        <v>0</v>
      </c>
      <c r="K220" s="57">
        <v>1173.8</v>
      </c>
      <c r="L220" s="87">
        <v>7157.9</v>
      </c>
      <c r="M220" s="88">
        <v>192731.7</v>
      </c>
    </row>
    <row r="221" spans="2:13" ht="15.6" hidden="1">
      <c r="B221" s="59"/>
      <c r="C221" s="88"/>
      <c r="D221" s="87"/>
      <c r="E221" s="87"/>
      <c r="F221" s="87"/>
      <c r="G221" s="57"/>
      <c r="H221" s="87"/>
      <c r="I221" s="87"/>
      <c r="J221" s="87"/>
      <c r="K221" s="57"/>
      <c r="L221" s="87"/>
      <c r="M221" s="88"/>
    </row>
    <row r="222" spans="2:13" ht="15.6" hidden="1">
      <c r="B222" s="59" t="s">
        <v>311</v>
      </c>
      <c r="C222" s="88">
        <v>128492.2</v>
      </c>
      <c r="D222" s="87">
        <v>20288.900000000001</v>
      </c>
      <c r="E222" s="87">
        <v>16311.7</v>
      </c>
      <c r="F222" s="87">
        <v>9078.9</v>
      </c>
      <c r="G222" s="87">
        <f>12129.4-112.4</f>
        <v>12017</v>
      </c>
      <c r="H222" s="87">
        <v>112.4</v>
      </c>
      <c r="I222" s="87">
        <v>2755.4</v>
      </c>
      <c r="J222" s="87">
        <v>0</v>
      </c>
      <c r="K222" s="57">
        <v>2443.6</v>
      </c>
      <c r="L222" s="87">
        <v>5357.8</v>
      </c>
      <c r="M222" s="88">
        <v>196858</v>
      </c>
    </row>
    <row r="223" spans="2:13" ht="15.6" hidden="1">
      <c r="B223" s="59"/>
      <c r="C223" s="88"/>
      <c r="D223" s="87"/>
      <c r="E223" s="87"/>
      <c r="F223" s="87"/>
      <c r="G223" s="87"/>
      <c r="H223" s="87"/>
      <c r="I223" s="87"/>
      <c r="J223" s="87"/>
      <c r="K223" s="57"/>
      <c r="L223" s="87"/>
      <c r="M223" s="88"/>
    </row>
    <row r="224" spans="2:13" ht="18" hidden="1" customHeight="1">
      <c r="B224" s="57">
        <v>2002</v>
      </c>
      <c r="C224" s="88"/>
      <c r="D224" s="87"/>
      <c r="E224" s="87"/>
      <c r="F224" s="87"/>
      <c r="G224" s="87"/>
      <c r="H224" s="87"/>
      <c r="I224" s="87"/>
      <c r="J224" s="87"/>
      <c r="K224" s="57"/>
      <c r="L224" s="87"/>
      <c r="M224" s="88"/>
    </row>
    <row r="225" spans="2:13" ht="18" hidden="1" customHeight="1">
      <c r="B225" s="57"/>
      <c r="C225" s="88"/>
      <c r="D225" s="87"/>
      <c r="E225" s="87"/>
      <c r="F225" s="87"/>
      <c r="G225" s="87"/>
      <c r="H225" s="87"/>
      <c r="I225" s="87"/>
      <c r="J225" s="87"/>
      <c r="K225" s="57"/>
      <c r="L225" s="87"/>
      <c r="M225" s="88"/>
    </row>
    <row r="226" spans="2:13" ht="18" hidden="1" customHeight="1">
      <c r="B226" s="59" t="s">
        <v>298</v>
      </c>
      <c r="C226" s="88">
        <v>137659.6</v>
      </c>
      <c r="D226" s="87">
        <v>20917.8</v>
      </c>
      <c r="E226" s="87">
        <v>16804.7</v>
      </c>
      <c r="F226" s="87">
        <v>9119.9</v>
      </c>
      <c r="G226" s="87">
        <f>20312.6-314.5</f>
        <v>19998.099999999999</v>
      </c>
      <c r="H226" s="87">
        <v>314.5</v>
      </c>
      <c r="I226" s="87">
        <v>2301.9</v>
      </c>
      <c r="J226" s="87">
        <v>0</v>
      </c>
      <c r="K226" s="57">
        <v>1054.2</v>
      </c>
      <c r="L226" s="87">
        <v>6718.1</v>
      </c>
      <c r="M226" s="88">
        <v>214888.9</v>
      </c>
    </row>
    <row r="227" spans="2:13" ht="18" hidden="1" customHeight="1">
      <c r="B227" s="59"/>
      <c r="C227" s="88"/>
      <c r="D227" s="87"/>
      <c r="E227" s="87"/>
      <c r="F227" s="87"/>
      <c r="G227" s="87"/>
      <c r="H227" s="87"/>
      <c r="I227" s="87"/>
      <c r="J227" s="87"/>
      <c r="K227" s="57"/>
      <c r="L227" s="87"/>
      <c r="M227" s="88"/>
    </row>
    <row r="228" spans="2:13" ht="18" hidden="1" customHeight="1">
      <c r="B228" s="59" t="s">
        <v>299</v>
      </c>
      <c r="C228" s="88">
        <v>153507</v>
      </c>
      <c r="D228" s="87">
        <v>22169.9</v>
      </c>
      <c r="E228" s="87">
        <v>18988.599999999999</v>
      </c>
      <c r="F228" s="87">
        <v>9304.9</v>
      </c>
      <c r="G228" s="87">
        <f>12347.9-295.7</f>
        <v>12052.199999999999</v>
      </c>
      <c r="H228" s="87">
        <v>295.7</v>
      </c>
      <c r="I228" s="87">
        <v>4040.1</v>
      </c>
      <c r="J228" s="87">
        <v>0</v>
      </c>
      <c r="K228" s="57">
        <v>1799.2</v>
      </c>
      <c r="L228" s="87">
        <v>9926.6</v>
      </c>
      <c r="M228" s="88">
        <v>232084.2</v>
      </c>
    </row>
    <row r="229" spans="2:13" ht="18" hidden="1" customHeight="1">
      <c r="B229" s="59"/>
      <c r="C229" s="88"/>
      <c r="D229" s="87"/>
      <c r="E229" s="87"/>
      <c r="F229" s="87"/>
      <c r="G229" s="87"/>
      <c r="H229" s="87"/>
      <c r="I229" s="87"/>
      <c r="J229" s="87"/>
      <c r="K229" s="57"/>
      <c r="L229" s="87"/>
      <c r="M229" s="88"/>
    </row>
    <row r="230" spans="2:13" ht="18" hidden="1" customHeight="1">
      <c r="B230" s="59" t="s">
        <v>300</v>
      </c>
      <c r="C230" s="88">
        <v>154991.1</v>
      </c>
      <c r="D230" s="87">
        <v>23643.8</v>
      </c>
      <c r="E230" s="87">
        <v>21057.599999999999</v>
      </c>
      <c r="F230" s="87">
        <v>9331.7000000000007</v>
      </c>
      <c r="G230" s="87">
        <f>18076.5-304.2</f>
        <v>17772.3</v>
      </c>
      <c r="H230" s="87">
        <v>304.2</v>
      </c>
      <c r="I230" s="87">
        <f>2821.4-0.3</f>
        <v>2821.1</v>
      </c>
      <c r="J230" s="87">
        <v>0.3</v>
      </c>
      <c r="K230" s="87">
        <v>4355</v>
      </c>
      <c r="L230" s="87">
        <v>10588.2</v>
      </c>
      <c r="M230" s="88">
        <v>244865.4</v>
      </c>
    </row>
    <row r="231" spans="2:13" ht="18" hidden="1" customHeight="1">
      <c r="B231" s="59"/>
      <c r="C231" s="88"/>
      <c r="D231" s="87"/>
      <c r="E231" s="87"/>
      <c r="F231" s="87"/>
      <c r="G231" s="87"/>
      <c r="H231" s="87"/>
      <c r="I231" s="87"/>
      <c r="J231" s="87"/>
      <c r="K231" s="87"/>
      <c r="L231" s="87"/>
      <c r="M231" s="88"/>
    </row>
    <row r="232" spans="2:13" ht="18" hidden="1" customHeight="1">
      <c r="B232" s="59" t="s">
        <v>301</v>
      </c>
      <c r="C232" s="88">
        <v>172168.7</v>
      </c>
      <c r="D232" s="87">
        <v>27624.400000000001</v>
      </c>
      <c r="E232" s="87">
        <v>21868.6</v>
      </c>
      <c r="F232" s="87">
        <v>9483.1</v>
      </c>
      <c r="G232" s="87">
        <v>21799.7</v>
      </c>
      <c r="H232" s="87">
        <v>24.3</v>
      </c>
      <c r="I232" s="87">
        <v>1374.4</v>
      </c>
      <c r="J232" s="87">
        <v>0.9</v>
      </c>
      <c r="K232" s="87">
        <v>3956.6</v>
      </c>
      <c r="L232" s="87">
        <v>9730.1</v>
      </c>
      <c r="M232" s="88">
        <v>268030.8</v>
      </c>
    </row>
    <row r="233" spans="2:13" ht="18" hidden="1" customHeight="1">
      <c r="B233" s="59"/>
      <c r="C233" s="88"/>
      <c r="D233" s="87"/>
      <c r="E233" s="87"/>
      <c r="F233" s="87"/>
      <c r="G233" s="87"/>
      <c r="H233" s="87"/>
      <c r="I233" s="87"/>
      <c r="J233" s="87"/>
      <c r="K233" s="57"/>
      <c r="L233" s="87"/>
      <c r="M233" s="88"/>
    </row>
    <row r="234" spans="2:13" ht="18" hidden="1" customHeight="1">
      <c r="B234" s="59" t="s">
        <v>302</v>
      </c>
      <c r="C234" s="88">
        <v>179530.3</v>
      </c>
      <c r="D234" s="87">
        <v>28326.3</v>
      </c>
      <c r="E234" s="87">
        <v>23015</v>
      </c>
      <c r="F234" s="87">
        <v>9671.1</v>
      </c>
      <c r="G234" s="87">
        <f>16416.6-24.7</f>
        <v>16391.899999999998</v>
      </c>
      <c r="H234" s="87">
        <v>24.7</v>
      </c>
      <c r="I234" s="87">
        <v>4837</v>
      </c>
      <c r="J234" s="87">
        <v>0</v>
      </c>
      <c r="K234" s="57">
        <v>3301.5</v>
      </c>
      <c r="L234" s="87">
        <v>9157.7999999999993</v>
      </c>
      <c r="M234" s="88">
        <v>274255.7</v>
      </c>
    </row>
    <row r="235" spans="2:13" ht="18" hidden="1" customHeight="1">
      <c r="B235" s="59"/>
      <c r="C235" s="88"/>
      <c r="D235" s="87"/>
      <c r="E235" s="87"/>
      <c r="F235" s="87"/>
      <c r="G235" s="87"/>
      <c r="H235" s="87"/>
      <c r="I235" s="87"/>
      <c r="J235" s="87"/>
      <c r="K235" s="57"/>
      <c r="L235" s="87"/>
      <c r="M235" s="88"/>
    </row>
    <row r="236" spans="2:13" ht="18" hidden="1" customHeight="1">
      <c r="B236" s="59" t="s">
        <v>303</v>
      </c>
      <c r="C236" s="88">
        <v>178256.5</v>
      </c>
      <c r="D236" s="87">
        <v>29007.7</v>
      </c>
      <c r="E236" s="87">
        <v>23532.6</v>
      </c>
      <c r="F236" s="87">
        <v>10033.700000000001</v>
      </c>
      <c r="G236" s="87">
        <f>22908.9-27.6</f>
        <v>22881.300000000003</v>
      </c>
      <c r="H236" s="87">
        <v>27.6</v>
      </c>
      <c r="I236" s="87">
        <f>7787-0</f>
        <v>7787</v>
      </c>
      <c r="J236" s="87">
        <v>0</v>
      </c>
      <c r="K236" s="57">
        <v>4640.2</v>
      </c>
      <c r="L236" s="87">
        <v>7722.3</v>
      </c>
      <c r="M236" s="88">
        <v>283888.7</v>
      </c>
    </row>
    <row r="237" spans="2:13" ht="18" hidden="1" customHeight="1">
      <c r="B237" s="59"/>
      <c r="C237" s="88"/>
      <c r="D237" s="87"/>
      <c r="E237" s="87"/>
      <c r="F237" s="87"/>
      <c r="G237" s="87"/>
      <c r="H237" s="87"/>
      <c r="I237" s="87"/>
      <c r="J237" s="87"/>
      <c r="K237" s="57"/>
      <c r="L237" s="87"/>
      <c r="M237" s="88"/>
    </row>
    <row r="238" spans="2:13" ht="18" hidden="1" customHeight="1">
      <c r="B238" s="59" t="s">
        <v>304</v>
      </c>
      <c r="C238" s="88">
        <v>202230.2</v>
      </c>
      <c r="D238" s="87">
        <v>33460.300000000003</v>
      </c>
      <c r="E238" s="87">
        <v>26054.9</v>
      </c>
      <c r="F238" s="87">
        <v>10400</v>
      </c>
      <c r="G238" s="87">
        <f>29634.2-21.3</f>
        <v>29612.9</v>
      </c>
      <c r="H238" s="87">
        <v>21.3</v>
      </c>
      <c r="I238" s="87">
        <v>11701.9</v>
      </c>
      <c r="J238" s="87">
        <v>0</v>
      </c>
      <c r="K238" s="87">
        <v>2878</v>
      </c>
      <c r="L238" s="87">
        <v>6815.1</v>
      </c>
      <c r="M238" s="88">
        <v>323174.5</v>
      </c>
    </row>
    <row r="239" spans="2:13" ht="18" hidden="1" customHeight="1">
      <c r="B239" s="63"/>
      <c r="C239" s="88"/>
      <c r="D239" s="87"/>
      <c r="E239" s="87"/>
      <c r="F239" s="87"/>
      <c r="G239" s="87"/>
      <c r="H239" s="87"/>
      <c r="I239" s="87"/>
      <c r="J239" s="87"/>
      <c r="K239" s="57"/>
      <c r="L239" s="87"/>
      <c r="M239" s="88"/>
    </row>
    <row r="240" spans="2:13" ht="18" hidden="1" customHeight="1">
      <c r="B240" s="59" t="s">
        <v>305</v>
      </c>
      <c r="C240" s="88">
        <v>220473.5</v>
      </c>
      <c r="D240" s="87">
        <v>32337.200000000001</v>
      </c>
      <c r="E240" s="87">
        <v>27383.200000000001</v>
      </c>
      <c r="F240" s="87">
        <v>11986</v>
      </c>
      <c r="G240" s="87">
        <f>36940.1-19.4</f>
        <v>36920.699999999997</v>
      </c>
      <c r="H240" s="87">
        <v>19.399999999999999</v>
      </c>
      <c r="I240" s="87">
        <f>4861.9-8</f>
        <v>4853.8999999999996</v>
      </c>
      <c r="J240" s="87">
        <v>8</v>
      </c>
      <c r="K240" s="57">
        <v>2258.6999999999998</v>
      </c>
      <c r="L240" s="87">
        <v>8288.9</v>
      </c>
      <c r="M240" s="88">
        <v>344529.4</v>
      </c>
    </row>
    <row r="241" spans="2:13" ht="18" hidden="1" customHeight="1">
      <c r="B241" s="59"/>
      <c r="C241" s="88"/>
      <c r="D241" s="87"/>
      <c r="E241" s="87"/>
      <c r="F241" s="87"/>
      <c r="G241" s="87"/>
      <c r="H241" s="87"/>
      <c r="I241" s="87"/>
      <c r="J241" s="87"/>
      <c r="K241" s="57"/>
      <c r="L241" s="87"/>
      <c r="M241" s="88"/>
    </row>
    <row r="242" spans="2:13" ht="18" hidden="1" customHeight="1">
      <c r="B242" s="59" t="s">
        <v>306</v>
      </c>
      <c r="C242" s="88">
        <v>245679.7</v>
      </c>
      <c r="D242" s="87">
        <v>33638.199999999997</v>
      </c>
      <c r="E242" s="87">
        <v>28991.200000000001</v>
      </c>
      <c r="F242" s="87">
        <v>12454.2</v>
      </c>
      <c r="G242" s="87">
        <f>29449.3-122.2</f>
        <v>29327.1</v>
      </c>
      <c r="H242" s="87">
        <v>122.2</v>
      </c>
      <c r="I242" s="87">
        <v>17988.099999999999</v>
      </c>
      <c r="J242" s="87">
        <v>0</v>
      </c>
      <c r="K242" s="57">
        <v>3556.1</v>
      </c>
      <c r="L242" s="87">
        <v>12442.4</v>
      </c>
      <c r="M242" s="88">
        <v>384199.2</v>
      </c>
    </row>
    <row r="243" spans="2:13" ht="18" hidden="1" customHeight="1">
      <c r="B243" s="59"/>
      <c r="C243" s="88"/>
      <c r="D243" s="87"/>
      <c r="E243" s="87"/>
      <c r="F243" s="87"/>
      <c r="G243" s="87"/>
      <c r="H243" s="123"/>
      <c r="I243" s="87"/>
      <c r="J243" s="87"/>
      <c r="K243" s="57"/>
      <c r="L243" s="87"/>
      <c r="M243" s="88"/>
    </row>
    <row r="244" spans="2:13" ht="18" hidden="1" customHeight="1">
      <c r="B244" s="59" t="s">
        <v>307</v>
      </c>
      <c r="C244" s="88">
        <v>284310.3</v>
      </c>
      <c r="D244" s="87">
        <v>37066.300000000003</v>
      </c>
      <c r="E244" s="87">
        <v>31658.9</v>
      </c>
      <c r="F244" s="87">
        <v>12940.7</v>
      </c>
      <c r="G244" s="87">
        <f>40781.2-54.7</f>
        <v>40726.5</v>
      </c>
      <c r="H244" s="87">
        <v>54.7</v>
      </c>
      <c r="I244" s="87">
        <v>17404.3</v>
      </c>
      <c r="J244" s="87">
        <v>0</v>
      </c>
      <c r="K244" s="57">
        <v>5405.3</v>
      </c>
      <c r="L244" s="87">
        <v>14212.7</v>
      </c>
      <c r="M244" s="88">
        <v>443779.7</v>
      </c>
    </row>
    <row r="245" spans="2:13" ht="18" hidden="1" customHeight="1">
      <c r="B245" s="59"/>
      <c r="C245" s="88"/>
      <c r="D245" s="87"/>
      <c r="E245" s="87"/>
      <c r="F245" s="87"/>
      <c r="G245" s="87"/>
      <c r="H245" s="87"/>
      <c r="I245" s="87"/>
      <c r="J245" s="87"/>
      <c r="K245" s="57"/>
      <c r="L245" s="87"/>
      <c r="M245" s="88"/>
    </row>
    <row r="246" spans="2:13" ht="18" hidden="1" customHeight="1">
      <c r="B246" s="59" t="s">
        <v>308</v>
      </c>
      <c r="C246" s="88">
        <v>324133.3</v>
      </c>
      <c r="D246" s="87">
        <v>42381.9</v>
      </c>
      <c r="E246" s="87">
        <v>40373.599999999999</v>
      </c>
      <c r="F246" s="87">
        <v>14070.9</v>
      </c>
      <c r="G246" s="87">
        <f>38452.9-31.9</f>
        <v>38421</v>
      </c>
      <c r="H246" s="87">
        <v>31.9</v>
      </c>
      <c r="I246" s="87">
        <f>21303.6-0</f>
        <v>21303.599999999999</v>
      </c>
      <c r="J246" s="87">
        <v>0</v>
      </c>
      <c r="K246" s="57">
        <v>9338.7999999999993</v>
      </c>
      <c r="L246" s="87">
        <v>13531.1</v>
      </c>
      <c r="M246" s="88">
        <v>503586.1</v>
      </c>
    </row>
    <row r="247" spans="2:13" ht="18" hidden="1" customHeight="1">
      <c r="B247" s="59"/>
      <c r="C247" s="88"/>
      <c r="D247" s="87"/>
      <c r="E247" s="87"/>
      <c r="F247" s="87"/>
      <c r="G247" s="87"/>
      <c r="H247" s="87"/>
      <c r="I247" s="87"/>
      <c r="J247" s="87"/>
      <c r="K247" s="57"/>
      <c r="L247" s="87"/>
      <c r="M247" s="88"/>
    </row>
    <row r="248" spans="2:13" ht="18" hidden="1" customHeight="1">
      <c r="B248" s="59" t="s">
        <v>311</v>
      </c>
      <c r="C248" s="88">
        <v>348482.5</v>
      </c>
      <c r="D248" s="87">
        <v>46320.6</v>
      </c>
      <c r="E248" s="87">
        <v>42562.1</v>
      </c>
      <c r="F248" s="87">
        <v>15109.9</v>
      </c>
      <c r="G248" s="87">
        <f>47395.4-26.3</f>
        <v>47369.1</v>
      </c>
      <c r="H248" s="87">
        <v>26.3</v>
      </c>
      <c r="I248" s="87">
        <f>28839.9-56.7</f>
        <v>28783.200000000001</v>
      </c>
      <c r="J248" s="87">
        <v>56.7</v>
      </c>
      <c r="K248" s="57">
        <v>4333.8999999999996</v>
      </c>
      <c r="L248" s="87">
        <v>15990.2</v>
      </c>
      <c r="M248" s="88">
        <v>549034.4</v>
      </c>
    </row>
    <row r="249" spans="2:13" ht="18" hidden="1" customHeight="1">
      <c r="B249" s="59"/>
      <c r="C249" s="88"/>
      <c r="D249" s="87"/>
      <c r="E249" s="87"/>
      <c r="F249" s="87"/>
      <c r="G249" s="87"/>
      <c r="H249" s="87"/>
      <c r="I249" s="87"/>
      <c r="J249" s="87"/>
      <c r="K249" s="57"/>
      <c r="L249" s="87"/>
      <c r="M249" s="88"/>
    </row>
    <row r="250" spans="2:13" ht="18" hidden="1" customHeight="1">
      <c r="B250" s="57">
        <v>2003</v>
      </c>
      <c r="C250" s="88"/>
      <c r="D250" s="87"/>
      <c r="E250" s="87"/>
      <c r="F250" s="87"/>
      <c r="G250" s="87"/>
      <c r="H250" s="87"/>
      <c r="I250" s="87"/>
      <c r="J250" s="87"/>
      <c r="K250" s="57"/>
      <c r="L250" s="87"/>
      <c r="M250" s="88"/>
    </row>
    <row r="251" spans="2:13" ht="18" hidden="1" customHeight="1">
      <c r="B251" s="57"/>
      <c r="C251" s="88"/>
      <c r="D251" s="87"/>
      <c r="E251" s="87"/>
      <c r="F251" s="87"/>
      <c r="G251" s="87"/>
      <c r="H251" s="87"/>
      <c r="I251" s="87"/>
      <c r="J251" s="87"/>
      <c r="K251" s="57"/>
      <c r="L251" s="87"/>
      <c r="M251" s="88"/>
    </row>
    <row r="252" spans="2:13" ht="18" hidden="1" customHeight="1">
      <c r="B252" s="59" t="s">
        <v>298</v>
      </c>
      <c r="C252" s="88">
        <v>377400.2</v>
      </c>
      <c r="D252" s="87">
        <v>45541.7</v>
      </c>
      <c r="E252" s="87">
        <v>45093.5</v>
      </c>
      <c r="F252" s="87">
        <v>15819.6</v>
      </c>
      <c r="G252" s="87">
        <f>71876.1-H252</f>
        <v>71850.600000000006</v>
      </c>
      <c r="H252" s="87">
        <v>25.5</v>
      </c>
      <c r="I252" s="87">
        <f>22807.6-J252</f>
        <v>22751.1</v>
      </c>
      <c r="J252" s="87">
        <v>56.5</v>
      </c>
      <c r="K252" s="57">
        <v>8370.7999999999993</v>
      </c>
      <c r="L252" s="87">
        <v>15520.3</v>
      </c>
      <c r="M252" s="88">
        <v>602429.69999999995</v>
      </c>
    </row>
    <row r="253" spans="2:13" ht="18" hidden="1" customHeight="1">
      <c r="B253" s="59"/>
      <c r="C253" s="88"/>
      <c r="D253" s="87"/>
      <c r="E253" s="87"/>
      <c r="F253" s="87"/>
      <c r="G253" s="87"/>
      <c r="H253" s="87"/>
      <c r="I253" s="87"/>
      <c r="J253" s="87"/>
      <c r="K253" s="57"/>
      <c r="L253" s="87"/>
      <c r="M253" s="88"/>
    </row>
    <row r="254" spans="2:13" ht="18" hidden="1" customHeight="1">
      <c r="B254" s="59" t="s">
        <v>299</v>
      </c>
      <c r="C254" s="88">
        <v>411312.2</v>
      </c>
      <c r="D254" s="87">
        <v>47248.5</v>
      </c>
      <c r="E254" s="87">
        <v>48001.8</v>
      </c>
      <c r="F254" s="87">
        <v>16339.9</v>
      </c>
      <c r="G254" s="87">
        <f>68598-H254</f>
        <v>68578</v>
      </c>
      <c r="H254" s="87">
        <v>20</v>
      </c>
      <c r="I254" s="87">
        <f>21511.7-J254</f>
        <v>21455.4</v>
      </c>
      <c r="J254" s="87">
        <v>56.3</v>
      </c>
      <c r="K254" s="57">
        <v>10431.9</v>
      </c>
      <c r="L254" s="87">
        <v>16623.599999999999</v>
      </c>
      <c r="M254" s="88">
        <v>640067.6</v>
      </c>
    </row>
    <row r="255" spans="2:13" ht="18" hidden="1" customHeight="1">
      <c r="B255" s="59"/>
      <c r="C255" s="88"/>
      <c r="D255" s="87"/>
      <c r="E255" s="87"/>
      <c r="F255" s="87"/>
      <c r="G255" s="87"/>
      <c r="H255" s="87"/>
      <c r="I255" s="87"/>
      <c r="J255" s="87"/>
      <c r="K255" s="57"/>
      <c r="L255" s="87"/>
      <c r="M255" s="88"/>
    </row>
    <row r="256" spans="2:13" ht="18" hidden="1" customHeight="1">
      <c r="B256" s="59" t="s">
        <v>300</v>
      </c>
      <c r="C256" s="88">
        <v>531971.30000000005</v>
      </c>
      <c r="D256" s="87">
        <v>51403.6</v>
      </c>
      <c r="E256" s="87">
        <v>49885</v>
      </c>
      <c r="F256" s="87">
        <v>17191.3</v>
      </c>
      <c r="G256" s="87">
        <f>70051.9-7584</f>
        <v>62467.899999999994</v>
      </c>
      <c r="H256" s="87">
        <v>7584</v>
      </c>
      <c r="I256" s="87">
        <v>23521.7</v>
      </c>
      <c r="J256" s="87">
        <v>0</v>
      </c>
      <c r="K256" s="57">
        <v>9015.6</v>
      </c>
      <c r="L256" s="87">
        <v>19722.2</v>
      </c>
      <c r="M256" s="88">
        <v>772762.5</v>
      </c>
    </row>
    <row r="257" spans="2:13" ht="18" hidden="1" customHeight="1">
      <c r="B257" s="59"/>
      <c r="C257" s="88"/>
      <c r="D257" s="87"/>
      <c r="E257" s="87"/>
      <c r="F257" s="87"/>
      <c r="G257" s="87"/>
      <c r="H257" s="87"/>
      <c r="I257" s="87"/>
      <c r="J257" s="87"/>
      <c r="K257" s="57"/>
      <c r="L257" s="87"/>
      <c r="M257" s="88"/>
    </row>
    <row r="258" spans="2:13" ht="18" hidden="1" customHeight="1">
      <c r="B258" s="76" t="s">
        <v>301</v>
      </c>
      <c r="C258" s="88">
        <v>599388.69999999995</v>
      </c>
      <c r="D258" s="87">
        <v>54499.4</v>
      </c>
      <c r="E258" s="87">
        <v>54884.3</v>
      </c>
      <c r="F258" s="87">
        <v>18118.7</v>
      </c>
      <c r="G258" s="87">
        <f>77403-H258</f>
        <v>77178.899999999994</v>
      </c>
      <c r="H258" s="87">
        <v>224.1</v>
      </c>
      <c r="I258" s="87">
        <f>59520.7-J258</f>
        <v>59425.899999999994</v>
      </c>
      <c r="J258" s="87">
        <v>94.8</v>
      </c>
      <c r="K258" s="57">
        <v>9518.1</v>
      </c>
      <c r="L258" s="87">
        <v>20943.400000000001</v>
      </c>
      <c r="M258" s="88">
        <v>894276.2</v>
      </c>
    </row>
    <row r="259" spans="2:13" ht="18" hidden="1" customHeight="1">
      <c r="B259" s="127"/>
      <c r="C259" s="88"/>
      <c r="D259" s="87"/>
      <c r="E259" s="87"/>
      <c r="F259" s="87"/>
      <c r="G259" s="87"/>
      <c r="H259" s="87"/>
      <c r="I259" s="87"/>
      <c r="J259" s="87"/>
      <c r="K259" s="57"/>
      <c r="L259" s="87"/>
      <c r="M259" s="88"/>
    </row>
    <row r="260" spans="2:13" ht="18" hidden="1" customHeight="1">
      <c r="B260" s="76" t="s">
        <v>302</v>
      </c>
      <c r="C260" s="88">
        <v>646033.19999999995</v>
      </c>
      <c r="D260" s="87">
        <v>66592</v>
      </c>
      <c r="E260" s="87">
        <v>60152.6</v>
      </c>
      <c r="F260" s="87">
        <v>19765</v>
      </c>
      <c r="G260" s="87">
        <f>97502.7-H260</f>
        <v>79077.600000000006</v>
      </c>
      <c r="H260" s="87">
        <v>18425.099999999999</v>
      </c>
      <c r="I260" s="87">
        <f>61347.1-J260</f>
        <v>61257.9</v>
      </c>
      <c r="J260" s="87">
        <v>89.2</v>
      </c>
      <c r="K260" s="57">
        <v>9806.2999999999993</v>
      </c>
      <c r="L260" s="87">
        <v>26938</v>
      </c>
      <c r="M260" s="88">
        <v>988137</v>
      </c>
    </row>
    <row r="261" spans="2:13" ht="18" hidden="1" customHeight="1">
      <c r="B261" s="127"/>
      <c r="C261" s="88"/>
      <c r="D261" s="87"/>
      <c r="E261" s="87"/>
      <c r="F261" s="87"/>
      <c r="G261" s="87"/>
      <c r="H261" s="87"/>
      <c r="I261" s="87"/>
      <c r="J261" s="87"/>
      <c r="K261" s="57"/>
      <c r="L261" s="87"/>
      <c r="M261" s="88"/>
    </row>
    <row r="262" spans="2:13" ht="18" hidden="1" customHeight="1">
      <c r="B262" s="76" t="s">
        <v>303</v>
      </c>
      <c r="C262" s="88">
        <v>780343.4</v>
      </c>
      <c r="D262" s="87">
        <v>73529.100000000006</v>
      </c>
      <c r="E262" s="87">
        <v>66208.5</v>
      </c>
      <c r="F262" s="87">
        <v>21616.7</v>
      </c>
      <c r="G262" s="87">
        <f>95035.6-H262</f>
        <v>76019.600000000006</v>
      </c>
      <c r="H262" s="87">
        <v>19016</v>
      </c>
      <c r="I262" s="87">
        <f>41314.7-J262</f>
        <v>40480.799999999996</v>
      </c>
      <c r="J262" s="87">
        <v>833.9</v>
      </c>
      <c r="K262" s="57">
        <v>7864.2</v>
      </c>
      <c r="L262" s="87">
        <v>25594.1</v>
      </c>
      <c r="M262" s="88">
        <v>1111506.2</v>
      </c>
    </row>
    <row r="263" spans="2:13" ht="18" hidden="1" customHeight="1">
      <c r="B263" s="76"/>
      <c r="C263" s="88"/>
      <c r="D263" s="87"/>
      <c r="E263" s="87"/>
      <c r="F263" s="87"/>
      <c r="G263" s="87"/>
      <c r="H263" s="87"/>
      <c r="I263" s="87"/>
      <c r="J263" s="87"/>
      <c r="K263" s="57"/>
      <c r="L263" s="87"/>
      <c r="M263" s="88"/>
    </row>
    <row r="264" spans="2:13" ht="18" hidden="1" customHeight="1">
      <c r="B264" s="76" t="s">
        <v>304</v>
      </c>
      <c r="C264" s="88">
        <v>950430.9</v>
      </c>
      <c r="D264" s="87">
        <v>91211.8</v>
      </c>
      <c r="E264" s="87">
        <v>81239.100000000006</v>
      </c>
      <c r="F264" s="87">
        <v>26911.7</v>
      </c>
      <c r="G264" s="87">
        <f>122474.4-H264</f>
        <v>-4797625.8989999993</v>
      </c>
      <c r="H264" s="87">
        <f>4920100299/1000</f>
        <v>4920100.2989999996</v>
      </c>
      <c r="I264" s="87">
        <v>725</v>
      </c>
      <c r="J264" s="87">
        <v>52</v>
      </c>
      <c r="K264" s="57">
        <v>9008.5</v>
      </c>
      <c r="L264" s="87">
        <v>24411.7</v>
      </c>
      <c r="M264" s="88">
        <v>1375578.2</v>
      </c>
    </row>
    <row r="265" spans="2:13" ht="18" hidden="1" customHeight="1">
      <c r="B265" s="59"/>
      <c r="C265" s="88"/>
      <c r="D265" s="87"/>
      <c r="E265" s="87"/>
      <c r="F265" s="87"/>
      <c r="G265" s="87"/>
      <c r="H265" s="87">
        <f>4698281252/1000</f>
        <v>4698281.2520000003</v>
      </c>
      <c r="I265" s="87">
        <v>20</v>
      </c>
      <c r="J265" s="87"/>
      <c r="K265" s="57"/>
      <c r="L265" s="87"/>
      <c r="M265" s="88"/>
    </row>
    <row r="266" spans="2:13" ht="18" hidden="1" customHeight="1">
      <c r="B266" s="59" t="s">
        <v>305</v>
      </c>
      <c r="C266" s="88">
        <v>1088516</v>
      </c>
      <c r="D266" s="87">
        <v>123448.8</v>
      </c>
      <c r="E266" s="87">
        <v>104017</v>
      </c>
      <c r="F266" s="87">
        <v>31999.3</v>
      </c>
      <c r="G266" s="87">
        <v>155317.4</v>
      </c>
      <c r="H266" s="87">
        <f>6895867959/1000</f>
        <v>6895867.9589999998</v>
      </c>
      <c r="I266" s="87">
        <f>89057.6-52</f>
        <v>89005.6</v>
      </c>
      <c r="J266" s="87">
        <v>52</v>
      </c>
      <c r="K266" s="57">
        <v>9660.5</v>
      </c>
      <c r="L266" s="87">
        <v>31732.400000000001</v>
      </c>
      <c r="M266" s="88">
        <v>1706165.6</v>
      </c>
    </row>
    <row r="267" spans="2:13" ht="18" hidden="1" customHeight="1">
      <c r="B267" s="59"/>
      <c r="C267" s="88"/>
      <c r="D267" s="87"/>
      <c r="E267" s="87"/>
      <c r="F267" s="87"/>
      <c r="G267" s="87"/>
      <c r="H267" s="87"/>
      <c r="I267" s="87"/>
      <c r="J267" s="87"/>
      <c r="K267" s="57"/>
      <c r="L267" s="87"/>
      <c r="M267" s="88"/>
    </row>
    <row r="268" spans="2:13" ht="18" hidden="1" customHeight="1">
      <c r="B268" s="59" t="s">
        <v>306</v>
      </c>
      <c r="C268" s="88">
        <v>1526314.7</v>
      </c>
      <c r="D268" s="87">
        <v>140024.5</v>
      </c>
      <c r="E268" s="87">
        <v>120505.2</v>
      </c>
      <c r="F268" s="87">
        <v>33384.5</v>
      </c>
      <c r="G268" s="87">
        <f>221240.8-411.5</f>
        <v>220829.3</v>
      </c>
      <c r="H268" s="87">
        <v>411.5</v>
      </c>
      <c r="I268" s="87">
        <f>74349.9-801</f>
        <v>73548.899999999994</v>
      </c>
      <c r="J268" s="87">
        <v>801</v>
      </c>
      <c r="K268" s="57">
        <v>16418.7</v>
      </c>
      <c r="L268" s="87">
        <v>41208.1</v>
      </c>
      <c r="M268" s="88">
        <v>2173446.4</v>
      </c>
    </row>
    <row r="269" spans="2:13" ht="18" hidden="1" customHeight="1">
      <c r="B269" s="59"/>
      <c r="C269" s="88"/>
      <c r="D269" s="87"/>
      <c r="E269" s="87"/>
      <c r="F269" s="87"/>
      <c r="G269" s="87"/>
      <c r="H269" s="87"/>
      <c r="I269" s="87"/>
      <c r="J269" s="87"/>
      <c r="K269" s="57"/>
      <c r="L269" s="87"/>
      <c r="M269" s="88"/>
    </row>
    <row r="270" spans="2:13" ht="18" hidden="1" customHeight="1">
      <c r="B270" s="59" t="s">
        <v>307</v>
      </c>
      <c r="C270" s="88">
        <v>1767324.8</v>
      </c>
      <c r="D270" s="87">
        <v>151295.70000000001</v>
      </c>
      <c r="E270" s="87">
        <v>140328.79999999999</v>
      </c>
      <c r="F270" s="87">
        <v>35355.599999999999</v>
      </c>
      <c r="G270" s="87">
        <f>222705.2-116.7</f>
        <v>222588.5</v>
      </c>
      <c r="H270" s="87">
        <v>116.7</v>
      </c>
      <c r="I270" s="87">
        <f>122689.8-45.5</f>
        <v>122644.3</v>
      </c>
      <c r="J270" s="87">
        <v>45.5</v>
      </c>
      <c r="K270" s="57">
        <v>7956.9</v>
      </c>
      <c r="L270" s="87">
        <v>50009.2</v>
      </c>
      <c r="M270" s="88">
        <v>2497666.1</v>
      </c>
    </row>
    <row r="271" spans="2:13" ht="18" hidden="1" customHeight="1">
      <c r="B271" s="59"/>
      <c r="C271" s="88"/>
      <c r="D271" s="87"/>
      <c r="E271" s="87"/>
      <c r="F271" s="87"/>
      <c r="G271" s="87"/>
      <c r="H271" s="87"/>
      <c r="I271" s="87"/>
      <c r="J271" s="87"/>
      <c r="K271" s="57"/>
      <c r="L271" s="87"/>
      <c r="M271" s="88"/>
    </row>
    <row r="272" spans="2:13" ht="18" hidden="1" customHeight="1">
      <c r="B272" s="59" t="s">
        <v>308</v>
      </c>
      <c r="C272" s="88">
        <v>2168253.5</v>
      </c>
      <c r="D272" s="87">
        <v>176645.2</v>
      </c>
      <c r="E272" s="87">
        <v>154335.5</v>
      </c>
      <c r="F272" s="87">
        <v>38033.9</v>
      </c>
      <c r="G272" s="87">
        <f>195309.5-H272</f>
        <v>193254</v>
      </c>
      <c r="H272" s="87">
        <f>116.3+1249.3+689.9</f>
        <v>2055.5</v>
      </c>
      <c r="I272" s="87">
        <f>112497.6-J272</f>
        <v>112456.5</v>
      </c>
      <c r="J272" s="87">
        <v>41.1</v>
      </c>
      <c r="K272" s="57">
        <v>15703.1</v>
      </c>
      <c r="L272" s="87">
        <v>40718.9</v>
      </c>
      <c r="M272" s="88">
        <v>2901496.9</v>
      </c>
    </row>
    <row r="273" spans="2:15" ht="18" hidden="1" customHeight="1">
      <c r="B273" s="59"/>
      <c r="C273" s="88"/>
      <c r="D273" s="87"/>
      <c r="E273" s="87"/>
      <c r="F273" s="87"/>
      <c r="G273" s="87"/>
      <c r="H273" s="87"/>
      <c r="I273" s="87"/>
      <c r="J273" s="87"/>
      <c r="K273" s="57"/>
      <c r="L273" s="87"/>
      <c r="M273" s="88"/>
    </row>
    <row r="274" spans="2:15" ht="18" hidden="1" customHeight="1">
      <c r="B274" s="59" t="s">
        <v>311</v>
      </c>
      <c r="C274" s="88">
        <v>2059259.6</v>
      </c>
      <c r="D274" s="87">
        <v>167933.6</v>
      </c>
      <c r="E274" s="87">
        <v>148374.20000000001</v>
      </c>
      <c r="F274" s="87">
        <v>40341</v>
      </c>
      <c r="G274" s="87">
        <f>387645.4-H274</f>
        <v>384625.10000000003</v>
      </c>
      <c r="H274" s="87">
        <f>350.1+1558.7+1111.5</f>
        <v>3020.3</v>
      </c>
      <c r="I274" s="87">
        <f>120548.8-J274</f>
        <v>119752.6</v>
      </c>
      <c r="J274" s="87">
        <v>796.2</v>
      </c>
      <c r="K274" s="57">
        <v>27938.2</v>
      </c>
      <c r="L274" s="87">
        <v>33227.199999999997</v>
      </c>
      <c r="M274" s="88">
        <v>2985267.8</v>
      </c>
    </row>
    <row r="275" spans="2:15" ht="18" hidden="1" customHeight="1">
      <c r="B275" s="59"/>
      <c r="C275" s="88"/>
      <c r="D275" s="87"/>
      <c r="E275" s="87"/>
      <c r="F275" s="87"/>
      <c r="G275" s="87"/>
      <c r="H275" s="87"/>
      <c r="I275" s="87"/>
      <c r="J275" s="87"/>
      <c r="K275" s="57"/>
      <c r="L275" s="87"/>
      <c r="M275" s="88"/>
    </row>
    <row r="276" spans="2:15" ht="18" hidden="1" customHeight="1">
      <c r="B276" s="57">
        <v>2004</v>
      </c>
      <c r="C276" s="88"/>
      <c r="D276" s="87"/>
      <c r="E276" s="87"/>
      <c r="F276" s="87"/>
      <c r="G276" s="87"/>
      <c r="H276" s="87"/>
      <c r="I276" s="87"/>
      <c r="J276" s="87"/>
      <c r="K276" s="57"/>
      <c r="L276" s="87"/>
      <c r="M276" s="88"/>
    </row>
    <row r="277" spans="2:15" ht="18" hidden="1" customHeight="1">
      <c r="B277" s="59"/>
      <c r="C277" s="88"/>
      <c r="D277" s="87"/>
      <c r="E277" s="87"/>
      <c r="F277" s="87"/>
      <c r="G277" s="87"/>
      <c r="H277" s="87"/>
      <c r="I277" s="87"/>
      <c r="J277" s="87"/>
      <c r="K277" s="57"/>
      <c r="L277" s="87"/>
      <c r="M277" s="88"/>
    </row>
    <row r="278" spans="2:15" ht="18" hidden="1" customHeight="1">
      <c r="B278" s="59" t="s">
        <v>298</v>
      </c>
      <c r="C278" s="88">
        <v>2761760.4</v>
      </c>
      <c r="D278" s="87">
        <v>343959.4</v>
      </c>
      <c r="E278" s="87">
        <v>157647.9</v>
      </c>
      <c r="F278" s="87">
        <v>44322.5</v>
      </c>
      <c r="G278" s="87">
        <f>373787.2-H278</f>
        <v>362333.7</v>
      </c>
      <c r="H278" s="87">
        <f>1546+5302.9+4604.6</f>
        <v>11453.5</v>
      </c>
      <c r="I278" s="87">
        <v>106799.9</v>
      </c>
      <c r="J278" s="87">
        <v>0</v>
      </c>
      <c r="K278" s="57">
        <v>26057.599999999999</v>
      </c>
      <c r="L278" s="87">
        <v>31306.9</v>
      </c>
      <c r="M278" s="88">
        <v>3845642.3</v>
      </c>
    </row>
    <row r="279" spans="2:15" ht="18" hidden="1" customHeight="1">
      <c r="B279" s="59"/>
      <c r="C279" s="88"/>
      <c r="D279" s="87"/>
      <c r="E279" s="87"/>
      <c r="F279" s="87"/>
      <c r="G279" s="87"/>
      <c r="H279" s="87"/>
      <c r="I279" s="87"/>
      <c r="J279" s="87"/>
      <c r="K279" s="57"/>
      <c r="L279" s="87"/>
      <c r="M279" s="88"/>
    </row>
    <row r="280" spans="2:15" ht="18" hidden="1" customHeight="1">
      <c r="B280" s="59" t="s">
        <v>299</v>
      </c>
      <c r="C280" s="88">
        <v>2850107.4</v>
      </c>
      <c r="D280" s="87">
        <v>328111.09999999998</v>
      </c>
      <c r="E280" s="87">
        <v>172478.8</v>
      </c>
      <c r="F280" s="87">
        <v>50442.7</v>
      </c>
      <c r="G280" s="87">
        <f>342183.1-H280</f>
        <v>332159.69999999995</v>
      </c>
      <c r="H280" s="87">
        <f>1158.4+3765.3+5099.7</f>
        <v>10023.400000000001</v>
      </c>
      <c r="I280" s="87">
        <v>114289.7</v>
      </c>
      <c r="J280" s="87">
        <v>0</v>
      </c>
      <c r="K280" s="57">
        <v>21986.5</v>
      </c>
      <c r="L280" s="87">
        <v>28275.4</v>
      </c>
      <c r="M280" s="88">
        <v>3907874.7</v>
      </c>
    </row>
    <row r="281" spans="2:15" ht="18" hidden="1" customHeight="1">
      <c r="B281" s="59"/>
      <c r="C281" s="88"/>
      <c r="D281" s="87"/>
      <c r="E281" s="87"/>
      <c r="F281" s="87"/>
      <c r="G281" s="87"/>
      <c r="H281" s="87"/>
      <c r="I281" s="87"/>
      <c r="J281" s="87"/>
      <c r="K281" s="57"/>
      <c r="L281" s="87"/>
      <c r="M281" s="88"/>
    </row>
    <row r="282" spans="2:15" ht="18" hidden="1" customHeight="1">
      <c r="B282" s="59" t="s">
        <v>300</v>
      </c>
      <c r="C282" s="88">
        <v>3309790.4</v>
      </c>
      <c r="D282" s="87">
        <v>255793.2</v>
      </c>
      <c r="E282" s="87">
        <v>187998.5</v>
      </c>
      <c r="F282" s="87">
        <v>56456.9</v>
      </c>
      <c r="G282" s="87">
        <f>440032.9-H282</f>
        <v>434114.7</v>
      </c>
      <c r="H282" s="87">
        <f>477.6+5440.6</f>
        <v>5918.2000000000007</v>
      </c>
      <c r="I282" s="87">
        <v>115782.2</v>
      </c>
      <c r="J282" s="87">
        <v>0</v>
      </c>
      <c r="K282" s="57">
        <v>48455.8</v>
      </c>
      <c r="L282" s="87">
        <v>23122.799999999999</v>
      </c>
      <c r="M282" s="88">
        <v>4437432.7</v>
      </c>
    </row>
    <row r="283" spans="2:15" ht="18" hidden="1" customHeight="1">
      <c r="B283" s="59"/>
      <c r="C283" s="88"/>
      <c r="D283" s="87"/>
      <c r="E283" s="87"/>
      <c r="F283" s="87"/>
      <c r="G283" s="87"/>
      <c r="H283" s="87"/>
      <c r="I283" s="87"/>
      <c r="J283" s="87"/>
      <c r="K283" s="57"/>
      <c r="L283" s="87"/>
      <c r="M283" s="88"/>
    </row>
    <row r="284" spans="2:15" ht="18" hidden="1" customHeight="1">
      <c r="B284" s="59" t="s">
        <v>301</v>
      </c>
      <c r="C284" s="88">
        <v>3619757.5</v>
      </c>
      <c r="D284" s="87">
        <v>347148.1</v>
      </c>
      <c r="E284" s="87">
        <v>209810.4</v>
      </c>
      <c r="F284" s="87">
        <v>59903.3</v>
      </c>
      <c r="G284" s="87">
        <v>489405.2</v>
      </c>
      <c r="H284" s="87">
        <f>1149.7+6415.6</f>
        <v>7565.3</v>
      </c>
      <c r="I284" s="87">
        <v>101116.3</v>
      </c>
      <c r="J284" s="87">
        <v>0</v>
      </c>
      <c r="K284" s="57">
        <v>50426.6</v>
      </c>
      <c r="L284" s="87">
        <v>38511.9</v>
      </c>
      <c r="M284" s="88">
        <v>4923644.8</v>
      </c>
    </row>
    <row r="285" spans="2:15" ht="18" hidden="1" customHeight="1">
      <c r="B285" s="59"/>
      <c r="C285" s="88"/>
      <c r="D285" s="87"/>
      <c r="E285" s="87"/>
      <c r="F285" s="87"/>
      <c r="G285" s="87"/>
      <c r="H285" s="87"/>
      <c r="I285" s="87"/>
      <c r="J285" s="87"/>
      <c r="K285" s="57"/>
      <c r="L285" s="87"/>
      <c r="M285" s="88"/>
    </row>
    <row r="286" spans="2:15" ht="18" hidden="1" customHeight="1">
      <c r="B286" s="59" t="s">
        <v>302</v>
      </c>
      <c r="C286" s="88">
        <v>4186579.8</v>
      </c>
      <c r="D286" s="87">
        <v>304398.90000000002</v>
      </c>
      <c r="E286" s="87">
        <v>209403.6</v>
      </c>
      <c r="F286" s="87">
        <v>70407.600000000006</v>
      </c>
      <c r="G286" s="87">
        <v>429138.8</v>
      </c>
      <c r="H286" s="87">
        <f>1465.5+5480.6+7161.4</f>
        <v>14107.5</v>
      </c>
      <c r="I286" s="87">
        <v>87909.8</v>
      </c>
      <c r="J286" s="87">
        <v>0</v>
      </c>
      <c r="K286" s="57">
        <v>45344.3</v>
      </c>
      <c r="L286" s="87">
        <v>58475.8</v>
      </c>
      <c r="M286" s="88">
        <v>5405766</v>
      </c>
    </row>
    <row r="287" spans="2:15" ht="18" hidden="1" customHeight="1">
      <c r="B287" s="59"/>
      <c r="C287" s="88"/>
      <c r="D287" s="87"/>
      <c r="E287" s="87"/>
      <c r="F287" s="87"/>
      <c r="G287" s="87"/>
      <c r="H287" s="87"/>
      <c r="I287" s="87"/>
      <c r="J287" s="87"/>
      <c r="K287" s="57"/>
      <c r="L287" s="87"/>
      <c r="M287" s="88"/>
    </row>
    <row r="288" spans="2:15" ht="18" hidden="1" customHeight="1">
      <c r="B288" s="59" t="s">
        <v>303</v>
      </c>
      <c r="C288" s="88">
        <v>4665969.0999999996</v>
      </c>
      <c r="D288" s="87">
        <v>412271</v>
      </c>
      <c r="E288" s="87">
        <v>247089.3</v>
      </c>
      <c r="F288" s="87">
        <v>79227.7</v>
      </c>
      <c r="G288" s="87">
        <f>624936.9-H288</f>
        <v>612956.1</v>
      </c>
      <c r="H288" s="87">
        <f>588.2+5408.3+5984.3</f>
        <v>11980.8</v>
      </c>
      <c r="I288" s="87">
        <f>120775-J288</f>
        <v>120775</v>
      </c>
      <c r="J288" s="87">
        <v>0</v>
      </c>
      <c r="K288" s="57">
        <v>43498.400000000001</v>
      </c>
      <c r="L288" s="87">
        <v>51703.1</v>
      </c>
      <c r="M288" s="88">
        <v>6245470.5</v>
      </c>
      <c r="O288" s="68">
        <f>+M288-SUM(C288:L288)</f>
        <v>0</v>
      </c>
    </row>
    <row r="289" spans="2:15" ht="18" hidden="1" customHeight="1">
      <c r="B289" s="59"/>
      <c r="C289" s="88"/>
      <c r="D289" s="87"/>
      <c r="E289" s="87"/>
      <c r="F289" s="87"/>
      <c r="G289" s="87"/>
      <c r="H289" s="87"/>
      <c r="I289" s="87"/>
      <c r="J289" s="87"/>
      <c r="K289" s="57"/>
      <c r="L289" s="87"/>
      <c r="M289" s="88"/>
      <c r="O289" s="68"/>
    </row>
    <row r="290" spans="2:15" ht="18" hidden="1" customHeight="1">
      <c r="B290" s="59" t="s">
        <v>304</v>
      </c>
      <c r="C290" s="88">
        <v>4666707.7</v>
      </c>
      <c r="D290" s="87">
        <v>476275.4</v>
      </c>
      <c r="E290" s="87">
        <v>291554.3</v>
      </c>
      <c r="F290" s="87">
        <v>100123.7</v>
      </c>
      <c r="G290" s="87">
        <f>541736.2-H290</f>
        <v>530279.89999999991</v>
      </c>
      <c r="H290" s="87">
        <f>586.8+3051.9+7817.6</f>
        <v>11456.3</v>
      </c>
      <c r="I290" s="87">
        <v>128772.3</v>
      </c>
      <c r="J290" s="87">
        <v>0</v>
      </c>
      <c r="K290" s="57">
        <v>48351.5</v>
      </c>
      <c r="L290" s="87">
        <v>61651.8</v>
      </c>
      <c r="M290" s="88">
        <v>6315173</v>
      </c>
      <c r="O290" s="68">
        <f>+M290-SUM(C290:L290)</f>
        <v>0.10000000055879354</v>
      </c>
    </row>
    <row r="291" spans="2:15" ht="18" hidden="1" customHeight="1">
      <c r="B291" s="59"/>
      <c r="C291" s="88"/>
      <c r="D291" s="87"/>
      <c r="E291" s="87"/>
      <c r="F291" s="87"/>
      <c r="G291" s="87"/>
      <c r="H291" s="87"/>
      <c r="I291" s="87"/>
      <c r="J291" s="87"/>
      <c r="K291" s="57"/>
      <c r="L291" s="87"/>
      <c r="M291" s="88"/>
      <c r="O291" s="68"/>
    </row>
    <row r="292" spans="2:15" ht="18" hidden="1" customHeight="1">
      <c r="B292" s="59" t="s">
        <v>305</v>
      </c>
      <c r="C292" s="88">
        <v>5218269.3</v>
      </c>
      <c r="D292" s="87">
        <v>508294.9</v>
      </c>
      <c r="E292" s="87">
        <v>301453</v>
      </c>
      <c r="F292" s="87">
        <v>107264.9</v>
      </c>
      <c r="G292" s="87">
        <f>752521.7-H292</f>
        <v>743866.1</v>
      </c>
      <c r="H292" s="87">
        <f>592.2+8063.4</f>
        <v>8655.6</v>
      </c>
      <c r="I292" s="87">
        <v>170448</v>
      </c>
      <c r="J292" s="87">
        <v>0</v>
      </c>
      <c r="K292" s="87">
        <v>134563.9</v>
      </c>
      <c r="L292" s="87">
        <v>83450.5</v>
      </c>
      <c r="M292" s="88">
        <v>7276266.0999999996</v>
      </c>
      <c r="O292" s="68">
        <f>+M292-SUM(C292:L292)</f>
        <v>-0.10000000055879354</v>
      </c>
    </row>
    <row r="293" spans="2:15" ht="18" hidden="1" customHeight="1">
      <c r="B293" s="59"/>
      <c r="C293" s="88"/>
      <c r="D293" s="87"/>
      <c r="E293" s="87"/>
      <c r="F293" s="87"/>
      <c r="G293" s="87"/>
      <c r="H293" s="87"/>
      <c r="I293" s="87"/>
      <c r="J293" s="87"/>
      <c r="K293" s="57"/>
      <c r="L293" s="87"/>
      <c r="M293" s="88"/>
      <c r="O293" s="68"/>
    </row>
    <row r="294" spans="2:15" ht="18" hidden="1" customHeight="1">
      <c r="B294" s="59" t="s">
        <v>306</v>
      </c>
      <c r="C294" s="88">
        <v>5609469</v>
      </c>
      <c r="D294" s="87">
        <v>558894.69999999995</v>
      </c>
      <c r="E294" s="87">
        <v>349847.2</v>
      </c>
      <c r="F294" s="87">
        <v>125948.5</v>
      </c>
      <c r="G294" s="87">
        <f>916711.5-H294</f>
        <v>912433.1</v>
      </c>
      <c r="H294" s="87">
        <f>1247+3031.4</f>
        <v>4278.3999999999996</v>
      </c>
      <c r="I294" s="87">
        <v>212632.8</v>
      </c>
      <c r="J294" s="87">
        <v>0</v>
      </c>
      <c r="K294" s="87">
        <v>142160.70000000001</v>
      </c>
      <c r="L294" s="87">
        <v>69213.600000000006</v>
      </c>
      <c r="M294" s="88">
        <v>7984878</v>
      </c>
      <c r="O294" s="68">
        <f>+M294-SUM(C294:L294)</f>
        <v>0</v>
      </c>
    </row>
    <row r="295" spans="2:15" ht="18" hidden="1" customHeight="1">
      <c r="B295" s="59"/>
      <c r="C295" s="88"/>
      <c r="D295" s="87"/>
      <c r="E295" s="87"/>
      <c r="F295" s="87"/>
      <c r="G295" s="87"/>
      <c r="H295" s="87"/>
      <c r="I295" s="87"/>
      <c r="J295" s="87"/>
      <c r="K295" s="57"/>
      <c r="L295" s="87"/>
      <c r="M295" s="88"/>
      <c r="O295" s="68"/>
    </row>
    <row r="296" spans="2:15" ht="18" hidden="1" customHeight="1">
      <c r="B296" s="59" t="s">
        <v>307</v>
      </c>
      <c r="C296" s="88">
        <v>5658694.9000000004</v>
      </c>
      <c r="D296" s="87">
        <v>600764.69999999995</v>
      </c>
      <c r="E296" s="87">
        <v>368414.8</v>
      </c>
      <c r="F296" s="87">
        <v>122845.9</v>
      </c>
      <c r="G296" s="87">
        <f>908263.6-H296</f>
        <v>903468.29999999993</v>
      </c>
      <c r="H296" s="87">
        <f>1388.1+3407.2</f>
        <v>4795.2999999999993</v>
      </c>
      <c r="I296" s="87">
        <v>224383.4</v>
      </c>
      <c r="J296" s="87">
        <v>0</v>
      </c>
      <c r="K296" s="87">
        <v>175375.3</v>
      </c>
      <c r="L296" s="87">
        <v>81787.8</v>
      </c>
      <c r="M296" s="88">
        <v>8140530.5</v>
      </c>
      <c r="O296" s="68">
        <f>+M296-SUM(C296:L296)</f>
        <v>9.999999962747097E-2</v>
      </c>
    </row>
    <row r="297" spans="2:15" ht="18" hidden="1" customHeight="1">
      <c r="B297" s="59"/>
      <c r="C297" s="88"/>
      <c r="D297" s="87"/>
      <c r="E297" s="87"/>
      <c r="F297" s="87"/>
      <c r="G297" s="87"/>
      <c r="H297" s="87"/>
      <c r="I297" s="87"/>
      <c r="J297" s="87"/>
      <c r="K297" s="87"/>
      <c r="L297" s="87"/>
      <c r="M297" s="88"/>
      <c r="O297" s="68"/>
    </row>
    <row r="298" spans="2:15" ht="18" hidden="1" customHeight="1">
      <c r="B298" s="59" t="s">
        <v>308</v>
      </c>
      <c r="C298" s="88">
        <v>6530678.0999999996</v>
      </c>
      <c r="D298" s="87">
        <v>602822.69999999995</v>
      </c>
      <c r="E298" s="87">
        <v>424428.3</v>
      </c>
      <c r="F298" s="87">
        <v>151096.9</v>
      </c>
      <c r="G298" s="87">
        <f>854585.6-H298</f>
        <v>853193.2</v>
      </c>
      <c r="H298" s="87">
        <v>1392.4</v>
      </c>
      <c r="I298" s="87">
        <v>449645.3</v>
      </c>
      <c r="J298" s="87">
        <v>0</v>
      </c>
      <c r="K298" s="87">
        <v>118760.4</v>
      </c>
      <c r="L298" s="87">
        <v>85581.2</v>
      </c>
      <c r="M298" s="88">
        <v>9217598.4000000004</v>
      </c>
      <c r="O298" s="68">
        <f>+M298-SUM(C298:L298)</f>
        <v>-9.999999962747097E-2</v>
      </c>
    </row>
    <row r="299" spans="2:15" ht="18" hidden="1" customHeight="1">
      <c r="B299" s="59"/>
      <c r="C299" s="88"/>
      <c r="D299" s="87"/>
      <c r="E299" s="87"/>
      <c r="F299" s="87"/>
      <c r="G299" s="87"/>
      <c r="H299" s="87"/>
      <c r="I299" s="87"/>
      <c r="J299" s="87"/>
      <c r="K299" s="87"/>
      <c r="L299" s="87"/>
      <c r="M299" s="88"/>
      <c r="O299" s="68"/>
    </row>
    <row r="300" spans="2:15" ht="18" hidden="1" customHeight="1">
      <c r="B300" s="59" t="s">
        <v>311</v>
      </c>
      <c r="C300" s="88">
        <v>6866977.7000000002</v>
      </c>
      <c r="D300" s="87">
        <v>748523.9</v>
      </c>
      <c r="E300" s="87">
        <v>445942.9</v>
      </c>
      <c r="F300" s="87">
        <v>161674.5</v>
      </c>
      <c r="G300" s="87">
        <f>598959.9-H300</f>
        <v>597683.9</v>
      </c>
      <c r="H300" s="87">
        <v>1276</v>
      </c>
      <c r="I300" s="87">
        <v>147977.29999999999</v>
      </c>
      <c r="J300" s="87">
        <v>0</v>
      </c>
      <c r="K300" s="87">
        <v>150469.6</v>
      </c>
      <c r="L300" s="87">
        <v>98529.3</v>
      </c>
      <c r="M300" s="88">
        <v>9219055.0999999996</v>
      </c>
      <c r="O300" s="68">
        <f>+M300-SUM(C300:L300)</f>
        <v>0</v>
      </c>
    </row>
    <row r="301" spans="2:15" ht="18" hidden="1" customHeight="1">
      <c r="B301" s="59"/>
      <c r="C301" s="88"/>
      <c r="D301" s="87"/>
      <c r="E301" s="87"/>
      <c r="F301" s="87"/>
      <c r="G301" s="87"/>
      <c r="H301" s="87"/>
      <c r="I301" s="87"/>
      <c r="J301" s="87"/>
      <c r="K301" s="87"/>
      <c r="L301" s="87"/>
      <c r="M301" s="88"/>
      <c r="O301" s="68"/>
    </row>
    <row r="302" spans="2:15" ht="18" hidden="1" customHeight="1">
      <c r="B302" s="57">
        <v>2005</v>
      </c>
      <c r="C302" s="88"/>
      <c r="D302" s="87"/>
      <c r="E302" s="87"/>
      <c r="F302" s="87"/>
      <c r="G302" s="87"/>
      <c r="H302" s="87"/>
      <c r="I302" s="87"/>
      <c r="J302" s="87"/>
      <c r="K302" s="87"/>
      <c r="L302" s="87"/>
      <c r="M302" s="88"/>
      <c r="O302" s="68"/>
    </row>
    <row r="303" spans="2:15" ht="18" hidden="1" customHeight="1">
      <c r="B303" s="57"/>
      <c r="C303" s="88"/>
      <c r="D303" s="87"/>
      <c r="E303" s="87"/>
      <c r="F303" s="87"/>
      <c r="G303" s="87"/>
      <c r="H303" s="87"/>
      <c r="I303" s="87"/>
      <c r="J303" s="87"/>
      <c r="K303" s="87"/>
      <c r="L303" s="87"/>
      <c r="M303" s="88"/>
      <c r="O303" s="68"/>
    </row>
    <row r="304" spans="2:15" ht="18" hidden="1" customHeight="1">
      <c r="B304" s="128" t="s">
        <v>298</v>
      </c>
      <c r="C304" s="88">
        <v>7251383.9000000004</v>
      </c>
      <c r="D304" s="87">
        <v>894769.6</v>
      </c>
      <c r="E304" s="87">
        <v>552236.1</v>
      </c>
      <c r="F304" s="87">
        <v>192480.7</v>
      </c>
      <c r="G304" s="87">
        <f>722253.4-H304</f>
        <v>714388.20000000007</v>
      </c>
      <c r="H304" s="87">
        <f>1316.3+6548.9</f>
        <v>7865.2</v>
      </c>
      <c r="I304" s="87">
        <v>210723.8</v>
      </c>
      <c r="J304" s="87">
        <v>0</v>
      </c>
      <c r="K304" s="87">
        <v>194144.3</v>
      </c>
      <c r="L304" s="87">
        <v>112410.2</v>
      </c>
      <c r="M304" s="88">
        <v>10130401.800000001</v>
      </c>
      <c r="O304" s="68">
        <f>+M304-SUM(C304:L304)</f>
        <v>-0.19999999739229679</v>
      </c>
    </row>
    <row r="305" spans="2:15" ht="18" hidden="1" customHeight="1">
      <c r="B305" s="57"/>
      <c r="C305" s="88"/>
      <c r="D305" s="87"/>
      <c r="E305" s="87"/>
      <c r="F305" s="87"/>
      <c r="G305" s="87"/>
      <c r="H305" s="87"/>
      <c r="I305" s="87"/>
      <c r="J305" s="87"/>
      <c r="K305" s="87"/>
      <c r="L305" s="87"/>
      <c r="M305" s="88"/>
      <c r="O305" s="68"/>
    </row>
    <row r="306" spans="2:15" ht="18" hidden="1" customHeight="1">
      <c r="B306" s="59" t="s">
        <v>299</v>
      </c>
      <c r="C306" s="88">
        <v>8460162.8000000007</v>
      </c>
      <c r="D306" s="87">
        <v>1015265.9</v>
      </c>
      <c r="E306" s="87">
        <v>691488.3</v>
      </c>
      <c r="F306" s="87">
        <v>236675.7</v>
      </c>
      <c r="G306" s="87">
        <f>783741.7-H306</f>
        <v>774814.89999999991</v>
      </c>
      <c r="H306" s="87">
        <f>504.3+8422.5</f>
        <v>8926.7999999999993</v>
      </c>
      <c r="I306" s="87">
        <v>271471.5</v>
      </c>
      <c r="J306" s="87">
        <v>0</v>
      </c>
      <c r="K306" s="87">
        <v>178775.4</v>
      </c>
      <c r="L306" s="87">
        <v>108293.3</v>
      </c>
      <c r="M306" s="88">
        <v>11745874.5</v>
      </c>
      <c r="O306" s="68">
        <f>+M306-SUM(C306:L306)</f>
        <v>-0.10000000335276127</v>
      </c>
    </row>
    <row r="307" spans="2:15" ht="18" hidden="1" customHeight="1">
      <c r="B307" s="59"/>
      <c r="C307" s="88"/>
      <c r="D307" s="87"/>
      <c r="E307" s="87"/>
      <c r="F307" s="87"/>
      <c r="G307" s="87"/>
      <c r="H307" s="87"/>
      <c r="I307" s="87"/>
      <c r="J307" s="87"/>
      <c r="K307" s="87"/>
      <c r="L307" s="87"/>
      <c r="M307" s="88"/>
      <c r="O307" s="68"/>
    </row>
    <row r="308" spans="2:15" ht="18" hidden="1" customHeight="1">
      <c r="B308" s="59" t="s">
        <v>300</v>
      </c>
      <c r="C308" s="88">
        <v>9460760</v>
      </c>
      <c r="D308" s="87">
        <v>1142776</v>
      </c>
      <c r="E308" s="87">
        <v>835716.2</v>
      </c>
      <c r="F308" s="87">
        <v>297118</v>
      </c>
      <c r="G308" s="87">
        <f>695399.4-H308</f>
        <v>687944.6</v>
      </c>
      <c r="H308" s="87">
        <f>658.5+6796.3</f>
        <v>7454.8</v>
      </c>
      <c r="I308" s="87">
        <v>223961.5</v>
      </c>
      <c r="J308" s="87">
        <v>0</v>
      </c>
      <c r="K308" s="87">
        <v>176367.3</v>
      </c>
      <c r="L308" s="87">
        <v>149717.9</v>
      </c>
      <c r="M308" s="88">
        <v>12981816.4</v>
      </c>
      <c r="O308" s="68">
        <f>+M308-SUM(C308:L308)</f>
        <v>9.999999962747097E-2</v>
      </c>
    </row>
    <row r="309" spans="2:15" ht="18" hidden="1" customHeight="1">
      <c r="B309" s="59"/>
      <c r="C309" s="88"/>
      <c r="D309" s="87"/>
      <c r="E309" s="87"/>
      <c r="F309" s="87"/>
      <c r="G309" s="87"/>
      <c r="H309" s="87"/>
      <c r="I309" s="87"/>
      <c r="J309" s="87"/>
      <c r="K309" s="87"/>
      <c r="L309" s="87"/>
      <c r="M309" s="88"/>
      <c r="O309" s="68"/>
    </row>
    <row r="310" spans="2:15" ht="18" hidden="1" customHeight="1">
      <c r="B310" s="59" t="s">
        <v>301</v>
      </c>
      <c r="C310" s="88">
        <v>10419178.6</v>
      </c>
      <c r="D310" s="87">
        <v>1408848.9</v>
      </c>
      <c r="E310" s="87">
        <v>919486.9</v>
      </c>
      <c r="F310" s="87">
        <v>323322.40000000002</v>
      </c>
      <c r="G310" s="87">
        <f>1115509.6-H310</f>
        <v>1106469.1000000001</v>
      </c>
      <c r="H310" s="87">
        <f>661.6+8378.9</f>
        <v>9040.5</v>
      </c>
      <c r="I310" s="87">
        <v>303752</v>
      </c>
      <c r="J310" s="87">
        <v>0</v>
      </c>
      <c r="K310" s="87">
        <v>163452.70000000001</v>
      </c>
      <c r="L310" s="87">
        <v>367961.9</v>
      </c>
      <c r="M310" s="88">
        <v>15021513.1</v>
      </c>
      <c r="O310" s="68">
        <f>+M310-SUM(C310:L310)</f>
        <v>9.999999962747097E-2</v>
      </c>
    </row>
    <row r="311" spans="2:15" ht="18" hidden="1" customHeight="1">
      <c r="B311" s="59"/>
      <c r="C311" s="88"/>
      <c r="D311" s="87"/>
      <c r="E311" s="87"/>
      <c r="F311" s="87"/>
      <c r="G311" s="87"/>
      <c r="H311" s="87"/>
      <c r="I311" s="87"/>
      <c r="J311" s="87"/>
      <c r="K311" s="87"/>
      <c r="L311" s="87"/>
      <c r="M311" s="88"/>
      <c r="O311" s="68"/>
    </row>
    <row r="312" spans="2:15" ht="18" hidden="1" customHeight="1">
      <c r="B312" s="59" t="s">
        <v>302</v>
      </c>
      <c r="C312" s="88">
        <v>12258002.9</v>
      </c>
      <c r="D312" s="87">
        <v>1744136.8</v>
      </c>
      <c r="E312" s="87">
        <v>1049845.2</v>
      </c>
      <c r="F312" s="87">
        <v>373728.4</v>
      </c>
      <c r="G312" s="87">
        <f>1361521.4-H312</f>
        <v>1347451.7</v>
      </c>
      <c r="H312" s="87">
        <f>800.9+13268.8</f>
        <v>14069.699999999999</v>
      </c>
      <c r="I312" s="87">
        <v>429248.1</v>
      </c>
      <c r="J312" s="87">
        <v>0</v>
      </c>
      <c r="K312" s="87">
        <v>218229.8</v>
      </c>
      <c r="L312" s="87">
        <v>300490.3</v>
      </c>
      <c r="M312" s="88">
        <v>17735202.800000001</v>
      </c>
      <c r="O312" s="68">
        <f>+M312-SUM(C312:L312)</f>
        <v>-0.10000000149011612</v>
      </c>
    </row>
    <row r="313" spans="2:15" ht="18" hidden="1" customHeight="1">
      <c r="B313" s="59"/>
      <c r="C313" s="88"/>
      <c r="D313" s="87"/>
      <c r="E313" s="87"/>
      <c r="F313" s="87"/>
      <c r="G313" s="87"/>
      <c r="H313" s="87"/>
      <c r="I313" s="87"/>
      <c r="J313" s="87"/>
      <c r="K313" s="87"/>
      <c r="L313" s="87"/>
      <c r="M313" s="88"/>
      <c r="O313" s="68"/>
    </row>
    <row r="314" spans="2:15" ht="18" hidden="1" customHeight="1">
      <c r="B314" s="59" t="s">
        <v>303</v>
      </c>
      <c r="C314" s="88">
        <v>13108.348699999999</v>
      </c>
      <c r="D314" s="87">
        <v>2138.7755999999999</v>
      </c>
      <c r="E314" s="87">
        <v>1166.3708000000001</v>
      </c>
      <c r="F314" s="87">
        <v>417.54349999999999</v>
      </c>
      <c r="G314" s="87">
        <v>1253.5029000000002</v>
      </c>
      <c r="H314" s="87">
        <v>139.63120000000001</v>
      </c>
      <c r="I314" s="87">
        <v>356.40990000000005</v>
      </c>
      <c r="J314" s="87">
        <v>0</v>
      </c>
      <c r="K314" s="87">
        <v>290.83780000000002</v>
      </c>
      <c r="L314" s="87">
        <v>257.67989999999998</v>
      </c>
      <c r="M314" s="88">
        <v>19129.100300000002</v>
      </c>
      <c r="O314" s="70">
        <f>+M314-SUM(C314:L314)</f>
        <v>0</v>
      </c>
    </row>
    <row r="315" spans="2:15" ht="18" hidden="1" customHeight="1">
      <c r="B315" s="59"/>
      <c r="C315" s="88"/>
      <c r="D315" s="88"/>
      <c r="E315" s="88"/>
      <c r="F315" s="88"/>
      <c r="G315" s="88"/>
      <c r="H315" s="88"/>
      <c r="I315" s="88"/>
      <c r="J315" s="88"/>
      <c r="K315" s="88"/>
      <c r="L315" s="88"/>
      <c r="M315" s="88"/>
      <c r="O315" s="68"/>
    </row>
    <row r="316" spans="2:15" ht="18" hidden="1" customHeight="1">
      <c r="B316" s="59" t="s">
        <v>304</v>
      </c>
      <c r="C316" s="88">
        <v>15739.293800000001</v>
      </c>
      <c r="D316" s="87">
        <v>2185.5198999999998</v>
      </c>
      <c r="E316" s="87">
        <v>1307.1411000000001</v>
      </c>
      <c r="F316" s="87">
        <v>465.15040000000005</v>
      </c>
      <c r="G316" s="87">
        <v>1153.3728000000001</v>
      </c>
      <c r="H316" s="87">
        <v>19.718</v>
      </c>
      <c r="I316" s="87">
        <v>307.77629999999999</v>
      </c>
      <c r="J316" s="87">
        <v>0</v>
      </c>
      <c r="K316" s="87">
        <v>310.7201</v>
      </c>
      <c r="L316" s="87">
        <v>295.51159999999999</v>
      </c>
      <c r="M316" s="88">
        <v>21784.204100000003</v>
      </c>
      <c r="O316" s="70">
        <f>+M316-SUM(C316:L316)</f>
        <v>9.9999997473787516E-5</v>
      </c>
    </row>
    <row r="317" spans="2:15" ht="18" hidden="1" customHeight="1">
      <c r="B317" s="59"/>
      <c r="C317" s="88"/>
      <c r="D317" s="88"/>
      <c r="E317" s="88"/>
      <c r="F317" s="88"/>
      <c r="G317" s="88"/>
      <c r="H317" s="88"/>
      <c r="I317" s="88"/>
      <c r="J317" s="88"/>
      <c r="K317" s="88"/>
      <c r="L317" s="88"/>
      <c r="M317" s="88"/>
      <c r="O317" s="70"/>
    </row>
    <row r="318" spans="2:15" ht="18" hidden="1" customHeight="1">
      <c r="B318" s="59" t="s">
        <v>305</v>
      </c>
      <c r="C318" s="88">
        <v>17608.036600000003</v>
      </c>
      <c r="D318" s="87">
        <v>2127.6687000000002</v>
      </c>
      <c r="E318" s="87">
        <v>1357.1735000000001</v>
      </c>
      <c r="F318" s="87">
        <v>496.53219999999999</v>
      </c>
      <c r="G318" s="87">
        <v>1319.9972</v>
      </c>
      <c r="H318" s="87">
        <v>37.211300000000001</v>
      </c>
      <c r="I318" s="87">
        <v>417.78209999999996</v>
      </c>
      <c r="J318" s="87">
        <v>0</v>
      </c>
      <c r="K318" s="87">
        <v>322.46350000000001</v>
      </c>
      <c r="L318" s="87">
        <v>561.11599999999999</v>
      </c>
      <c r="M318" s="88">
        <v>24247.981</v>
      </c>
      <c r="O318" s="70">
        <f>+M318-SUM(C318:L318)</f>
        <v>-1.0000000474974513E-4</v>
      </c>
    </row>
    <row r="319" spans="2:15" ht="18" hidden="1" customHeight="1">
      <c r="B319" s="59"/>
      <c r="C319" s="88"/>
      <c r="D319" s="88"/>
      <c r="E319" s="88"/>
      <c r="F319" s="88"/>
      <c r="G319" s="88"/>
      <c r="H319" s="88"/>
      <c r="I319" s="88"/>
      <c r="J319" s="88"/>
      <c r="K319" s="88"/>
      <c r="L319" s="88"/>
      <c r="M319" s="88"/>
      <c r="O319" s="70"/>
    </row>
    <row r="320" spans="2:15" ht="18" hidden="1" customHeight="1">
      <c r="B320" s="59" t="s">
        <v>306</v>
      </c>
      <c r="C320" s="88">
        <v>20459.061100000003</v>
      </c>
      <c r="D320" s="87">
        <v>2443.0230000000001</v>
      </c>
      <c r="E320" s="87">
        <v>1550.5656000000001</v>
      </c>
      <c r="F320" s="87">
        <v>528.2989</v>
      </c>
      <c r="G320" s="87">
        <v>1660.243706</v>
      </c>
      <c r="H320" s="87">
        <v>30.540593999999999</v>
      </c>
      <c r="I320" s="87">
        <v>239.14179999999999</v>
      </c>
      <c r="J320" s="87">
        <v>0</v>
      </c>
      <c r="K320" s="87">
        <v>333.82319999999999</v>
      </c>
      <c r="L320" s="87">
        <v>496.18220000000002</v>
      </c>
      <c r="M320" s="88">
        <v>27740.880100000002</v>
      </c>
      <c r="O320" s="70">
        <f>+M320-SUM(C320:L320)</f>
        <v>0</v>
      </c>
    </row>
    <row r="321" spans="2:15" ht="18" hidden="1" customHeight="1">
      <c r="B321" s="59"/>
      <c r="C321" s="88"/>
      <c r="D321" s="88"/>
      <c r="E321" s="88"/>
      <c r="F321" s="88"/>
      <c r="G321" s="88"/>
      <c r="H321" s="88"/>
      <c r="I321" s="88"/>
      <c r="J321" s="88"/>
      <c r="K321" s="88"/>
      <c r="L321" s="88"/>
      <c r="M321" s="88"/>
      <c r="O321" s="70"/>
    </row>
    <row r="322" spans="2:15" ht="18" hidden="1" customHeight="1">
      <c r="B322" s="59" t="s">
        <v>307</v>
      </c>
      <c r="C322" s="88">
        <v>29719.078399999999</v>
      </c>
      <c r="D322" s="87">
        <v>3180.0987</v>
      </c>
      <c r="E322" s="87">
        <v>1799.3553999999999</v>
      </c>
      <c r="F322" s="87">
        <v>591.58839999999998</v>
      </c>
      <c r="G322" s="87">
        <v>1836.487376</v>
      </c>
      <c r="H322" s="87">
        <v>63.555024000000003</v>
      </c>
      <c r="I322" s="87">
        <v>288.90791500000006</v>
      </c>
      <c r="J322" s="87">
        <v>1.9007850000000002</v>
      </c>
      <c r="K322" s="87">
        <v>317.71179999999998</v>
      </c>
      <c r="L322" s="87">
        <v>887.64569999999992</v>
      </c>
      <c r="M322" s="88">
        <v>38686.329399999995</v>
      </c>
      <c r="O322" s="70">
        <f>+M322-SUM(C322:L322)</f>
        <v>-1.0000000474974513E-4</v>
      </c>
    </row>
    <row r="323" spans="2:15" ht="18" hidden="1" customHeight="1">
      <c r="B323" s="59"/>
      <c r="C323" s="88"/>
      <c r="D323" s="88"/>
      <c r="E323" s="88"/>
      <c r="F323" s="88"/>
      <c r="G323" s="88"/>
      <c r="H323" s="88"/>
      <c r="I323" s="88"/>
      <c r="J323" s="88"/>
      <c r="K323" s="88"/>
      <c r="L323" s="88"/>
      <c r="M323" s="88"/>
      <c r="O323" s="70"/>
    </row>
    <row r="324" spans="2:15" ht="18" hidden="1" customHeight="1">
      <c r="B324" s="59" t="s">
        <v>308</v>
      </c>
      <c r="C324" s="88">
        <v>33173.067600000002</v>
      </c>
      <c r="D324" s="87">
        <v>6901.9746999999998</v>
      </c>
      <c r="E324" s="87">
        <v>2322.5358999999999</v>
      </c>
      <c r="F324" s="87">
        <v>670.06359999999995</v>
      </c>
      <c r="G324" s="87">
        <v>3186.0017820000003</v>
      </c>
      <c r="H324" s="87">
        <v>74.793418000000003</v>
      </c>
      <c r="I324" s="87">
        <v>497.9864</v>
      </c>
      <c r="J324" s="87">
        <v>0</v>
      </c>
      <c r="K324" s="87">
        <v>582.32119999999998</v>
      </c>
      <c r="L324" s="87">
        <v>630.13760000000002</v>
      </c>
      <c r="M324" s="88">
        <v>48038.8822</v>
      </c>
      <c r="O324" s="70">
        <f>+M324-SUM(C324:L324)</f>
        <v>0</v>
      </c>
    </row>
    <row r="325" spans="2:15" ht="18" hidden="1" customHeight="1">
      <c r="B325" s="59"/>
      <c r="C325" s="88"/>
      <c r="D325" s="88"/>
      <c r="E325" s="88"/>
      <c r="F325" s="88"/>
      <c r="G325" s="88"/>
      <c r="H325" s="88"/>
      <c r="I325" s="88"/>
      <c r="J325" s="88"/>
      <c r="K325" s="88"/>
      <c r="L325" s="88"/>
      <c r="M325" s="88"/>
      <c r="O325" s="70"/>
    </row>
    <row r="326" spans="2:15" ht="18" hidden="1" customHeight="1">
      <c r="B326" s="59" t="s">
        <v>311</v>
      </c>
      <c r="C326" s="88">
        <v>44458.085599999999</v>
      </c>
      <c r="D326" s="87">
        <v>6355.8287</v>
      </c>
      <c r="E326" s="87">
        <v>2570.5097999999998</v>
      </c>
      <c r="F326" s="87">
        <v>714.3728000000001</v>
      </c>
      <c r="G326" s="87">
        <v>3690.0936920000004</v>
      </c>
      <c r="H326" s="87">
        <v>150.04050799999999</v>
      </c>
      <c r="I326" s="87">
        <v>780.94389999999999</v>
      </c>
      <c r="J326" s="87">
        <v>0</v>
      </c>
      <c r="K326" s="87">
        <v>622.26909999999998</v>
      </c>
      <c r="L326" s="87">
        <v>784.202</v>
      </c>
      <c r="M326" s="88">
        <v>60126.346100000002</v>
      </c>
      <c r="O326" s="70">
        <f>+M326-SUM(C326:L326)</f>
        <v>0</v>
      </c>
    </row>
    <row r="327" spans="2:15" ht="18" hidden="1" customHeight="1">
      <c r="B327" s="59"/>
      <c r="C327" s="88"/>
      <c r="D327" s="88"/>
      <c r="E327" s="88"/>
      <c r="F327" s="88"/>
      <c r="G327" s="88"/>
      <c r="H327" s="88"/>
      <c r="I327" s="88"/>
      <c r="J327" s="88"/>
      <c r="K327" s="88"/>
      <c r="L327" s="88"/>
      <c r="M327" s="88"/>
      <c r="O327" s="70"/>
    </row>
    <row r="328" spans="2:15" ht="18" hidden="1" customHeight="1">
      <c r="B328" s="57">
        <v>2006</v>
      </c>
      <c r="C328" s="88"/>
      <c r="D328" s="87"/>
      <c r="E328" s="87"/>
      <c r="F328" s="87"/>
      <c r="G328" s="87"/>
      <c r="H328" s="87"/>
      <c r="I328" s="87"/>
      <c r="J328" s="87"/>
      <c r="K328" s="87"/>
      <c r="L328" s="87"/>
      <c r="M328" s="88"/>
      <c r="O328" s="70"/>
    </row>
    <row r="329" spans="2:15" ht="18" hidden="1" customHeight="1">
      <c r="B329" s="59"/>
      <c r="C329" s="88"/>
      <c r="D329" s="87"/>
      <c r="E329" s="87"/>
      <c r="F329" s="87"/>
      <c r="G329" s="87"/>
      <c r="H329" s="87"/>
      <c r="I329" s="87"/>
      <c r="J329" s="87"/>
      <c r="K329" s="87"/>
      <c r="L329" s="87"/>
      <c r="M329" s="88"/>
      <c r="O329" s="70"/>
    </row>
    <row r="330" spans="2:15" ht="18" hidden="1" customHeight="1">
      <c r="B330" s="128" t="s">
        <v>298</v>
      </c>
      <c r="C330" s="88">
        <v>50920.387000000002</v>
      </c>
      <c r="D330" s="87">
        <v>7380.2740999999996</v>
      </c>
      <c r="E330" s="87">
        <v>2898.4112999999998</v>
      </c>
      <c r="F330" s="87">
        <v>849.7586</v>
      </c>
      <c r="G330" s="87">
        <v>4731.0869789999997</v>
      </c>
      <c r="H330" s="87">
        <v>193.70412100000001</v>
      </c>
      <c r="I330" s="87">
        <v>735.00780000000009</v>
      </c>
      <c r="J330" s="87">
        <v>0</v>
      </c>
      <c r="K330" s="87">
        <v>885.59940000000006</v>
      </c>
      <c r="L330" s="87">
        <v>595.28909999999996</v>
      </c>
      <c r="M330" s="88">
        <v>69189.518299999996</v>
      </c>
      <c r="O330" s="70">
        <f>+M330-SUM(C330:L330)</f>
        <v>-1.0000001930166036E-4</v>
      </c>
    </row>
    <row r="331" spans="2:15" ht="18" hidden="1" customHeight="1">
      <c r="B331" s="128"/>
      <c r="C331" s="88"/>
      <c r="D331" s="88"/>
      <c r="E331" s="88"/>
      <c r="F331" s="88"/>
      <c r="G331" s="88"/>
      <c r="H331" s="88"/>
      <c r="I331" s="88"/>
      <c r="J331" s="88"/>
      <c r="K331" s="88"/>
      <c r="L331" s="88"/>
      <c r="M331" s="88"/>
      <c r="O331" s="70">
        <f>+M331-SUM(C331:L331)</f>
        <v>0</v>
      </c>
    </row>
    <row r="332" spans="2:15" ht="18" hidden="1" customHeight="1">
      <c r="B332" s="128" t="s">
        <v>299</v>
      </c>
      <c r="C332" s="88">
        <v>54875.602200000001</v>
      </c>
      <c r="D332" s="87">
        <v>8045.320479</v>
      </c>
      <c r="E332" s="87">
        <v>3812.4425940000001</v>
      </c>
      <c r="F332" s="87">
        <v>1085.515126</v>
      </c>
      <c r="G332" s="87">
        <v>4617.2407010000006</v>
      </c>
      <c r="H332" s="87">
        <v>108.793964</v>
      </c>
      <c r="I332" s="87">
        <v>860.38757099999998</v>
      </c>
      <c r="J332" s="87">
        <v>0</v>
      </c>
      <c r="K332" s="87">
        <v>779.94739200000015</v>
      </c>
      <c r="L332" s="87">
        <v>1383.3539189999999</v>
      </c>
      <c r="M332" s="88">
        <v>75568.603940000001</v>
      </c>
      <c r="O332" s="70">
        <f>+M332-SUM(C332:L332)</f>
        <v>-6.0000020312145352E-6</v>
      </c>
    </row>
    <row r="333" spans="2:15" ht="18" hidden="1" customHeight="1">
      <c r="B333" s="128"/>
      <c r="C333" s="88"/>
      <c r="D333" s="88"/>
      <c r="E333" s="88"/>
      <c r="F333" s="88"/>
      <c r="G333" s="88"/>
      <c r="H333" s="88"/>
      <c r="I333" s="88"/>
      <c r="J333" s="88"/>
      <c r="K333" s="88"/>
      <c r="L333" s="88"/>
      <c r="M333" s="88"/>
      <c r="O333" s="70">
        <f>+M333-SUM(C333:L333)</f>
        <v>0</v>
      </c>
    </row>
    <row r="334" spans="2:15" ht="18" hidden="1" customHeight="1">
      <c r="B334" s="128" t="s">
        <v>300</v>
      </c>
      <c r="C334" s="88">
        <v>59968.214899999999</v>
      </c>
      <c r="D334" s="87">
        <v>8293.6327729999994</v>
      </c>
      <c r="E334" s="87">
        <v>3755.5837200000001</v>
      </c>
      <c r="F334" s="87">
        <v>1258.3493640000002</v>
      </c>
      <c r="G334" s="87">
        <v>6991.0003580000002</v>
      </c>
      <c r="H334" s="87">
        <v>96.652326000000002</v>
      </c>
      <c r="I334" s="87">
        <v>1137.7719999999999</v>
      </c>
      <c r="J334" s="87">
        <v>0</v>
      </c>
      <c r="K334" s="87">
        <v>600.60714899999994</v>
      </c>
      <c r="L334" s="87">
        <v>1487.5017740000001</v>
      </c>
      <c r="M334" s="88">
        <v>83589.314393000008</v>
      </c>
      <c r="O334" s="70">
        <f>+M334-SUM(C334:L334)</f>
        <v>2.9000017093494534E-5</v>
      </c>
    </row>
    <row r="335" spans="2:15" ht="18" hidden="1" customHeight="1">
      <c r="B335" s="128"/>
      <c r="C335" s="88"/>
      <c r="D335" s="88"/>
      <c r="E335" s="88"/>
      <c r="F335" s="88"/>
      <c r="G335" s="88"/>
      <c r="H335" s="88"/>
      <c r="I335" s="88"/>
      <c r="J335" s="88"/>
      <c r="K335" s="88"/>
      <c r="L335" s="88"/>
      <c r="M335" s="88"/>
      <c r="O335" s="70"/>
    </row>
    <row r="336" spans="2:15" ht="18" hidden="1" customHeight="1">
      <c r="B336" s="59" t="s">
        <v>301</v>
      </c>
      <c r="C336" s="88">
        <v>71375.704799999992</v>
      </c>
      <c r="D336" s="87">
        <v>11606.390300000001</v>
      </c>
      <c r="E336" s="87">
        <v>4103.0806000000002</v>
      </c>
      <c r="F336" s="87">
        <v>1378.6020000000001</v>
      </c>
      <c r="G336" s="87">
        <v>8418.6485339999999</v>
      </c>
      <c r="H336" s="87">
        <v>9.1539660000000005</v>
      </c>
      <c r="I336" s="87">
        <v>1174.5434</v>
      </c>
      <c r="J336" s="87">
        <v>0</v>
      </c>
      <c r="K336" s="87">
        <v>939.40599999999995</v>
      </c>
      <c r="L336" s="87">
        <v>1986.0967000000001</v>
      </c>
      <c r="M336" s="88">
        <v>100991.6263</v>
      </c>
      <c r="O336" s="70">
        <f>+M336-SUM(C336:L336)</f>
        <v>0</v>
      </c>
    </row>
    <row r="337" spans="2:15" ht="18" hidden="1" customHeight="1">
      <c r="B337" s="59"/>
      <c r="C337" s="88"/>
      <c r="D337" s="88"/>
      <c r="E337" s="88"/>
      <c r="F337" s="88"/>
      <c r="G337" s="88"/>
      <c r="H337" s="88"/>
      <c r="I337" s="88"/>
      <c r="J337" s="88"/>
      <c r="K337" s="88"/>
      <c r="L337" s="88"/>
      <c r="M337" s="88"/>
      <c r="O337" s="70"/>
    </row>
    <row r="338" spans="2:15" ht="18" hidden="1" customHeight="1">
      <c r="B338" s="59" t="s">
        <v>302</v>
      </c>
      <c r="C338" s="88">
        <v>96868.866399999999</v>
      </c>
      <c r="D338" s="88">
        <v>14550.0406</v>
      </c>
      <c r="E338" s="88">
        <v>5416.0890999999992</v>
      </c>
      <c r="F338" s="88">
        <v>1645.0107</v>
      </c>
      <c r="G338" s="88">
        <v>9783.0609730000015</v>
      </c>
      <c r="H338" s="88">
        <v>9.1438269999999999</v>
      </c>
      <c r="I338" s="88">
        <v>1616.5519999999999</v>
      </c>
      <c r="J338" s="88">
        <v>0</v>
      </c>
      <c r="K338" s="88">
        <v>888.89790000000005</v>
      </c>
      <c r="L338" s="88">
        <v>3581.3919999999998</v>
      </c>
      <c r="M338" s="88">
        <v>134359.0534</v>
      </c>
      <c r="O338" s="70">
        <f>+M338-SUM(C338:L338)</f>
        <v>-1.0000000474974513E-4</v>
      </c>
    </row>
    <row r="339" spans="2:15" ht="18" hidden="1" customHeight="1">
      <c r="B339" s="59"/>
      <c r="C339" s="88"/>
      <c r="D339" s="88"/>
      <c r="E339" s="88"/>
      <c r="F339" s="88"/>
      <c r="G339" s="88"/>
      <c r="H339" s="88"/>
      <c r="I339" s="88"/>
      <c r="J339" s="88"/>
      <c r="K339" s="88"/>
      <c r="L339" s="88"/>
      <c r="M339" s="88"/>
      <c r="O339" s="70"/>
    </row>
    <row r="340" spans="2:15" ht="18" hidden="1" customHeight="1">
      <c r="B340" s="59" t="s">
        <v>303</v>
      </c>
      <c r="C340" s="88">
        <v>113252.37479999999</v>
      </c>
      <c r="D340" s="87">
        <v>18799.412800000002</v>
      </c>
      <c r="E340" s="87">
        <v>6266.4134000000004</v>
      </c>
      <c r="F340" s="87">
        <v>417.54349999999999</v>
      </c>
      <c r="G340" s="87">
        <v>17963.246234000002</v>
      </c>
      <c r="H340" s="87">
        <v>9.0678660000000004</v>
      </c>
      <c r="I340" s="87">
        <v>1038.501</v>
      </c>
      <c r="J340" s="87">
        <v>0</v>
      </c>
      <c r="K340" s="87">
        <v>290.83780000000002</v>
      </c>
      <c r="L340" s="87">
        <v>4673.4547999999995</v>
      </c>
      <c r="M340" s="88">
        <v>162710.85209999999</v>
      </c>
      <c r="O340" s="70">
        <f>+M340-SUM(C340:L340)</f>
        <v>-9.9999975645914674E-5</v>
      </c>
    </row>
    <row r="341" spans="2:15" ht="18" hidden="1" customHeight="1">
      <c r="B341" s="59"/>
      <c r="C341" s="88"/>
      <c r="D341" s="88"/>
      <c r="E341" s="88"/>
      <c r="F341" s="88"/>
      <c r="G341" s="88"/>
      <c r="H341" s="88"/>
      <c r="I341" s="88"/>
      <c r="J341" s="88"/>
      <c r="K341" s="88"/>
      <c r="L341" s="88"/>
      <c r="M341" s="88"/>
      <c r="O341" s="70"/>
    </row>
    <row r="342" spans="2:15" ht="18" hidden="1" customHeight="1">
      <c r="B342" s="59" t="s">
        <v>304</v>
      </c>
      <c r="C342" s="88">
        <v>152496.65969999999</v>
      </c>
      <c r="D342" s="87">
        <v>23494.3714</v>
      </c>
      <c r="E342" s="87">
        <v>9608.7911000000004</v>
      </c>
      <c r="F342" s="87">
        <v>2982.0386000000003</v>
      </c>
      <c r="G342" s="87">
        <v>16784.658330999999</v>
      </c>
      <c r="H342" s="87">
        <v>9.1063690000000008</v>
      </c>
      <c r="I342" s="87">
        <v>3853.8112000000001</v>
      </c>
      <c r="J342" s="87">
        <v>0</v>
      </c>
      <c r="K342" s="87">
        <v>2090.1223999999997</v>
      </c>
      <c r="L342" s="87">
        <v>4807.7777000000006</v>
      </c>
      <c r="M342" s="88">
        <v>216127.33680000002</v>
      </c>
      <c r="O342" s="70">
        <f>+M342-SUM(C342:L342)</f>
        <v>0</v>
      </c>
    </row>
    <row r="343" spans="2:15" ht="18" hidden="1" customHeight="1">
      <c r="B343" s="59"/>
      <c r="C343" s="88"/>
      <c r="D343" s="87"/>
      <c r="E343" s="87"/>
      <c r="F343" s="87"/>
      <c r="G343" s="87"/>
      <c r="H343" s="87"/>
      <c r="I343" s="87"/>
      <c r="J343" s="87"/>
      <c r="K343" s="87"/>
      <c r="L343" s="87"/>
      <c r="M343" s="88"/>
      <c r="O343" s="70"/>
    </row>
    <row r="344" spans="2:15" ht="18" hidden="1" customHeight="1">
      <c r="B344" s="59" t="s">
        <v>305</v>
      </c>
      <c r="C344" s="88">
        <v>247987.20000000001</v>
      </c>
      <c r="D344" s="87">
        <v>45370.400000000001</v>
      </c>
      <c r="E344" s="87">
        <v>1848.3</v>
      </c>
      <c r="F344" s="87">
        <v>4197</v>
      </c>
      <c r="G344" s="87">
        <f>15566.1-H344</f>
        <v>15081.1</v>
      </c>
      <c r="H344" s="87">
        <f>20.5+464.5</f>
        <v>485</v>
      </c>
      <c r="I344" s="87">
        <v>1153.9000000000001</v>
      </c>
      <c r="J344" s="87">
        <v>0</v>
      </c>
      <c r="K344" s="87">
        <v>2585.9</v>
      </c>
      <c r="L344" s="87">
        <v>1131.0999999999999</v>
      </c>
      <c r="M344" s="88">
        <v>319839.8</v>
      </c>
      <c r="O344" s="70">
        <f>+M344-SUM(C344:L344)</f>
        <v>-0.1000000000349246</v>
      </c>
    </row>
    <row r="345" spans="2:15" ht="18" hidden="1" customHeight="1">
      <c r="B345" s="59"/>
      <c r="C345" s="88"/>
      <c r="D345" s="87"/>
      <c r="E345" s="87"/>
      <c r="F345" s="87"/>
      <c r="G345" s="87"/>
      <c r="H345" s="87"/>
      <c r="I345" s="87"/>
      <c r="J345" s="87"/>
      <c r="K345" s="87"/>
      <c r="L345" s="87"/>
      <c r="M345" s="88"/>
      <c r="O345" s="70"/>
    </row>
    <row r="346" spans="2:15" ht="18" hidden="1" customHeight="1">
      <c r="B346" s="59" t="s">
        <v>306</v>
      </c>
      <c r="C346" s="88">
        <v>329404.79999999999</v>
      </c>
      <c r="D346" s="87">
        <v>69892.2</v>
      </c>
      <c r="E346" s="87">
        <v>13647</v>
      </c>
      <c r="F346" s="87">
        <v>4565.5</v>
      </c>
      <c r="G346" s="87">
        <f>17573.5-H346</f>
        <v>17113.099999999999</v>
      </c>
      <c r="H346" s="87">
        <f>20.2+440.2</f>
        <v>460.4</v>
      </c>
      <c r="I346" s="87">
        <f>2781-J346</f>
        <v>2781</v>
      </c>
      <c r="J346" s="87">
        <v>0</v>
      </c>
      <c r="K346" s="87">
        <v>1540.8</v>
      </c>
      <c r="L346" s="87">
        <v>8643</v>
      </c>
      <c r="M346" s="88">
        <v>448047.9</v>
      </c>
      <c r="O346" s="70">
        <f>+M346-SUM(C346:L346)</f>
        <v>0.1000000000349246</v>
      </c>
    </row>
    <row r="347" spans="2:15" ht="18" hidden="1" customHeight="1">
      <c r="B347" s="59"/>
      <c r="C347" s="88"/>
      <c r="D347" s="87"/>
      <c r="E347" s="87"/>
      <c r="F347" s="87"/>
      <c r="G347" s="87"/>
      <c r="H347" s="87"/>
      <c r="I347" s="87"/>
      <c r="J347" s="87"/>
      <c r="K347" s="87"/>
      <c r="L347" s="87"/>
      <c r="M347" s="88"/>
      <c r="O347" s="70"/>
    </row>
    <row r="348" spans="2:15" ht="18" hidden="1" customHeight="1">
      <c r="B348" s="59" t="s">
        <v>307</v>
      </c>
      <c r="C348" s="88">
        <v>417394.1</v>
      </c>
      <c r="D348" s="87">
        <v>76676.899999999994</v>
      </c>
      <c r="E348" s="87">
        <v>17236.7</v>
      </c>
      <c r="F348" s="87">
        <v>5518.1</v>
      </c>
      <c r="G348" s="87">
        <f>72937.9-H348</f>
        <v>72468.599999999991</v>
      </c>
      <c r="H348" s="87">
        <v>469.3</v>
      </c>
      <c r="I348" s="87">
        <f>4730.6-J348</f>
        <v>4730.6000000000004</v>
      </c>
      <c r="J348" s="87">
        <v>0</v>
      </c>
      <c r="K348" s="87">
        <v>1767.3</v>
      </c>
      <c r="L348" s="87">
        <v>9621.2000000000007</v>
      </c>
      <c r="M348" s="88">
        <v>605882.80000000005</v>
      </c>
      <c r="O348" s="70">
        <f>+M348-SUM(C348:L348)</f>
        <v>0</v>
      </c>
    </row>
    <row r="349" spans="2:15" ht="18" hidden="1" customHeight="1">
      <c r="B349" s="59"/>
      <c r="C349" s="88"/>
      <c r="D349" s="87"/>
      <c r="E349" s="87"/>
      <c r="F349" s="87"/>
      <c r="G349" s="87"/>
      <c r="H349" s="87"/>
      <c r="I349" s="87"/>
      <c r="J349" s="87"/>
      <c r="K349" s="87"/>
      <c r="L349" s="87"/>
      <c r="M349" s="88"/>
      <c r="O349" s="70"/>
    </row>
    <row r="350" spans="2:15" ht="18" hidden="1" customHeight="1">
      <c r="B350" s="59" t="s">
        <v>308</v>
      </c>
      <c r="C350" s="88">
        <v>515075.8</v>
      </c>
      <c r="D350" s="88">
        <v>89475.199999999997</v>
      </c>
      <c r="E350" s="88">
        <v>24578.1</v>
      </c>
      <c r="F350" s="88">
        <v>6919.1</v>
      </c>
      <c r="G350" s="88">
        <f>86419.9-H350</f>
        <v>86025.7</v>
      </c>
      <c r="H350" s="88">
        <v>394.2</v>
      </c>
      <c r="I350" s="88">
        <f>10561.1-J350</f>
        <v>10561.1</v>
      </c>
      <c r="J350" s="88">
        <v>0</v>
      </c>
      <c r="K350" s="88">
        <v>4246.8999999999996</v>
      </c>
      <c r="L350" s="88">
        <v>17446.7</v>
      </c>
      <c r="M350" s="88">
        <v>754722.8</v>
      </c>
      <c r="O350" s="70">
        <f>+M350-SUM(C350:L350)</f>
        <v>0</v>
      </c>
    </row>
    <row r="351" spans="2:15" ht="18" hidden="1" customHeight="1">
      <c r="B351" s="59"/>
      <c r="C351" s="88"/>
      <c r="D351" s="88"/>
      <c r="E351" s="88"/>
      <c r="F351" s="88"/>
      <c r="G351" s="88"/>
      <c r="H351" s="88"/>
      <c r="I351" s="88"/>
      <c r="J351" s="88"/>
      <c r="K351" s="88"/>
      <c r="L351" s="88"/>
      <c r="M351" s="88"/>
      <c r="O351" s="70"/>
    </row>
    <row r="352" spans="2:15" ht="18" hidden="1" customHeight="1">
      <c r="B352" s="59" t="s">
        <v>311</v>
      </c>
      <c r="C352" s="88">
        <v>628980.5</v>
      </c>
      <c r="D352" s="88">
        <v>102915.5</v>
      </c>
      <c r="E352" s="88">
        <v>26989.7</v>
      </c>
      <c r="F352" s="88">
        <v>7644.3</v>
      </c>
      <c r="G352" s="88">
        <f>111666.2-H352</f>
        <v>105484.09999999999</v>
      </c>
      <c r="H352" s="88">
        <v>6182.1</v>
      </c>
      <c r="I352" s="88">
        <f>13735.7-J352</f>
        <v>13735.7</v>
      </c>
      <c r="J352" s="88">
        <v>0</v>
      </c>
      <c r="K352" s="88">
        <v>43.7</v>
      </c>
      <c r="L352" s="88">
        <v>26174.799999999999</v>
      </c>
      <c r="M352" s="88">
        <v>918150.3</v>
      </c>
      <c r="O352" s="70">
        <f>+M352-SUM(C352:L352)</f>
        <v>-9.9999999860301614E-2</v>
      </c>
    </row>
    <row r="353" spans="2:15" ht="18" hidden="1" customHeight="1">
      <c r="B353" s="59"/>
      <c r="C353" s="88"/>
      <c r="D353" s="88"/>
      <c r="E353" s="88"/>
      <c r="F353" s="88"/>
      <c r="G353" s="88"/>
      <c r="H353" s="88"/>
      <c r="I353" s="88"/>
      <c r="J353" s="88"/>
      <c r="K353" s="88"/>
      <c r="L353" s="88"/>
      <c r="M353" s="88"/>
      <c r="O353" s="70"/>
    </row>
    <row r="354" spans="2:15" ht="18" hidden="1" customHeight="1">
      <c r="B354" s="57">
        <v>2007</v>
      </c>
      <c r="C354" s="88"/>
      <c r="D354" s="88"/>
      <c r="E354" s="88"/>
      <c r="F354" s="88"/>
      <c r="G354" s="88"/>
      <c r="H354" s="88"/>
      <c r="I354" s="88"/>
      <c r="J354" s="88"/>
      <c r="K354" s="88"/>
      <c r="L354" s="88"/>
      <c r="M354" s="88"/>
      <c r="O354" s="70"/>
    </row>
    <row r="355" spans="2:15" ht="18" hidden="1" customHeight="1">
      <c r="B355" s="59"/>
      <c r="C355" s="88"/>
      <c r="D355" s="88"/>
      <c r="E355" s="88"/>
      <c r="F355" s="88"/>
      <c r="G355" s="88"/>
      <c r="H355" s="88"/>
      <c r="I355" s="88"/>
      <c r="J355" s="88"/>
      <c r="K355" s="88"/>
      <c r="L355" s="88"/>
      <c r="M355" s="88"/>
      <c r="O355" s="70"/>
    </row>
    <row r="356" spans="2:15" ht="18" hidden="1" customHeight="1">
      <c r="B356" s="128" t="s">
        <v>298</v>
      </c>
      <c r="C356" s="88">
        <v>813326.73770727997</v>
      </c>
      <c r="D356" s="88">
        <v>164435.91155627999</v>
      </c>
      <c r="E356" s="88">
        <v>40979.257888</v>
      </c>
      <c r="F356" s="88">
        <v>11383.7</v>
      </c>
      <c r="G356" s="88">
        <f>113008.055-H356</f>
        <v>112697.55499999999</v>
      </c>
      <c r="H356" s="88">
        <v>310.5</v>
      </c>
      <c r="I356" s="88">
        <f>32545.866-J356</f>
        <v>32122.266000000003</v>
      </c>
      <c r="J356" s="88">
        <v>423.6</v>
      </c>
      <c r="K356" s="88">
        <v>870.022246</v>
      </c>
      <c r="L356" s="88">
        <v>36528.247565999998</v>
      </c>
      <c r="M356" s="88">
        <v>1213077.77208856</v>
      </c>
      <c r="O356" s="70">
        <f>+M354-SUM(C354:L354)</f>
        <v>0</v>
      </c>
    </row>
    <row r="357" spans="2:15" ht="18" hidden="1" customHeight="1">
      <c r="B357" s="128"/>
      <c r="C357" s="88"/>
      <c r="D357" s="88"/>
      <c r="E357" s="88"/>
      <c r="F357" s="88"/>
      <c r="G357" s="88"/>
      <c r="H357" s="88"/>
      <c r="I357" s="88"/>
      <c r="J357" s="88"/>
      <c r="K357" s="88"/>
      <c r="L357" s="88"/>
      <c r="M357" s="88"/>
      <c r="O357" s="70"/>
    </row>
    <row r="358" spans="2:15" ht="18" hidden="1" customHeight="1">
      <c r="B358" s="128" t="s">
        <v>299</v>
      </c>
      <c r="C358" s="88">
        <v>1207773.5</v>
      </c>
      <c r="D358" s="88">
        <v>172778.8</v>
      </c>
      <c r="E358" s="88">
        <v>58693.1</v>
      </c>
      <c r="F358" s="88">
        <v>15146.9</v>
      </c>
      <c r="G358" s="88">
        <f>152426.2-H358</f>
        <v>151937.54</v>
      </c>
      <c r="H358" s="88">
        <f>428.26+60.4</f>
        <v>488.65999999999997</v>
      </c>
      <c r="I358" s="88">
        <f>53430-J358</f>
        <v>53009.11</v>
      </c>
      <c r="J358" s="88">
        <v>420.89</v>
      </c>
      <c r="K358" s="88">
        <v>491.8</v>
      </c>
      <c r="L358" s="88">
        <v>40982.9</v>
      </c>
      <c r="M358" s="88">
        <v>1701723.1</v>
      </c>
      <c r="O358" s="70">
        <f>+M358-SUM(C358:L358)</f>
        <v>-9.9999999860301614E-2</v>
      </c>
    </row>
    <row r="359" spans="2:15" ht="18" hidden="1" customHeight="1">
      <c r="B359" s="128"/>
      <c r="C359" s="88"/>
      <c r="D359" s="88"/>
      <c r="E359" s="88"/>
      <c r="F359" s="88"/>
      <c r="G359" s="88"/>
      <c r="H359" s="88"/>
      <c r="I359" s="88"/>
      <c r="J359" s="88"/>
      <c r="K359" s="88"/>
      <c r="L359" s="88"/>
      <c r="M359" s="88"/>
      <c r="O359" s="70"/>
    </row>
    <row r="360" spans="2:15" ht="18" hidden="1" customHeight="1">
      <c r="B360" s="128" t="s">
        <v>300</v>
      </c>
      <c r="C360" s="88">
        <v>2186928.5</v>
      </c>
      <c r="D360" s="88">
        <v>296259.90000000002</v>
      </c>
      <c r="E360" s="88">
        <v>147693.79999999999</v>
      </c>
      <c r="F360" s="88">
        <v>30938.3</v>
      </c>
      <c r="G360" s="88">
        <f>238495.4-H360</f>
        <v>238029.114</v>
      </c>
      <c r="H360" s="88">
        <f>25+69.6+371.686</f>
        <v>466.28599999999994</v>
      </c>
      <c r="I360" s="88">
        <f>102928.6-J360</f>
        <v>102507.705</v>
      </c>
      <c r="J360" s="88">
        <v>420.89499999999998</v>
      </c>
      <c r="K360" s="88">
        <v>113.1</v>
      </c>
      <c r="L360" s="88">
        <v>43621.3</v>
      </c>
      <c r="M360" s="88">
        <v>3046978.9</v>
      </c>
      <c r="O360" s="70">
        <f>+M360-SUM(C360:L360)</f>
        <v>0</v>
      </c>
    </row>
    <row r="361" spans="2:15" ht="18" hidden="1" customHeight="1">
      <c r="B361" s="128"/>
      <c r="C361" s="88"/>
      <c r="D361" s="88"/>
      <c r="E361" s="88"/>
      <c r="F361" s="88"/>
      <c r="G361" s="88"/>
      <c r="H361" s="88"/>
      <c r="I361" s="88"/>
      <c r="J361" s="88"/>
      <c r="K361" s="88"/>
      <c r="L361" s="88"/>
      <c r="M361" s="88"/>
      <c r="O361" s="70"/>
    </row>
    <row r="362" spans="2:15" ht="18" hidden="1" customHeight="1">
      <c r="B362" s="128" t="s">
        <v>301</v>
      </c>
      <c r="C362" s="88">
        <v>3511128.7</v>
      </c>
      <c r="D362" s="88">
        <v>426911</v>
      </c>
      <c r="E362" s="88">
        <v>155725.6</v>
      </c>
      <c r="F362" s="88">
        <v>38428.199999999997</v>
      </c>
      <c r="G362" s="88">
        <f>343361.4-H362</f>
        <v>342698.64</v>
      </c>
      <c r="H362" s="88">
        <v>662.76</v>
      </c>
      <c r="I362" s="88">
        <f>154848.4-J362</f>
        <v>154427.505</v>
      </c>
      <c r="J362" s="88">
        <v>420.89499999999998</v>
      </c>
      <c r="K362" s="88">
        <v>3638.7</v>
      </c>
      <c r="L362" s="88">
        <v>34155.9</v>
      </c>
      <c r="M362" s="88">
        <v>4668198</v>
      </c>
      <c r="O362" s="70">
        <f>+M362-SUM(C362:L362)</f>
        <v>9.999999962747097E-2</v>
      </c>
    </row>
    <row r="363" spans="2:15" ht="18" hidden="1" customHeight="1">
      <c r="B363" s="128"/>
      <c r="C363" s="88"/>
      <c r="D363" s="88"/>
      <c r="E363" s="88"/>
      <c r="F363" s="88"/>
      <c r="G363" s="88"/>
      <c r="H363" s="88"/>
      <c r="I363" s="88"/>
      <c r="J363" s="88"/>
      <c r="K363" s="88"/>
      <c r="L363" s="88"/>
      <c r="M363" s="88"/>
      <c r="O363" s="70"/>
    </row>
    <row r="364" spans="2:15" ht="18" hidden="1" customHeight="1">
      <c r="B364" s="59" t="s">
        <v>302</v>
      </c>
      <c r="C364" s="88">
        <v>8276328.5</v>
      </c>
      <c r="D364" s="88">
        <v>1245955.8999999999</v>
      </c>
      <c r="E364" s="88">
        <v>326015.8</v>
      </c>
      <c r="F364" s="88">
        <v>54478.8</v>
      </c>
      <c r="G364" s="88">
        <f>351318.2-H364</f>
        <v>350713.16899999999</v>
      </c>
      <c r="H364" s="88">
        <f>25.088+244.148+335.795</f>
        <v>605.03099999999995</v>
      </c>
      <c r="I364" s="88">
        <f>156644.9-J364</f>
        <v>156224.005</v>
      </c>
      <c r="J364" s="88">
        <v>420.89499999999998</v>
      </c>
      <c r="K364" s="88">
        <v>580</v>
      </c>
      <c r="L364" s="88">
        <v>55963.3</v>
      </c>
      <c r="M364" s="88">
        <v>10467285.4</v>
      </c>
      <c r="O364" s="70">
        <f>+M364-SUM(C364:L364)</f>
        <v>0</v>
      </c>
    </row>
    <row r="365" spans="2:15" ht="18" hidden="1" customHeight="1">
      <c r="B365" s="59"/>
      <c r="C365" s="88"/>
      <c r="D365" s="88"/>
      <c r="E365" s="88"/>
      <c r="F365" s="88"/>
      <c r="G365" s="88"/>
      <c r="H365" s="88"/>
      <c r="I365" s="88"/>
      <c r="J365" s="88"/>
      <c r="K365" s="88"/>
      <c r="L365" s="88"/>
      <c r="M365" s="88"/>
      <c r="O365" s="70"/>
    </row>
    <row r="366" spans="2:15" ht="18" hidden="1" customHeight="1">
      <c r="B366" s="59" t="s">
        <v>303</v>
      </c>
      <c r="C366" s="88">
        <v>18598734.5</v>
      </c>
      <c r="D366" s="88">
        <v>2543095.7999999998</v>
      </c>
      <c r="E366" s="88">
        <v>911335.1</v>
      </c>
      <c r="F366" s="88">
        <v>181910.5</v>
      </c>
      <c r="G366" s="88">
        <f>1128088.6-H366</f>
        <v>1127411.2550000001</v>
      </c>
      <c r="H366" s="88">
        <v>677.34500000000003</v>
      </c>
      <c r="I366" s="88">
        <f>623567.6-J366</f>
        <v>623146.70499999996</v>
      </c>
      <c r="J366" s="88">
        <v>420.89499999999998</v>
      </c>
      <c r="K366" s="88">
        <v>2941.8</v>
      </c>
      <c r="L366" s="88">
        <v>149444.5</v>
      </c>
      <c r="M366" s="88">
        <v>24139118.399999999</v>
      </c>
      <c r="O366" s="70">
        <f>+M366-SUM(C366:L366)</f>
        <v>0</v>
      </c>
    </row>
    <row r="367" spans="2:15" ht="18" hidden="1" customHeight="1">
      <c r="B367" s="59"/>
      <c r="C367" s="88"/>
      <c r="D367" s="88"/>
      <c r="E367" s="88"/>
      <c r="F367" s="88"/>
      <c r="G367" s="88"/>
      <c r="H367" s="88"/>
      <c r="I367" s="88"/>
      <c r="J367" s="88"/>
      <c r="K367" s="88"/>
      <c r="L367" s="88"/>
      <c r="M367" s="88"/>
      <c r="O367" s="70"/>
    </row>
    <row r="368" spans="2:15" ht="18" hidden="1" customHeight="1">
      <c r="B368" s="59" t="s">
        <v>304</v>
      </c>
      <c r="C368" s="88">
        <v>28134584.899999999</v>
      </c>
      <c r="D368" s="88">
        <v>4432521</v>
      </c>
      <c r="E368" s="88">
        <v>1454571.7</v>
      </c>
      <c r="F368" s="88">
        <v>279051.59999999998</v>
      </c>
      <c r="G368" s="88">
        <f>2848823.6-H368</f>
        <v>2847994.8960000002</v>
      </c>
      <c r="H368" s="88">
        <f>23.158+441.966+363.58</f>
        <v>828.70399999999995</v>
      </c>
      <c r="I368" s="88">
        <f>1689196.4-J368</f>
        <v>1688775.5049999999</v>
      </c>
      <c r="J368" s="88">
        <v>420.89499999999998</v>
      </c>
      <c r="K368" s="88">
        <v>33799.1</v>
      </c>
      <c r="L368" s="88">
        <v>222436.4</v>
      </c>
      <c r="M368" s="88">
        <v>39094984.700000003</v>
      </c>
      <c r="O368" s="70">
        <f>+M368-SUM(C368:L368)</f>
        <v>0</v>
      </c>
    </row>
    <row r="369" spans="2:15" ht="18" hidden="1" customHeight="1">
      <c r="B369" s="59"/>
      <c r="C369" s="88"/>
      <c r="D369" s="88"/>
      <c r="E369" s="88"/>
      <c r="F369" s="88"/>
      <c r="G369" s="88"/>
      <c r="H369" s="88"/>
      <c r="I369" s="88"/>
      <c r="J369" s="88"/>
      <c r="K369" s="88"/>
      <c r="L369" s="88"/>
      <c r="M369" s="88"/>
      <c r="O369" s="70"/>
    </row>
    <row r="370" spans="2:15" ht="18" hidden="1" customHeight="1">
      <c r="B370" s="59" t="s">
        <v>305</v>
      </c>
      <c r="C370" s="88">
        <v>41754966.100000001</v>
      </c>
      <c r="D370" s="88">
        <v>9363852.1999999993</v>
      </c>
      <c r="E370" s="88">
        <v>2206897.9</v>
      </c>
      <c r="F370" s="88">
        <v>374021.8</v>
      </c>
      <c r="G370" s="88">
        <f>2466266.5-H370</f>
        <v>2465636.0529999998</v>
      </c>
      <c r="H370" s="87">
        <f>302.477+304.3+23.67</f>
        <v>630.447</v>
      </c>
      <c r="I370" s="88">
        <f>2957191.2-J370</f>
        <v>2957166.2</v>
      </c>
      <c r="J370" s="88">
        <v>25</v>
      </c>
      <c r="K370" s="88">
        <v>44033.8</v>
      </c>
      <c r="L370" s="88">
        <v>446859.9</v>
      </c>
      <c r="M370" s="88">
        <v>59614089.299999997</v>
      </c>
      <c r="O370" s="70">
        <f>+M370-SUM(C370:L370)</f>
        <v>-9.9999994039535522E-2</v>
      </c>
    </row>
    <row r="371" spans="2:15" ht="18" hidden="1" customHeight="1">
      <c r="B371" s="59"/>
      <c r="C371" s="88"/>
      <c r="D371" s="88"/>
      <c r="E371" s="88"/>
      <c r="F371" s="88"/>
      <c r="G371" s="88"/>
      <c r="H371" s="87"/>
      <c r="I371" s="88"/>
      <c r="J371" s="88"/>
      <c r="K371" s="88"/>
      <c r="L371" s="88"/>
      <c r="M371" s="88"/>
      <c r="O371" s="70"/>
    </row>
    <row r="372" spans="2:15" ht="18" hidden="1" customHeight="1">
      <c r="B372" s="59" t="s">
        <v>306</v>
      </c>
      <c r="C372" s="88">
        <v>70578508.099999994</v>
      </c>
      <c r="D372" s="88">
        <v>10329733.4</v>
      </c>
      <c r="E372" s="88">
        <v>3543894.8</v>
      </c>
      <c r="F372" s="88">
        <v>503921.6</v>
      </c>
      <c r="G372" s="88">
        <f>5487569.6-H372</f>
        <v>5403509.3999999994</v>
      </c>
      <c r="H372" s="87">
        <f>8746.2+38709.5+36604.5</f>
        <v>84060.2</v>
      </c>
      <c r="I372" s="88">
        <f>3671817.6-J372</f>
        <v>3671817.6</v>
      </c>
      <c r="J372" s="88">
        <v>0</v>
      </c>
      <c r="K372" s="88">
        <v>37661.9</v>
      </c>
      <c r="L372" s="88">
        <v>828444.9</v>
      </c>
      <c r="M372" s="88">
        <v>94981551.900000006</v>
      </c>
      <c r="O372" s="70">
        <f>+M372-SUM(C372:L372)</f>
        <v>0</v>
      </c>
    </row>
    <row r="373" spans="2:15" ht="18" hidden="1" customHeight="1">
      <c r="B373" s="59"/>
      <c r="C373" s="88"/>
      <c r="D373" s="88"/>
      <c r="E373" s="88"/>
      <c r="F373" s="88"/>
      <c r="G373" s="88"/>
      <c r="H373" s="87"/>
      <c r="I373" s="88"/>
      <c r="J373" s="88"/>
      <c r="K373" s="88"/>
      <c r="L373" s="88"/>
      <c r="M373" s="88"/>
      <c r="O373" s="70"/>
    </row>
    <row r="374" spans="2:15" ht="18" hidden="1" customHeight="1">
      <c r="B374" s="59" t="s">
        <v>307</v>
      </c>
      <c r="C374" s="88">
        <v>111918521.40000001</v>
      </c>
      <c r="D374" s="88">
        <v>17890372.5</v>
      </c>
      <c r="E374" s="88">
        <v>6803747.4000000004</v>
      </c>
      <c r="F374" s="88">
        <v>1300215.3999999999</v>
      </c>
      <c r="G374" s="88">
        <f>12683084.9-H374</f>
        <v>12682460.535</v>
      </c>
      <c r="H374" s="87">
        <f>175.465+448.9</f>
        <v>624.36500000000001</v>
      </c>
      <c r="I374" s="88">
        <f>4923161-J374</f>
        <v>4923161</v>
      </c>
      <c r="J374" s="88">
        <v>0</v>
      </c>
      <c r="K374" s="88">
        <v>115051.5</v>
      </c>
      <c r="L374" s="88">
        <v>1109437.8</v>
      </c>
      <c r="M374" s="88">
        <v>156743591.90000001</v>
      </c>
      <c r="O374" s="70">
        <f>+M374-SUM(C374:L374)</f>
        <v>0</v>
      </c>
    </row>
    <row r="375" spans="2:15" ht="18" hidden="1" customHeight="1">
      <c r="B375" s="59"/>
      <c r="C375" s="88"/>
      <c r="D375" s="88"/>
      <c r="E375" s="88"/>
      <c r="F375" s="88"/>
      <c r="G375" s="88"/>
      <c r="H375" s="87"/>
      <c r="I375" s="88"/>
      <c r="J375" s="88"/>
      <c r="K375" s="88"/>
      <c r="L375" s="88"/>
      <c r="M375" s="88"/>
      <c r="O375" s="70"/>
    </row>
    <row r="376" spans="2:15" ht="18" hidden="1" customHeight="1">
      <c r="B376" s="59" t="s">
        <v>308</v>
      </c>
      <c r="C376" s="88">
        <v>298594450.80000001</v>
      </c>
      <c r="D376" s="88">
        <v>49024670.100000001</v>
      </c>
      <c r="E376" s="88">
        <v>20301518.600000001</v>
      </c>
      <c r="F376" s="88">
        <v>2244731.2000000002</v>
      </c>
      <c r="G376" s="88">
        <f>18385150.2-H376</f>
        <v>18337500.02</v>
      </c>
      <c r="H376" s="87">
        <f>2304.39+8182.6+37163.19</f>
        <v>47650.18</v>
      </c>
      <c r="I376" s="88">
        <f>15947352.9-J376</f>
        <v>15919745.200000001</v>
      </c>
      <c r="J376" s="88">
        <v>27607.7</v>
      </c>
      <c r="K376" s="88">
        <v>427233.4</v>
      </c>
      <c r="L376" s="88">
        <v>2444227.4</v>
      </c>
      <c r="M376" s="88">
        <v>407369334.5</v>
      </c>
      <c r="O376" s="70">
        <f>+M376-SUM(C376:L376)</f>
        <v>-9.9999964237213135E-2</v>
      </c>
    </row>
    <row r="377" spans="2:15" ht="18" hidden="1" customHeight="1">
      <c r="B377" s="59"/>
      <c r="C377" s="88"/>
      <c r="D377" s="88"/>
      <c r="E377" s="88"/>
      <c r="F377" s="88"/>
      <c r="G377" s="88"/>
      <c r="H377" s="87"/>
      <c r="I377" s="88"/>
      <c r="J377" s="88"/>
      <c r="K377" s="88"/>
      <c r="L377" s="88"/>
      <c r="M377" s="88"/>
      <c r="O377" s="70"/>
    </row>
    <row r="378" spans="2:15" ht="18" hidden="1" customHeight="1">
      <c r="B378" s="59" t="s">
        <v>311</v>
      </c>
      <c r="C378" s="88">
        <v>419953614.30000001</v>
      </c>
      <c r="D378" s="88">
        <v>86900864.799999997</v>
      </c>
      <c r="E378" s="88">
        <v>37733564.100000001</v>
      </c>
      <c r="F378" s="88">
        <v>4181679.8</v>
      </c>
      <c r="G378" s="88">
        <f>40677489.3-H378</f>
        <v>40577234</v>
      </c>
      <c r="H378" s="87">
        <f>2299.8+37582.6+60372.9</f>
        <v>100255.3</v>
      </c>
      <c r="I378" s="88">
        <v>31108157.600000001</v>
      </c>
      <c r="J378" s="88">
        <v>0</v>
      </c>
      <c r="K378" s="88">
        <v>1371449.4</v>
      </c>
      <c r="L378" s="88">
        <v>2387714.6</v>
      </c>
      <c r="M378" s="88">
        <v>624314533.79999995</v>
      </c>
      <c r="O378" s="70">
        <f>+M378-SUM(C378:L378)</f>
        <v>-0.10000002384185791</v>
      </c>
    </row>
    <row r="379" spans="2:15" ht="18" hidden="1" customHeight="1">
      <c r="B379" s="59"/>
      <c r="C379" s="88"/>
      <c r="D379" s="88"/>
      <c r="E379" s="88"/>
      <c r="F379" s="88"/>
      <c r="G379" s="88"/>
      <c r="H379" s="87"/>
      <c r="I379" s="88"/>
      <c r="J379" s="88"/>
      <c r="K379" s="88"/>
      <c r="L379" s="88"/>
      <c r="M379" s="88"/>
      <c r="O379" s="70"/>
    </row>
    <row r="380" spans="2:15" ht="18" customHeight="1" thickTop="1">
      <c r="B380" s="57">
        <v>2009</v>
      </c>
      <c r="C380" s="88"/>
      <c r="D380" s="88"/>
      <c r="E380" s="88"/>
      <c r="F380" s="88"/>
      <c r="G380" s="88"/>
      <c r="H380" s="87"/>
      <c r="I380" s="88"/>
      <c r="J380" s="88"/>
      <c r="K380" s="88"/>
      <c r="L380" s="88"/>
      <c r="M380" s="88"/>
      <c r="O380" s="70"/>
    </row>
    <row r="381" spans="2:15" ht="18" customHeight="1">
      <c r="B381" s="59"/>
      <c r="C381" s="88"/>
      <c r="D381" s="88"/>
      <c r="E381" s="88"/>
      <c r="F381" s="88"/>
      <c r="G381" s="88"/>
      <c r="H381" s="87"/>
      <c r="I381" s="88"/>
      <c r="J381" s="88"/>
      <c r="K381" s="88"/>
      <c r="L381" s="88"/>
      <c r="M381" s="88"/>
      <c r="O381" s="70"/>
    </row>
    <row r="382" spans="2:15" ht="18" customHeight="1">
      <c r="B382" s="128" t="s">
        <v>298</v>
      </c>
      <c r="C382" s="99">
        <v>255594.3</v>
      </c>
      <c r="D382" s="88">
        <v>41026.9</v>
      </c>
      <c r="E382" s="88">
        <v>30.8</v>
      </c>
      <c r="F382" s="88">
        <v>6.8</v>
      </c>
      <c r="G382" s="88">
        <f>81.1-H382</f>
        <v>81.099999991282758</v>
      </c>
      <c r="H382" s="88">
        <f>((4906.15+24817.8+57448.4)/10000000000)/1000</f>
        <v>8.7172350000000017E-9</v>
      </c>
      <c r="I382" s="88">
        <f>823.6-J382</f>
        <v>638.68100000000004</v>
      </c>
      <c r="J382" s="70">
        <v>184.91900000000001</v>
      </c>
      <c r="K382" s="88">
        <v>5.8568940000000004E-5</v>
      </c>
      <c r="L382" s="88">
        <v>9.5521153999999998E-4</v>
      </c>
      <c r="M382" s="88">
        <v>297563.5</v>
      </c>
      <c r="O382" s="70">
        <f>+M382-SUM(C382:L382)</f>
        <v>-1.0137804783880711E-3</v>
      </c>
    </row>
    <row r="383" spans="2:15" ht="18" customHeight="1">
      <c r="B383" s="128"/>
      <c r="C383" s="99"/>
      <c r="D383" s="88"/>
      <c r="E383" s="88"/>
      <c r="F383" s="88"/>
      <c r="G383" s="88"/>
      <c r="H383" s="88"/>
      <c r="I383" s="88"/>
      <c r="J383" s="70"/>
      <c r="K383" s="88"/>
      <c r="L383" s="88"/>
      <c r="M383" s="88"/>
      <c r="O383" s="70"/>
    </row>
    <row r="384" spans="2:15" ht="18" customHeight="1">
      <c r="B384" s="128" t="s">
        <v>299</v>
      </c>
      <c r="C384" s="99">
        <v>216331.4</v>
      </c>
      <c r="D384" s="88">
        <v>83862.3</v>
      </c>
      <c r="E384" s="88">
        <v>583.9</v>
      </c>
      <c r="F384" s="88">
        <v>10.7</v>
      </c>
      <c r="G384" s="88">
        <f>81382.3-H384</f>
        <v>76.889999999999418</v>
      </c>
      <c r="H384" s="88">
        <v>81305.41</v>
      </c>
      <c r="I384" s="88">
        <f>1008.7-J384</f>
        <v>643.3900000000001</v>
      </c>
      <c r="J384" s="70">
        <v>365.31</v>
      </c>
      <c r="K384" s="88">
        <v>4.9860249E-4</v>
      </c>
      <c r="L384" s="88">
        <v>2.2000000000000002</v>
      </c>
      <c r="M384" s="88">
        <v>383181.5</v>
      </c>
      <c r="O384" s="70">
        <f>+M384-SUM(C384:L384)</f>
        <v>-4.9860263243317604E-4</v>
      </c>
    </row>
    <row r="385" spans="2:15" ht="18" customHeight="1">
      <c r="B385" s="128"/>
      <c r="C385" s="99"/>
      <c r="D385" s="88"/>
      <c r="E385" s="88"/>
      <c r="F385" s="88"/>
      <c r="G385" s="88"/>
      <c r="H385" s="88"/>
      <c r="I385" s="88"/>
      <c r="J385" s="70"/>
      <c r="K385" s="88"/>
      <c r="L385" s="88"/>
      <c r="M385" s="88"/>
      <c r="O385" s="70"/>
    </row>
    <row r="386" spans="2:15" ht="18" customHeight="1">
      <c r="B386" s="128" t="s">
        <v>300</v>
      </c>
      <c r="C386" s="99">
        <v>241580.3</v>
      </c>
      <c r="D386" s="88">
        <v>71828.399999999994</v>
      </c>
      <c r="E386" s="88">
        <v>6454.1</v>
      </c>
      <c r="F386" s="88">
        <v>2987.9</v>
      </c>
      <c r="G386" s="88">
        <f>72612.1-H386</f>
        <v>1933.7350000000006</v>
      </c>
      <c r="H386" s="88">
        <v>70678.365000000005</v>
      </c>
      <c r="I386" s="88">
        <f>1361.2-J386</f>
        <v>1361.2</v>
      </c>
      <c r="J386" s="70">
        <v>0</v>
      </c>
      <c r="K386" s="88">
        <v>1.01274067E-3</v>
      </c>
      <c r="L386" s="88">
        <v>0.3</v>
      </c>
      <c r="M386" s="88">
        <v>396824.4</v>
      </c>
      <c r="O386" s="70">
        <f>+M386-SUM(C386:L386)</f>
        <v>9.8987259436398745E-2</v>
      </c>
    </row>
    <row r="387" spans="2:15" ht="18" customHeight="1">
      <c r="B387" s="128"/>
      <c r="C387" s="99"/>
      <c r="D387" s="88"/>
      <c r="E387" s="88"/>
      <c r="F387" s="88"/>
      <c r="G387" s="88"/>
      <c r="H387" s="88"/>
      <c r="I387" s="88"/>
      <c r="J387" s="70"/>
      <c r="K387" s="88"/>
      <c r="L387" s="88"/>
      <c r="M387" s="88"/>
      <c r="O387" s="70"/>
    </row>
    <row r="388" spans="2:15" ht="18" customHeight="1">
      <c r="B388" s="128" t="s">
        <v>301</v>
      </c>
      <c r="C388" s="99">
        <v>359529.6</v>
      </c>
      <c r="D388" s="88">
        <v>114469.8</v>
      </c>
      <c r="E388" s="88">
        <v>9960.6</v>
      </c>
      <c r="F388" s="88">
        <v>4542.5</v>
      </c>
      <c r="G388" s="88">
        <f>2755.2-H388</f>
        <v>2512.2799999999997</v>
      </c>
      <c r="H388" s="88">
        <v>242.92</v>
      </c>
      <c r="I388" s="88">
        <f>1019.6-J388</f>
        <v>810.67900000000009</v>
      </c>
      <c r="J388" s="70">
        <v>208.92099999999999</v>
      </c>
      <c r="K388" s="88">
        <v>2.1334758100000004E-3</v>
      </c>
      <c r="L388" s="88">
        <v>4.0860808199999999E-3</v>
      </c>
      <c r="M388" s="88">
        <v>492277.2</v>
      </c>
      <c r="O388" s="70">
        <f>+M388-SUM(C388:L388)</f>
        <v>-0.10621955653186888</v>
      </c>
    </row>
    <row r="389" spans="2:15" ht="18" customHeight="1">
      <c r="B389" s="128"/>
      <c r="C389" s="99"/>
      <c r="D389" s="88"/>
      <c r="E389" s="88"/>
      <c r="F389" s="88"/>
      <c r="G389" s="88"/>
      <c r="H389" s="88"/>
      <c r="I389" s="88"/>
      <c r="J389" s="70"/>
      <c r="K389" s="88"/>
      <c r="L389" s="88"/>
      <c r="M389" s="88"/>
      <c r="O389" s="70"/>
    </row>
    <row r="390" spans="2:15" ht="18" customHeight="1">
      <c r="B390" s="128" t="s">
        <v>302</v>
      </c>
      <c r="C390" s="99">
        <v>407837.3</v>
      </c>
      <c r="D390" s="88">
        <v>96469.1</v>
      </c>
      <c r="E390" s="88">
        <v>11035.1</v>
      </c>
      <c r="F390" s="88">
        <v>5467.4</v>
      </c>
      <c r="G390" s="88">
        <f>10234.5-H390</f>
        <v>3138.4539999999997</v>
      </c>
      <c r="H390" s="88">
        <v>7096.0460000000003</v>
      </c>
      <c r="I390" s="88">
        <f>5119-J390</f>
        <v>4662.7070000000003</v>
      </c>
      <c r="J390" s="70">
        <v>456.29300000000001</v>
      </c>
      <c r="K390" s="88">
        <v>1.3735096740000001E-2</v>
      </c>
      <c r="L390" s="88">
        <v>3.0317407989999996E-2</v>
      </c>
      <c r="M390" s="88">
        <v>536162.4</v>
      </c>
      <c r="O390" s="70">
        <f>+M390-SUM(C390:L390)</f>
        <v>-4.4052504817955196E-2</v>
      </c>
    </row>
    <row r="391" spans="2:15" ht="18" customHeight="1">
      <c r="B391" s="128"/>
      <c r="C391" s="99"/>
      <c r="D391" s="88"/>
      <c r="E391" s="88"/>
      <c r="F391" s="88"/>
      <c r="G391" s="87"/>
      <c r="H391" s="87"/>
      <c r="I391" s="88"/>
      <c r="J391" s="88"/>
      <c r="K391" s="88"/>
      <c r="L391" s="88"/>
      <c r="M391" s="88"/>
      <c r="O391" s="70"/>
    </row>
    <row r="392" spans="2:15" ht="18" customHeight="1">
      <c r="B392" s="128" t="s">
        <v>303</v>
      </c>
      <c r="C392" s="99">
        <v>459520</v>
      </c>
      <c r="D392" s="88">
        <v>182878.4</v>
      </c>
      <c r="E392" s="88">
        <v>13382.1</v>
      </c>
      <c r="F392" s="88">
        <v>6749.5</v>
      </c>
      <c r="G392" s="87">
        <f>19136.2-H392</f>
        <v>19136.2</v>
      </c>
      <c r="H392" s="87"/>
      <c r="I392" s="88">
        <f>13948.5-J392</f>
        <v>13948.5</v>
      </c>
      <c r="J392" s="88"/>
      <c r="K392" s="88">
        <v>0</v>
      </c>
      <c r="L392" s="88">
        <v>0</v>
      </c>
      <c r="M392" s="88">
        <v>695614.7</v>
      </c>
      <c r="O392" s="70">
        <f>+M392-SUM(C392:L392)</f>
        <v>0</v>
      </c>
    </row>
    <row r="393" spans="2:15" ht="18" hidden="1" customHeight="1">
      <c r="B393" s="128"/>
      <c r="C393" s="99"/>
      <c r="D393" s="88"/>
      <c r="E393" s="88"/>
      <c r="F393" s="88"/>
      <c r="G393" s="87"/>
      <c r="H393" s="87"/>
      <c r="I393" s="88"/>
      <c r="J393" s="88"/>
      <c r="K393" s="88"/>
      <c r="L393" s="88"/>
      <c r="M393" s="88"/>
      <c r="O393" s="70"/>
    </row>
    <row r="394" spans="2:15" ht="18" hidden="1" customHeight="1">
      <c r="B394" s="128"/>
      <c r="C394" s="99"/>
      <c r="D394" s="88"/>
      <c r="E394" s="88"/>
      <c r="F394" s="88"/>
      <c r="G394" s="87"/>
      <c r="H394" s="87"/>
      <c r="I394" s="88"/>
      <c r="J394" s="88"/>
      <c r="K394" s="88"/>
      <c r="L394" s="88"/>
      <c r="M394" s="88"/>
      <c r="O394" s="70">
        <f>+M394-SUM(C394:L394)</f>
        <v>0</v>
      </c>
    </row>
    <row r="395" spans="2:15" ht="18" hidden="1" customHeight="1">
      <c r="B395" s="128"/>
      <c r="C395" s="107"/>
      <c r="D395" s="88"/>
      <c r="E395" s="88"/>
      <c r="F395" s="88"/>
      <c r="G395" s="87"/>
      <c r="H395" s="87"/>
      <c r="I395" s="88"/>
      <c r="J395" s="88"/>
      <c r="K395" s="88"/>
      <c r="L395" s="88"/>
      <c r="M395" s="88"/>
      <c r="O395" s="70"/>
    </row>
    <row r="396" spans="2:15" ht="18" hidden="1" customHeight="1">
      <c r="B396" s="128"/>
      <c r="C396" s="99"/>
      <c r="D396" s="88"/>
      <c r="E396" s="88"/>
      <c r="F396" s="88"/>
      <c r="G396" s="87"/>
      <c r="H396" s="87"/>
      <c r="I396" s="88"/>
      <c r="J396" s="88"/>
      <c r="K396" s="88"/>
      <c r="L396" s="88"/>
      <c r="M396" s="88"/>
      <c r="O396" s="70">
        <f>+M396-SUM(C396:L396)</f>
        <v>0</v>
      </c>
    </row>
    <row r="397" spans="2:15" ht="18" hidden="1" customHeight="1">
      <c r="B397" s="128"/>
      <c r="C397" s="99"/>
      <c r="D397" s="88"/>
      <c r="E397" s="88"/>
      <c r="F397" s="88"/>
      <c r="G397" s="87"/>
      <c r="H397" s="87"/>
      <c r="I397" s="88"/>
      <c r="J397" s="88"/>
      <c r="K397" s="88"/>
      <c r="L397" s="88"/>
      <c r="M397" s="88"/>
      <c r="O397" s="70"/>
    </row>
    <row r="398" spans="2:15" ht="18" hidden="1" customHeight="1">
      <c r="B398" s="128"/>
      <c r="C398" s="88"/>
      <c r="D398" s="88"/>
      <c r="E398" s="88"/>
      <c r="F398" s="88"/>
      <c r="G398" s="87"/>
      <c r="H398" s="87"/>
      <c r="I398" s="88"/>
      <c r="J398" s="88"/>
      <c r="K398" s="88"/>
      <c r="L398" s="88"/>
      <c r="M398" s="88"/>
      <c r="O398" s="70">
        <f>+M398-SUM(C398:L398)</f>
        <v>0</v>
      </c>
    </row>
    <row r="399" spans="2:15" ht="18" hidden="1" customHeight="1">
      <c r="B399" s="128"/>
      <c r="C399" s="88"/>
      <c r="D399" s="88"/>
      <c r="E399" s="88"/>
      <c r="F399" s="88"/>
      <c r="G399" s="87"/>
      <c r="H399" s="87"/>
      <c r="I399" s="88"/>
      <c r="J399" s="88"/>
      <c r="K399" s="88"/>
      <c r="L399" s="88"/>
      <c r="M399" s="88"/>
      <c r="O399" s="70"/>
    </row>
    <row r="400" spans="2:15" ht="18" hidden="1" customHeight="1">
      <c r="B400" s="54"/>
      <c r="C400" s="88"/>
      <c r="D400" s="88"/>
      <c r="E400" s="88"/>
      <c r="F400" s="88"/>
      <c r="G400" s="87"/>
      <c r="H400" s="87"/>
      <c r="I400" s="88"/>
      <c r="J400" s="88"/>
      <c r="K400" s="88"/>
      <c r="L400" s="88"/>
      <c r="M400" s="88"/>
      <c r="O400" s="70">
        <f>+M400-SUM(C400:L400)</f>
        <v>0</v>
      </c>
    </row>
    <row r="401" spans="2:15" ht="18" hidden="1" customHeight="1">
      <c r="B401" s="54"/>
      <c r="C401" s="88"/>
      <c r="D401" s="88"/>
      <c r="E401" s="88"/>
      <c r="F401" s="88"/>
      <c r="G401" s="87"/>
      <c r="H401" s="87"/>
      <c r="I401" s="88"/>
      <c r="J401" s="88"/>
      <c r="K401" s="88"/>
      <c r="L401" s="88"/>
      <c r="M401" s="88"/>
      <c r="O401" s="70"/>
    </row>
    <row r="402" spans="2:15" ht="18" hidden="1" customHeight="1">
      <c r="B402" s="54"/>
      <c r="C402" s="88"/>
      <c r="D402" s="88"/>
      <c r="E402" s="88"/>
      <c r="F402" s="88"/>
      <c r="G402" s="87"/>
      <c r="H402" s="87"/>
      <c r="I402" s="88"/>
      <c r="J402" s="88"/>
      <c r="K402" s="88"/>
      <c r="L402" s="88"/>
      <c r="M402" s="88"/>
      <c r="O402" s="70">
        <f>+M402-SUM(C402:L402)</f>
        <v>0</v>
      </c>
    </row>
    <row r="403" spans="2:15" ht="18" hidden="1" customHeight="1">
      <c r="B403" s="54"/>
      <c r="C403" s="88"/>
      <c r="D403" s="88"/>
      <c r="E403" s="88"/>
      <c r="F403" s="88"/>
      <c r="G403" s="87"/>
      <c r="H403" s="87"/>
      <c r="I403" s="88"/>
      <c r="J403" s="88"/>
      <c r="K403" s="88"/>
      <c r="L403" s="88"/>
      <c r="M403" s="88"/>
      <c r="O403" s="70"/>
    </row>
    <row r="404" spans="2:15" ht="18" hidden="1" customHeight="1">
      <c r="B404" s="54" t="s">
        <v>311</v>
      </c>
      <c r="C404" s="88">
        <v>2.16411764999676E+17</v>
      </c>
      <c r="D404" s="88">
        <v>3.58641557331576E+16</v>
      </c>
      <c r="E404" s="88">
        <v>4033183640661450</v>
      </c>
      <c r="F404" s="88">
        <v>127233310785341</v>
      </c>
      <c r="G404" s="87">
        <f>2552434895698810-H404</f>
        <v>2552434895692779.5</v>
      </c>
      <c r="H404" s="87">
        <f>790.9+437.4+4802.3</f>
        <v>6030.6</v>
      </c>
      <c r="I404" s="88">
        <f>11211383309762000-J404</f>
        <v>1.1211383309762E+16</v>
      </c>
      <c r="J404" s="88">
        <v>0</v>
      </c>
      <c r="K404" s="88">
        <v>1789419885219480</v>
      </c>
      <c r="L404" s="88">
        <v>166507541948549</v>
      </c>
      <c r="M404" s="88">
        <v>2.7215608331691002E+17</v>
      </c>
      <c r="O404" s="70">
        <f>+M404-SUM(C404:L404)</f>
        <v>800</v>
      </c>
    </row>
    <row r="405" spans="2:15" ht="18" customHeight="1" thickBot="1">
      <c r="B405" s="129"/>
      <c r="C405" s="129"/>
      <c r="D405" s="129"/>
      <c r="E405" s="129"/>
      <c r="F405" s="129"/>
      <c r="G405" s="129"/>
      <c r="H405" s="129"/>
      <c r="I405" s="129"/>
      <c r="J405" s="129"/>
      <c r="K405" s="129"/>
      <c r="L405" s="129"/>
      <c r="M405" s="129"/>
      <c r="O405" s="70"/>
    </row>
    <row r="406" spans="2:15" ht="18" customHeight="1" thickTop="1">
      <c r="B406" s="62"/>
      <c r="C406" s="130"/>
      <c r="D406" s="130"/>
      <c r="E406" s="130"/>
      <c r="F406" s="130"/>
      <c r="G406" s="131"/>
      <c r="H406" s="130"/>
      <c r="I406" s="130"/>
      <c r="J406" s="130"/>
      <c r="K406" s="131"/>
      <c r="L406" s="130"/>
      <c r="M406" s="130"/>
    </row>
    <row r="407" spans="2:15" ht="18" customHeight="1">
      <c r="B407" s="132" t="s">
        <v>323</v>
      </c>
      <c r="C407" s="70"/>
      <c r="D407" s="70"/>
      <c r="E407" s="70"/>
      <c r="F407" s="70"/>
      <c r="G407" s="66"/>
      <c r="H407" s="70"/>
      <c r="I407" s="70"/>
      <c r="J407" s="70"/>
      <c r="K407" s="66"/>
      <c r="L407" s="70"/>
      <c r="M407" s="70"/>
    </row>
    <row r="408" spans="2:15" ht="18" customHeight="1">
      <c r="B408" s="132" t="s">
        <v>324</v>
      </c>
      <c r="C408" s="133"/>
      <c r="D408" s="133"/>
      <c r="E408" s="133"/>
      <c r="F408" s="133"/>
      <c r="G408" s="116"/>
      <c r="H408" s="134"/>
      <c r="I408" s="116"/>
      <c r="J408" s="116"/>
      <c r="K408" s="116"/>
      <c r="L408" s="116"/>
      <c r="M408" s="116"/>
    </row>
    <row r="409" spans="2:15" ht="14.1" customHeight="1">
      <c r="B409" s="135"/>
      <c r="C409" s="133"/>
      <c r="D409" s="133"/>
      <c r="E409" s="133"/>
      <c r="F409" s="133"/>
      <c r="G409" s="116"/>
      <c r="H409" s="116"/>
      <c r="I409" s="116"/>
      <c r="J409" s="116"/>
      <c r="K409" s="116"/>
      <c r="L409" s="116"/>
      <c r="M409" s="116"/>
    </row>
    <row r="410" spans="2:15" ht="14.1" customHeight="1">
      <c r="B410" s="72"/>
      <c r="C410" s="116"/>
      <c r="D410" s="116"/>
      <c r="E410" s="116"/>
      <c r="F410" s="116"/>
      <c r="G410" s="116"/>
      <c r="H410" s="116">
        <f>+(5867042559+315013739)/1000000</f>
        <v>6182.0562980000004</v>
      </c>
      <c r="I410" s="116"/>
      <c r="J410" s="116"/>
      <c r="K410" s="116"/>
      <c r="L410" s="116"/>
      <c r="M410" s="116"/>
    </row>
    <row r="411" spans="2:15" ht="14.1" customHeight="1">
      <c r="B411" s="64"/>
      <c r="C411" s="116"/>
      <c r="D411" s="116"/>
      <c r="E411" s="116"/>
      <c r="F411" s="116"/>
      <c r="G411" s="116"/>
      <c r="H411" s="116"/>
      <c r="I411" s="116"/>
      <c r="J411" s="116"/>
      <c r="K411" s="116"/>
      <c r="L411" s="87"/>
      <c r="M411" s="116"/>
    </row>
    <row r="412" spans="2:15" ht="15" customHeight="1">
      <c r="B412" s="117"/>
      <c r="C412" s="116"/>
      <c r="D412" s="116"/>
      <c r="E412" s="116"/>
      <c r="F412" s="116"/>
      <c r="G412" s="116"/>
      <c r="H412" s="116"/>
      <c r="I412" s="136">
        <v>460382202</v>
      </c>
      <c r="J412" s="116"/>
      <c r="K412" s="116"/>
      <c r="L412" s="116"/>
      <c r="M412" s="116"/>
    </row>
    <row r="413" spans="2:15" ht="15" customHeight="1">
      <c r="C413" s="116"/>
      <c r="D413" s="116"/>
      <c r="E413" s="116"/>
      <c r="F413" s="116"/>
      <c r="G413" s="116"/>
      <c r="H413" s="116"/>
      <c r="I413" s="136">
        <v>469264873</v>
      </c>
      <c r="J413" s="116"/>
      <c r="K413" s="116"/>
      <c r="L413" s="116"/>
      <c r="M413" s="116"/>
    </row>
    <row r="414" spans="2:15" ht="15" customHeight="1">
      <c r="C414" s="116"/>
      <c r="D414" s="116"/>
      <c r="E414" s="116"/>
      <c r="F414" s="116"/>
      <c r="G414" s="116"/>
      <c r="H414" s="116"/>
      <c r="I414" s="136">
        <v>394220031</v>
      </c>
      <c r="J414" s="116"/>
      <c r="K414" s="116"/>
      <c r="L414" s="116"/>
      <c r="M414" s="116"/>
    </row>
    <row r="415" spans="2:15" ht="15" customHeight="1">
      <c r="C415" s="116"/>
      <c r="D415" s="116"/>
      <c r="E415" s="116"/>
      <c r="F415" s="116"/>
      <c r="G415" s="116"/>
      <c r="H415" s="116"/>
      <c r="I415" s="116"/>
      <c r="J415" s="116"/>
      <c r="K415" s="116"/>
      <c r="L415" s="116"/>
      <c r="M415" s="116"/>
    </row>
    <row r="416" spans="2:15" ht="15" customHeight="1">
      <c r="C416" s="116"/>
      <c r="D416" s="116"/>
      <c r="E416" s="116"/>
      <c r="F416" s="116"/>
      <c r="G416" s="116"/>
      <c r="H416" s="116"/>
      <c r="I416" s="116"/>
      <c r="J416" s="116"/>
      <c r="K416" s="116"/>
      <c r="L416" s="116"/>
      <c r="M416" s="116"/>
    </row>
    <row r="417" spans="3:13" ht="15" customHeight="1">
      <c r="C417" s="116"/>
      <c r="D417" s="116"/>
      <c r="E417" s="116"/>
      <c r="F417" s="116"/>
      <c r="G417" s="116"/>
      <c r="H417" s="116"/>
      <c r="I417" s="116"/>
      <c r="J417" s="116"/>
      <c r="K417" s="116"/>
      <c r="L417" s="116"/>
      <c r="M417" s="116"/>
    </row>
    <row r="418" spans="3:13" ht="15" customHeight="1">
      <c r="C418" s="137"/>
      <c r="D418" s="137"/>
      <c r="E418" s="137"/>
      <c r="F418" s="137"/>
      <c r="G418" s="137"/>
      <c r="H418" s="137"/>
      <c r="I418" s="137"/>
      <c r="J418" s="137"/>
      <c r="K418" s="137"/>
      <c r="L418" s="137"/>
      <c r="M418" s="137"/>
    </row>
    <row r="419" spans="3:13" ht="12.75" customHeight="1">
      <c r="C419" s="137"/>
      <c r="D419" s="137"/>
      <c r="E419" s="137"/>
      <c r="F419" s="137"/>
      <c r="G419" s="137"/>
      <c r="H419" s="137"/>
      <c r="I419" s="137"/>
      <c r="J419" s="137"/>
      <c r="K419" s="137"/>
      <c r="L419" s="137"/>
      <c r="M419" s="137"/>
    </row>
    <row r="420" spans="3:13" ht="12.75" customHeight="1">
      <c r="C420" s="137"/>
      <c r="D420" s="137"/>
      <c r="E420" s="137"/>
      <c r="F420" s="137"/>
      <c r="G420" s="137"/>
      <c r="H420" s="137"/>
      <c r="I420" s="137"/>
      <c r="J420" s="137"/>
      <c r="K420" s="137"/>
      <c r="L420" s="137"/>
      <c r="M420" s="137"/>
    </row>
    <row r="421" spans="3:13" ht="12.75" customHeight="1">
      <c r="C421" s="137"/>
      <c r="D421" s="137"/>
      <c r="E421" s="137"/>
      <c r="F421" s="137"/>
      <c r="G421" s="137"/>
      <c r="H421" s="137"/>
      <c r="I421" s="137"/>
      <c r="J421" s="137"/>
      <c r="K421" s="137"/>
      <c r="L421" s="137"/>
      <c r="M421" s="137"/>
    </row>
    <row r="422" spans="3:13" ht="12.75" customHeight="1">
      <c r="C422" s="137"/>
      <c r="D422" s="137"/>
      <c r="E422" s="137"/>
      <c r="F422" s="137"/>
      <c r="G422" s="137"/>
      <c r="H422" s="137"/>
      <c r="I422" s="137"/>
      <c r="J422" s="137"/>
      <c r="K422" s="137"/>
      <c r="L422" s="137"/>
      <c r="M422" s="137"/>
    </row>
    <row r="423" spans="3:13" ht="12.75" customHeight="1">
      <c r="C423" s="137"/>
      <c r="D423" s="137"/>
      <c r="E423" s="137"/>
      <c r="F423" s="137"/>
      <c r="G423" s="137"/>
      <c r="H423" s="137"/>
      <c r="I423" s="137"/>
      <c r="J423" s="137"/>
      <c r="K423" s="137"/>
      <c r="L423" s="137"/>
      <c r="M423" s="137"/>
    </row>
    <row r="424" spans="3:13" ht="12.75" customHeight="1">
      <c r="C424" s="137"/>
      <c r="D424" s="137"/>
      <c r="E424" s="137"/>
      <c r="F424" s="137"/>
      <c r="G424" s="137"/>
      <c r="H424" s="137"/>
      <c r="I424" s="137"/>
      <c r="J424" s="137"/>
      <c r="K424" s="137"/>
      <c r="L424" s="137"/>
      <c r="M424" s="137"/>
    </row>
    <row r="425" spans="3:13" ht="12.75" customHeight="1">
      <c r="C425" s="137"/>
      <c r="D425" s="137"/>
      <c r="E425" s="137"/>
      <c r="F425" s="137"/>
      <c r="G425" s="137"/>
      <c r="H425" s="137"/>
      <c r="I425" s="137"/>
      <c r="J425" s="137"/>
      <c r="K425" s="137"/>
      <c r="L425" s="137"/>
      <c r="M425" s="137"/>
    </row>
    <row r="426" spans="3:13" ht="12.75" customHeight="1">
      <c r="C426" s="137"/>
      <c r="D426" s="137"/>
      <c r="E426" s="137"/>
      <c r="F426" s="137"/>
      <c r="G426" s="137"/>
      <c r="H426" s="137"/>
      <c r="I426" s="137"/>
      <c r="J426" s="137"/>
      <c r="K426" s="137"/>
      <c r="L426" s="137"/>
      <c r="M426" s="137"/>
    </row>
    <row r="427" spans="3:13" ht="12.75" customHeight="1">
      <c r="C427" s="137"/>
      <c r="D427" s="137"/>
      <c r="E427" s="137"/>
      <c r="F427" s="137"/>
      <c r="G427" s="137"/>
      <c r="H427" s="137"/>
      <c r="I427" s="137"/>
      <c r="J427" s="137"/>
      <c r="K427" s="137"/>
      <c r="L427" s="137"/>
      <c r="M427" s="137"/>
    </row>
    <row r="428" spans="3:13" ht="12.75" customHeight="1">
      <c r="C428" s="137"/>
      <c r="D428" s="137"/>
      <c r="E428" s="137"/>
      <c r="F428" s="137"/>
      <c r="G428" s="137"/>
      <c r="H428" s="137"/>
      <c r="I428" s="137"/>
      <c r="J428" s="137"/>
      <c r="K428" s="137"/>
      <c r="L428" s="137"/>
      <c r="M428" s="137"/>
    </row>
    <row r="429" spans="3:13">
      <c r="C429" s="137"/>
      <c r="D429" s="137"/>
      <c r="E429" s="137"/>
      <c r="F429" s="137"/>
      <c r="G429" s="137"/>
      <c r="H429" s="137"/>
      <c r="I429" s="137"/>
      <c r="J429" s="137"/>
      <c r="K429" s="137"/>
      <c r="L429" s="137"/>
      <c r="M429" s="137"/>
    </row>
    <row r="430" spans="3:13">
      <c r="C430" s="137"/>
      <c r="D430" s="137"/>
      <c r="E430" s="137"/>
      <c r="F430" s="137"/>
      <c r="G430" s="137"/>
      <c r="H430" s="137"/>
      <c r="I430" s="137"/>
      <c r="J430" s="137"/>
      <c r="K430" s="137"/>
      <c r="L430" s="137"/>
      <c r="M430" s="137"/>
    </row>
    <row r="431" spans="3:13">
      <c r="C431" s="137"/>
      <c r="D431" s="137"/>
      <c r="E431" s="137"/>
      <c r="F431" s="137"/>
      <c r="G431" s="137"/>
      <c r="H431" s="137"/>
      <c r="I431" s="137"/>
      <c r="J431" s="137"/>
      <c r="K431" s="137"/>
      <c r="L431" s="137"/>
      <c r="M431" s="137"/>
    </row>
    <row r="432" spans="3:13">
      <c r="C432" s="138"/>
      <c r="D432" s="67"/>
      <c r="E432" s="67"/>
      <c r="F432" s="67"/>
      <c r="G432" s="67"/>
      <c r="H432" s="67"/>
      <c r="I432" s="67"/>
      <c r="J432" s="67"/>
      <c r="K432" s="67"/>
      <c r="L432" s="67"/>
      <c r="M432" s="67"/>
    </row>
    <row r="433" spans="3:13">
      <c r="C433" s="138"/>
      <c r="D433" s="67"/>
      <c r="E433" s="67"/>
      <c r="F433" s="67"/>
      <c r="G433" s="67"/>
      <c r="H433" s="67"/>
      <c r="I433" s="67"/>
      <c r="J433" s="67"/>
      <c r="K433" s="67"/>
      <c r="L433" s="67"/>
      <c r="M433" s="67"/>
    </row>
    <row r="434" spans="3:13">
      <c r="C434" s="67"/>
      <c r="D434" s="67"/>
      <c r="E434" s="67"/>
      <c r="F434" s="67"/>
      <c r="G434" s="67"/>
      <c r="H434" s="67"/>
      <c r="I434" s="67"/>
      <c r="J434" s="67"/>
      <c r="K434" s="67"/>
      <c r="L434" s="67"/>
      <c r="M434" s="67"/>
    </row>
    <row r="435" spans="3:13">
      <c r="C435" s="67"/>
      <c r="D435" s="67"/>
      <c r="E435" s="67"/>
      <c r="F435" s="67"/>
      <c r="G435" s="67"/>
      <c r="H435" s="67"/>
      <c r="I435" s="67"/>
      <c r="J435" s="67"/>
      <c r="K435" s="67"/>
      <c r="L435" s="67"/>
      <c r="M435" s="67"/>
    </row>
    <row r="436" spans="3:13">
      <c r="C436" s="67"/>
      <c r="D436" s="67"/>
      <c r="E436" s="67"/>
      <c r="F436" s="67"/>
      <c r="G436" s="67"/>
      <c r="H436" s="67"/>
      <c r="I436" s="67"/>
      <c r="J436" s="67"/>
      <c r="K436" s="67"/>
      <c r="L436" s="67"/>
      <c r="M436" s="67"/>
    </row>
    <row r="437" spans="3:13">
      <c r="C437" s="67"/>
      <c r="D437" s="67"/>
      <c r="E437" s="67"/>
      <c r="F437" s="67"/>
      <c r="G437" s="67"/>
      <c r="H437" s="67"/>
      <c r="I437" s="67"/>
      <c r="J437" s="67"/>
      <c r="K437" s="67"/>
      <c r="L437" s="67"/>
      <c r="M437" s="67"/>
    </row>
    <row r="438" spans="3:13">
      <c r="C438" s="67"/>
      <c r="D438" s="67"/>
      <c r="E438" s="67"/>
      <c r="F438" s="67"/>
      <c r="G438" s="67"/>
      <c r="H438" s="67"/>
      <c r="I438" s="67"/>
      <c r="J438" s="67"/>
      <c r="K438" s="67"/>
      <c r="L438" s="67"/>
      <c r="M438" s="67"/>
    </row>
    <row r="439" spans="3:13">
      <c r="C439" s="67"/>
      <c r="D439" s="67"/>
      <c r="E439" s="67"/>
      <c r="F439" s="67"/>
      <c r="G439" s="67"/>
      <c r="H439" s="67"/>
      <c r="I439" s="67"/>
      <c r="J439" s="67"/>
      <c r="K439" s="67"/>
      <c r="L439" s="67"/>
      <c r="M439" s="67"/>
    </row>
    <row r="440" spans="3:13">
      <c r="C440" s="67"/>
      <c r="D440" s="67"/>
      <c r="E440" s="67"/>
      <c r="F440" s="67"/>
      <c r="G440" s="67"/>
      <c r="H440" s="67"/>
      <c r="I440" s="67"/>
      <c r="J440" s="67"/>
      <c r="K440" s="67"/>
      <c r="L440" s="67"/>
      <c r="M440" s="67"/>
    </row>
    <row r="441" spans="3:13">
      <c r="C441" s="67"/>
      <c r="D441" s="67"/>
      <c r="E441" s="67"/>
      <c r="F441" s="67"/>
      <c r="G441" s="67"/>
      <c r="H441" s="67"/>
      <c r="I441" s="67"/>
      <c r="J441" s="67"/>
      <c r="K441" s="67"/>
      <c r="L441" s="67"/>
      <c r="M441" s="67"/>
    </row>
    <row r="442" spans="3:13">
      <c r="C442" s="67"/>
      <c r="D442" s="67"/>
      <c r="E442" s="67"/>
      <c r="F442" s="67"/>
      <c r="G442" s="67"/>
      <c r="H442" s="67"/>
      <c r="I442" s="67"/>
      <c r="J442" s="67"/>
      <c r="K442" s="67"/>
      <c r="L442" s="67"/>
      <c r="M442" s="67"/>
    </row>
    <row r="443" spans="3:13">
      <c r="C443" s="67"/>
      <c r="D443" s="67"/>
      <c r="E443" s="67"/>
      <c r="F443" s="67"/>
      <c r="G443" s="67"/>
      <c r="H443" s="67"/>
      <c r="I443" s="67"/>
      <c r="J443" s="67"/>
      <c r="K443" s="67"/>
      <c r="L443" s="67"/>
      <c r="M443" s="67"/>
    </row>
    <row r="444" spans="3:13">
      <c r="C444" s="67"/>
      <c r="D444" s="67"/>
      <c r="E444" s="67"/>
      <c r="F444" s="67"/>
      <c r="G444" s="67"/>
      <c r="H444" s="67"/>
      <c r="I444" s="67"/>
      <c r="J444" s="67"/>
      <c r="K444" s="67"/>
      <c r="L444" s="67"/>
      <c r="M444" s="67"/>
    </row>
    <row r="445" spans="3:13">
      <c r="C445" s="67"/>
      <c r="D445" s="67"/>
      <c r="E445" s="67"/>
      <c r="F445" s="67"/>
      <c r="G445" s="67"/>
      <c r="H445" s="67"/>
      <c r="I445" s="67"/>
      <c r="J445" s="67"/>
      <c r="K445" s="67"/>
      <c r="L445" s="67"/>
      <c r="M445" s="67"/>
    </row>
    <row r="446" spans="3:13">
      <c r="C446" s="67"/>
      <c r="D446" s="67"/>
      <c r="E446" s="67"/>
      <c r="F446" s="67"/>
      <c r="G446" s="67"/>
      <c r="H446" s="67"/>
      <c r="I446" s="67"/>
      <c r="J446" s="67"/>
      <c r="K446" s="67"/>
      <c r="L446" s="67"/>
      <c r="M446" s="67"/>
    </row>
    <row r="447" spans="3:13">
      <c r="C447" s="67"/>
      <c r="D447" s="67"/>
      <c r="E447" s="67"/>
      <c r="F447" s="67"/>
      <c r="G447" s="67"/>
      <c r="H447" s="67"/>
      <c r="I447" s="67"/>
      <c r="J447" s="67"/>
      <c r="K447" s="67"/>
      <c r="L447" s="67"/>
      <c r="M447" s="67"/>
    </row>
    <row r="448" spans="3:13">
      <c r="C448" s="67"/>
      <c r="D448" s="67"/>
      <c r="E448" s="67"/>
      <c r="F448" s="67"/>
      <c r="G448" s="67"/>
      <c r="H448" s="67"/>
      <c r="I448" s="67"/>
      <c r="J448" s="67"/>
      <c r="K448" s="67"/>
      <c r="L448" s="67"/>
      <c r="M448" s="67"/>
    </row>
    <row r="449" spans="3:13">
      <c r="C449" s="67"/>
      <c r="D449" s="67"/>
      <c r="E449" s="67"/>
      <c r="F449" s="67"/>
      <c r="G449" s="67"/>
      <c r="H449" s="67"/>
      <c r="I449" s="67"/>
      <c r="J449" s="67"/>
      <c r="K449" s="67"/>
      <c r="L449" s="67"/>
      <c r="M449" s="67"/>
    </row>
    <row r="450" spans="3:13">
      <c r="C450" s="67"/>
      <c r="D450" s="67"/>
      <c r="E450" s="67"/>
      <c r="F450" s="67"/>
      <c r="G450" s="67"/>
      <c r="H450" s="67"/>
      <c r="I450" s="67"/>
      <c r="J450" s="67"/>
      <c r="K450" s="67"/>
      <c r="L450" s="67"/>
      <c r="M450" s="67"/>
    </row>
    <row r="451" spans="3:13">
      <c r="C451" s="67"/>
      <c r="D451" s="67"/>
      <c r="E451" s="67"/>
      <c r="F451" s="67"/>
      <c r="G451" s="67"/>
      <c r="H451" s="67"/>
      <c r="I451" s="67"/>
      <c r="J451" s="67"/>
      <c r="K451" s="67"/>
      <c r="L451" s="67"/>
      <c r="M451" s="67"/>
    </row>
    <row r="452" spans="3:13">
      <c r="C452" s="67"/>
      <c r="D452" s="67"/>
      <c r="E452" s="67"/>
      <c r="F452" s="67"/>
      <c r="G452" s="67"/>
      <c r="H452" s="67"/>
      <c r="I452" s="67"/>
      <c r="J452" s="67"/>
      <c r="K452" s="67"/>
      <c r="L452" s="67"/>
      <c r="M452" s="67"/>
    </row>
    <row r="453" spans="3:13">
      <c r="C453" s="67"/>
      <c r="D453" s="67"/>
      <c r="E453" s="67"/>
      <c r="F453" s="67"/>
      <c r="G453" s="67"/>
      <c r="H453" s="67"/>
      <c r="I453" s="67"/>
      <c r="J453" s="67"/>
      <c r="K453" s="67"/>
      <c r="L453" s="67"/>
      <c r="M453" s="67"/>
    </row>
    <row r="454" spans="3:13">
      <c r="C454" s="67"/>
      <c r="D454" s="67"/>
      <c r="E454" s="67"/>
      <c r="F454" s="67"/>
      <c r="G454" s="67"/>
      <c r="H454" s="67"/>
      <c r="I454" s="67"/>
      <c r="J454" s="67"/>
      <c r="K454" s="67"/>
      <c r="L454" s="67"/>
      <c r="M454" s="67"/>
    </row>
    <row r="455" spans="3:13">
      <c r="C455" s="67"/>
      <c r="D455" s="67"/>
      <c r="E455" s="67"/>
      <c r="F455" s="67"/>
      <c r="G455" s="67"/>
      <c r="H455" s="67"/>
      <c r="I455" s="67"/>
      <c r="J455" s="67"/>
      <c r="K455" s="67"/>
      <c r="L455" s="67"/>
      <c r="M455" s="67"/>
    </row>
    <row r="456" spans="3:13">
      <c r="C456" s="67"/>
      <c r="D456" s="67"/>
      <c r="E456" s="67"/>
      <c r="F456" s="67"/>
      <c r="G456" s="67"/>
      <c r="H456" s="67"/>
      <c r="I456" s="67"/>
      <c r="J456" s="67"/>
      <c r="K456" s="67"/>
      <c r="L456" s="67"/>
      <c r="M456" s="67"/>
    </row>
    <row r="480" spans="3:13">
      <c r="C480" s="122"/>
      <c r="I480" s="122"/>
      <c r="J480" s="122"/>
      <c r="K480" s="122"/>
      <c r="L480" s="122"/>
      <c r="M480" s="122"/>
    </row>
    <row r="481" spans="3:13">
      <c r="C481" s="122"/>
      <c r="I481" s="122"/>
      <c r="J481" s="122"/>
      <c r="K481" s="122"/>
      <c r="L481" s="122"/>
      <c r="M481" s="122"/>
    </row>
    <row r="482" spans="3:13">
      <c r="C482" s="122"/>
      <c r="I482" s="122"/>
      <c r="J482" s="122"/>
      <c r="K482" s="122"/>
      <c r="L482" s="122"/>
      <c r="M482" s="122"/>
    </row>
    <row r="483" spans="3:13">
      <c r="C483" s="122"/>
      <c r="I483" s="122"/>
      <c r="J483" s="122"/>
      <c r="K483" s="122"/>
      <c r="L483" s="122"/>
      <c r="M483" s="122"/>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40"/>
    <col min="3" max="3" width="26" style="241" customWidth="1"/>
    <col min="4" max="5" width="8.90625" style="242" hidden="1" customWidth="1"/>
    <col min="6" max="9" width="8.90625" style="243" hidden="1" customWidth="1"/>
    <col min="10" max="10" width="10.1796875" style="243" hidden="1" customWidth="1"/>
    <col min="11" max="11" width="8.90625" style="243" hidden="1" customWidth="1"/>
    <col min="12" max="13" width="10.1796875" style="243" hidden="1" customWidth="1"/>
    <col min="14" max="15" width="10.1796875" style="495" bestFit="1" customWidth="1"/>
    <col min="16" max="16" width="10.1796875" style="243" bestFit="1" customWidth="1"/>
    <col min="17" max="16384" width="8.90625" style="241"/>
  </cols>
  <sheetData>
    <row r="2" spans="3:24">
      <c r="C2" s="1890" t="s">
        <v>1736</v>
      </c>
      <c r="D2" s="1890"/>
      <c r="E2" s="1890"/>
      <c r="F2" s="1890"/>
      <c r="G2" s="1890"/>
      <c r="H2" s="1890"/>
      <c r="I2" s="1890"/>
      <c r="J2" s="1890"/>
      <c r="K2" s="1890"/>
      <c r="L2" s="1890"/>
      <c r="M2" s="1890"/>
      <c r="N2" s="1890"/>
      <c r="O2" s="1890"/>
      <c r="P2" s="1890"/>
      <c r="Q2" s="1890"/>
      <c r="R2" s="1890"/>
      <c r="S2" s="1890"/>
      <c r="T2" s="1890"/>
      <c r="U2" s="1890"/>
      <c r="V2" s="1890"/>
    </row>
    <row r="3" spans="3:24" ht="16.2" thickBot="1">
      <c r="C3" s="1151"/>
      <c r="D3" s="1152"/>
      <c r="E3" s="1152"/>
      <c r="F3" s="1153"/>
      <c r="G3" s="1154"/>
      <c r="H3" s="1154"/>
      <c r="I3" s="1154"/>
      <c r="J3" s="1154"/>
      <c r="K3" s="1157" t="s">
        <v>1136</v>
      </c>
      <c r="L3" s="1154"/>
      <c r="M3" s="1154"/>
      <c r="N3" s="1154"/>
      <c r="O3" s="1154"/>
      <c r="P3" s="1154"/>
      <c r="Q3" s="1150"/>
      <c r="R3" s="1150"/>
      <c r="S3" s="1150"/>
      <c r="T3" s="1150"/>
      <c r="U3" s="1150"/>
    </row>
    <row r="4" spans="3:24">
      <c r="C4" s="1291" t="s">
        <v>1134</v>
      </c>
      <c r="D4" s="1292">
        <v>1999</v>
      </c>
      <c r="E4" s="1292">
        <v>2000</v>
      </c>
      <c r="F4" s="1292">
        <v>2001</v>
      </c>
      <c r="G4" s="1292">
        <v>2002</v>
      </c>
      <c r="H4" s="1292">
        <v>2003</v>
      </c>
      <c r="I4" s="1293" t="s">
        <v>1006</v>
      </c>
      <c r="J4" s="1293" t="s">
        <v>1135</v>
      </c>
      <c r="K4" s="1292">
        <v>2006</v>
      </c>
      <c r="L4" s="1292">
        <v>2007</v>
      </c>
      <c r="M4" s="1292">
        <v>2008</v>
      </c>
      <c r="N4" s="1292">
        <v>2009</v>
      </c>
      <c r="O4" s="1292">
        <v>2010</v>
      </c>
      <c r="P4" s="1292">
        <v>2011</v>
      </c>
      <c r="Q4" s="1292">
        <v>2012</v>
      </c>
      <c r="R4" s="1292">
        <v>2013</v>
      </c>
      <c r="S4" s="1292">
        <v>2014</v>
      </c>
      <c r="T4" s="1292">
        <v>2015</v>
      </c>
      <c r="U4" s="1292">
        <v>2016</v>
      </c>
      <c r="V4" s="1292">
        <v>2017</v>
      </c>
      <c r="W4" s="1292">
        <v>2018</v>
      </c>
    </row>
    <row r="5" spans="3:24" ht="16.2" thickBot="1">
      <c r="C5" s="1294"/>
      <c r="D5" s="1294"/>
      <c r="E5" s="1295"/>
      <c r="F5" s="1296"/>
      <c r="G5" s="1296"/>
      <c r="H5" s="1296"/>
      <c r="I5" s="1296"/>
      <c r="J5" s="1296"/>
      <c r="K5" s="1296"/>
      <c r="L5" s="1296"/>
      <c r="M5" s="1296"/>
      <c r="N5" s="1296"/>
      <c r="O5" s="1296"/>
      <c r="P5" s="1296"/>
      <c r="Q5" s="1296"/>
      <c r="R5" s="1296"/>
      <c r="S5" s="1296"/>
      <c r="T5" s="1296"/>
      <c r="U5" s="1296"/>
      <c r="V5" s="1296"/>
      <c r="W5" s="1296"/>
    </row>
    <row r="6" spans="3:24">
      <c r="C6" s="1297" t="s">
        <v>1137</v>
      </c>
      <c r="D6" s="1292">
        <v>3529.6390000000001</v>
      </c>
      <c r="E6" s="1298">
        <v>3227.373</v>
      </c>
      <c r="F6" s="1298">
        <v>3255.2649999999999</v>
      </c>
      <c r="G6" s="1299">
        <v>3327.4839999999999</v>
      </c>
      <c r="H6" s="1300">
        <v>3643.5569999999998</v>
      </c>
      <c r="I6" s="1300">
        <v>3926.8720000000003</v>
      </c>
      <c r="J6" s="1300">
        <v>3804.9500000000003</v>
      </c>
      <c r="K6" s="1300">
        <v>3964.7449999999999</v>
      </c>
      <c r="L6" s="1300">
        <v>4031.5058107099999</v>
      </c>
      <c r="M6" s="1300">
        <v>4463.9754416200003</v>
      </c>
      <c r="N6" s="1300">
        <v>6326.2383165920901</v>
      </c>
      <c r="O6" s="1300">
        <v>6555.5793165920895</v>
      </c>
      <c r="P6" s="1300">
        <v>7713.317572243529</v>
      </c>
      <c r="Q6" s="1300">
        <v>8124.568725477895</v>
      </c>
      <c r="R6" s="1300">
        <v>8654.6700039860898</v>
      </c>
      <c r="S6" s="1300">
        <v>10234.209039777428</v>
      </c>
      <c r="T6" s="1300">
        <v>9340.9525407623769</v>
      </c>
      <c r="U6" s="1300">
        <v>9305.264680775841</v>
      </c>
      <c r="V6" s="1300">
        <v>9555.1085481380287</v>
      </c>
      <c r="W6" s="1300">
        <f>+W8+W13+W21</f>
        <v>9827</v>
      </c>
      <c r="X6" s="1484"/>
    </row>
    <row r="7" spans="3:24">
      <c r="C7" s="1297"/>
      <c r="D7" s="1301"/>
      <c r="E7" s="1300"/>
      <c r="F7" s="1300"/>
      <c r="G7" s="1299"/>
      <c r="H7" s="1300"/>
      <c r="I7" s="1300"/>
      <c r="J7" s="1300"/>
      <c r="K7" s="1300"/>
      <c r="L7" s="1300"/>
      <c r="M7" s="1300"/>
      <c r="N7" s="1300"/>
      <c r="O7" s="1300"/>
      <c r="P7" s="1300"/>
      <c r="Q7" s="1300"/>
      <c r="R7" s="1300"/>
      <c r="S7" s="1300"/>
      <c r="T7" s="1300"/>
      <c r="U7" s="1300"/>
      <c r="V7" s="1300"/>
      <c r="W7" s="1300"/>
    </row>
    <row r="8" spans="3:24">
      <c r="C8" s="1297" t="s">
        <v>64</v>
      </c>
      <c r="D8" s="1303">
        <v>3368.0230000000001</v>
      </c>
      <c r="E8" s="1300">
        <v>3075.3420000000001</v>
      </c>
      <c r="F8" s="1300">
        <v>3187.8150000000001</v>
      </c>
      <c r="G8" s="1299">
        <v>3271.384</v>
      </c>
      <c r="H8" s="1300">
        <v>3602.683</v>
      </c>
      <c r="I8" s="1300">
        <v>3848.9790000000003</v>
      </c>
      <c r="J8" s="1300">
        <v>3747.9500000000003</v>
      </c>
      <c r="K8" s="1300">
        <v>3919.645</v>
      </c>
      <c r="L8" s="1300">
        <v>3980.61645086</v>
      </c>
      <c r="M8" s="1300">
        <v>4428.9754416200003</v>
      </c>
      <c r="N8" s="1300">
        <v>5304.4788749720901</v>
      </c>
      <c r="O8" s="1300">
        <v>5038.9198749720899</v>
      </c>
      <c r="P8" s="1300">
        <v>6127.6809362135282</v>
      </c>
      <c r="Q8" s="1300">
        <v>6321.4870540308957</v>
      </c>
      <c r="R8" s="1300">
        <v>6171.6043938740904</v>
      </c>
      <c r="S8" s="1300">
        <v>6192.10924927209</v>
      </c>
      <c r="T8" s="1300">
        <v>6096.8697411102075</v>
      </c>
      <c r="U8" s="1300">
        <v>6014.5022372960902</v>
      </c>
      <c r="V8" s="1300">
        <v>6200.2500662318707</v>
      </c>
      <c r="W8" s="1300">
        <f>W9+W10</f>
        <v>6306</v>
      </c>
      <c r="X8" s="1484"/>
    </row>
    <row r="9" spans="3:24">
      <c r="C9" s="1304" t="s">
        <v>1138</v>
      </c>
      <c r="D9" s="1301">
        <v>1251</v>
      </c>
      <c r="E9" s="1305">
        <v>1351</v>
      </c>
      <c r="F9" s="1305">
        <v>1430</v>
      </c>
      <c r="G9" s="1306">
        <v>1458</v>
      </c>
      <c r="H9" s="1305">
        <v>1658</v>
      </c>
      <c r="I9" s="1305">
        <v>1896.979</v>
      </c>
      <c r="J9" s="1305">
        <v>1876.9</v>
      </c>
      <c r="K9" s="1305">
        <v>1983.65</v>
      </c>
      <c r="L9" s="1305">
        <v>1994.0943255999998</v>
      </c>
      <c r="M9" s="1305">
        <v>2360.1944416200004</v>
      </c>
      <c r="N9" s="1305">
        <v>3703.13687497209</v>
      </c>
      <c r="O9" s="1305">
        <v>3401.5368749720901</v>
      </c>
      <c r="P9" s="1305">
        <v>4086.5368749720901</v>
      </c>
      <c r="Q9" s="1305">
        <v>4086.5368749720901</v>
      </c>
      <c r="R9" s="1305">
        <v>4087.5368749720901</v>
      </c>
      <c r="S9" s="1305">
        <v>4114.5368749720901</v>
      </c>
      <c r="T9" s="1305">
        <v>4114.5368749720901</v>
      </c>
      <c r="U9" s="1305">
        <v>4128.5368749720901</v>
      </c>
      <c r="V9" s="1305">
        <v>4194.2987834320902</v>
      </c>
      <c r="W9" s="1305">
        <v>4261</v>
      </c>
    </row>
    <row r="10" spans="3:24">
      <c r="C10" s="1304" t="s">
        <v>1139</v>
      </c>
      <c r="D10" s="1301">
        <v>1822.902</v>
      </c>
      <c r="E10" s="1305">
        <v>1724.3420000000001</v>
      </c>
      <c r="F10" s="1305">
        <v>1757.8150000000001</v>
      </c>
      <c r="G10" s="1306">
        <v>1813.384</v>
      </c>
      <c r="H10" s="1305">
        <v>1944.683</v>
      </c>
      <c r="I10" s="1305">
        <v>1952</v>
      </c>
      <c r="J10" s="1305">
        <v>1871.0500000000002</v>
      </c>
      <c r="K10" s="1305">
        <v>1935.9949999999999</v>
      </c>
      <c r="L10" s="1305">
        <v>1976.4801252600002</v>
      </c>
      <c r="M10" s="1305">
        <v>2058.739</v>
      </c>
      <c r="N10" s="1305">
        <v>1591.3</v>
      </c>
      <c r="O10" s="1305">
        <v>1627.3409999999999</v>
      </c>
      <c r="P10" s="1305">
        <v>2041.1440612414383</v>
      </c>
      <c r="Q10" s="1305">
        <v>2234.9501790588056</v>
      </c>
      <c r="R10" s="1305">
        <v>2084.0675189020003</v>
      </c>
      <c r="S10" s="1305">
        <v>2077.5723742999999</v>
      </c>
      <c r="T10" s="1305">
        <v>1982.3328661381179</v>
      </c>
      <c r="U10" s="1305">
        <v>1885.9653623239999</v>
      </c>
      <c r="V10" s="1305">
        <v>2005.951282799781</v>
      </c>
      <c r="W10" s="1305">
        <v>2045</v>
      </c>
    </row>
    <row r="11" spans="3:24">
      <c r="C11" s="1304" t="s">
        <v>1140</v>
      </c>
      <c r="D11" s="1301">
        <v>294.12099999999998</v>
      </c>
      <c r="E11" s="1305">
        <v>0</v>
      </c>
      <c r="F11" s="1305">
        <v>0</v>
      </c>
      <c r="G11" s="1306">
        <v>0</v>
      </c>
      <c r="H11" s="1305">
        <v>0</v>
      </c>
      <c r="I11" s="1305">
        <v>0</v>
      </c>
      <c r="J11" s="1305">
        <v>0</v>
      </c>
      <c r="K11" s="1305">
        <v>0</v>
      </c>
      <c r="L11" s="1305">
        <v>10.042</v>
      </c>
      <c r="M11" s="1305">
        <v>10.042</v>
      </c>
      <c r="N11" s="1305">
        <v>10.042</v>
      </c>
      <c r="O11" s="1305">
        <v>10.042</v>
      </c>
      <c r="P11" s="1305">
        <v>0</v>
      </c>
      <c r="Q11" s="1305">
        <v>0</v>
      </c>
      <c r="R11" s="1305">
        <v>0</v>
      </c>
      <c r="S11" s="1305">
        <v>0</v>
      </c>
      <c r="T11" s="1305">
        <v>0</v>
      </c>
      <c r="U11" s="1305">
        <v>0</v>
      </c>
      <c r="V11" s="1305">
        <v>0</v>
      </c>
      <c r="W11" s="1305">
        <v>0</v>
      </c>
      <c r="X11" s="1484"/>
    </row>
    <row r="12" spans="3:24">
      <c r="C12" s="1304"/>
      <c r="D12" s="1304"/>
      <c r="E12" s="1300"/>
      <c r="F12" s="1300"/>
      <c r="G12" s="1299"/>
      <c r="H12" s="1300"/>
      <c r="I12" s="1300"/>
      <c r="J12" s="1300"/>
      <c r="K12" s="1300"/>
      <c r="L12" s="1300"/>
      <c r="M12" s="1300"/>
      <c r="N12" s="1300"/>
      <c r="O12" s="1300"/>
      <c r="P12" s="1302"/>
      <c r="Q12" s="1302"/>
      <c r="R12" s="1302"/>
      <c r="S12" s="1302"/>
      <c r="T12" s="1302"/>
      <c r="U12" s="1302"/>
      <c r="V12" s="1322"/>
      <c r="W12" s="1322"/>
    </row>
    <row r="13" spans="3:24">
      <c r="C13" s="1297" t="s">
        <v>1141</v>
      </c>
      <c r="D13" s="1303">
        <v>543.02300000000002</v>
      </c>
      <c r="E13" s="1300">
        <v>534.34199999999998</v>
      </c>
      <c r="F13" s="1300">
        <v>567.81500000000005</v>
      </c>
      <c r="G13" s="1299">
        <v>616.38400000000001</v>
      </c>
      <c r="H13" s="1300">
        <v>697.68299999999999</v>
      </c>
      <c r="I13" s="1300">
        <v>713.97900000000004</v>
      </c>
      <c r="J13" s="1300">
        <v>708.55</v>
      </c>
      <c r="K13" s="1300">
        <v>765.65</v>
      </c>
      <c r="L13" s="1300">
        <v>790.06940725000004</v>
      </c>
      <c r="M13" s="1300">
        <v>824.52344161999997</v>
      </c>
      <c r="N13" s="1300">
        <v>824.75944161999996</v>
      </c>
      <c r="O13" s="1300">
        <v>824.75944161999996</v>
      </c>
      <c r="P13" s="1300">
        <v>1092.2506360300001</v>
      </c>
      <c r="Q13" s="1300">
        <v>1198.0816714469997</v>
      </c>
      <c r="R13" s="1300">
        <v>1356.218110972</v>
      </c>
      <c r="S13" s="1300">
        <v>1660.8163985761887</v>
      </c>
      <c r="T13" s="1300">
        <v>1220.2047607631685</v>
      </c>
      <c r="U13" s="1300">
        <v>1370.4711682697503</v>
      </c>
      <c r="V13" s="1300">
        <v>1405.5672066961574</v>
      </c>
      <c r="W13" s="1300">
        <v>1426</v>
      </c>
    </row>
    <row r="14" spans="3:24">
      <c r="C14" s="1304" t="s">
        <v>1138</v>
      </c>
      <c r="D14" s="1301">
        <v>316</v>
      </c>
      <c r="E14" s="1305">
        <v>301</v>
      </c>
      <c r="F14" s="1305">
        <v>315</v>
      </c>
      <c r="G14" s="1306">
        <v>351</v>
      </c>
      <c r="H14" s="1305">
        <v>403</v>
      </c>
      <c r="I14" s="1305">
        <v>441.97899999999998</v>
      </c>
      <c r="J14" s="1305">
        <v>438.90000000000003</v>
      </c>
      <c r="K14" s="1305">
        <v>463.65</v>
      </c>
      <c r="L14" s="1305">
        <v>474.05451612999997</v>
      </c>
      <c r="M14" s="1305">
        <v>497.45944162000001</v>
      </c>
      <c r="N14" s="1305">
        <v>497.45944162000001</v>
      </c>
      <c r="O14" s="1305">
        <v>497.45944162000001</v>
      </c>
      <c r="P14" s="1305">
        <v>710.58406663000017</v>
      </c>
      <c r="Q14" s="1305">
        <v>703.24752300699993</v>
      </c>
      <c r="R14" s="1305">
        <v>858.23052341200014</v>
      </c>
      <c r="S14" s="1305">
        <v>1154.8163985761887</v>
      </c>
      <c r="T14" s="1305">
        <v>760.47771002916852</v>
      </c>
      <c r="U14" s="1305">
        <v>779.00369302775039</v>
      </c>
      <c r="V14" s="1305">
        <v>843.23365306761491</v>
      </c>
      <c r="W14" s="1305">
        <v>898</v>
      </c>
    </row>
    <row r="15" spans="3:24">
      <c r="C15" s="1304" t="s">
        <v>1139</v>
      </c>
      <c r="D15" s="1301">
        <v>223.90199999999999</v>
      </c>
      <c r="E15" s="1305">
        <v>233.34200000000001</v>
      </c>
      <c r="F15" s="1305">
        <v>252.815</v>
      </c>
      <c r="G15" s="1306">
        <v>265.38400000000001</v>
      </c>
      <c r="H15" s="1305">
        <v>294.68299999999999</v>
      </c>
      <c r="I15" s="1305">
        <v>272</v>
      </c>
      <c r="J15" s="1305">
        <v>269.64999999999998</v>
      </c>
      <c r="K15" s="1305">
        <v>302</v>
      </c>
      <c r="L15" s="1305">
        <v>316.01489112000002</v>
      </c>
      <c r="M15" s="1305">
        <v>327.06399999999996</v>
      </c>
      <c r="N15" s="1305">
        <v>327.3</v>
      </c>
      <c r="O15" s="1305">
        <v>327.3</v>
      </c>
      <c r="P15" s="1305">
        <v>381.66656939999996</v>
      </c>
      <c r="Q15" s="1305">
        <v>494.83414843999992</v>
      </c>
      <c r="R15" s="1305">
        <v>497.98758755999995</v>
      </c>
      <c r="S15" s="1305">
        <v>506</v>
      </c>
      <c r="T15" s="1305">
        <v>459.72705073400004</v>
      </c>
      <c r="U15" s="1305">
        <v>591.46747524199998</v>
      </c>
      <c r="V15" s="1305">
        <v>562.33355362854263</v>
      </c>
      <c r="W15" s="1305">
        <v>528</v>
      </c>
    </row>
    <row r="16" spans="3:24">
      <c r="C16" s="1304" t="s">
        <v>1140</v>
      </c>
      <c r="D16" s="1301">
        <v>3.121</v>
      </c>
      <c r="E16" s="1305">
        <v>0</v>
      </c>
      <c r="F16" s="1305">
        <v>0</v>
      </c>
      <c r="G16" s="1306">
        <v>0</v>
      </c>
      <c r="H16" s="1305">
        <v>0</v>
      </c>
      <c r="I16" s="1305">
        <v>0</v>
      </c>
      <c r="J16" s="1305">
        <v>0</v>
      </c>
      <c r="K16" s="1305">
        <v>0</v>
      </c>
      <c r="L16" s="1305">
        <v>0</v>
      </c>
      <c r="M16" s="1305">
        <v>0</v>
      </c>
      <c r="N16" s="1305">
        <v>0</v>
      </c>
      <c r="O16" s="1305">
        <v>0</v>
      </c>
      <c r="P16" s="1305">
        <v>0</v>
      </c>
      <c r="Q16" s="1305">
        <v>0</v>
      </c>
      <c r="R16" s="1305">
        <v>0</v>
      </c>
      <c r="S16" s="1305">
        <v>0</v>
      </c>
      <c r="T16" s="1305">
        <v>0</v>
      </c>
      <c r="U16" s="1305">
        <v>0</v>
      </c>
      <c r="V16" s="1305">
        <v>0</v>
      </c>
      <c r="W16" s="1305">
        <v>0</v>
      </c>
    </row>
    <row r="17" spans="3:23">
      <c r="C17" s="1304"/>
      <c r="D17" s="1304"/>
      <c r="E17" s="1300"/>
      <c r="F17" s="1300"/>
      <c r="G17" s="1299"/>
      <c r="H17" s="1300"/>
      <c r="I17" s="1300"/>
      <c r="J17" s="1300"/>
      <c r="K17" s="1300"/>
      <c r="L17" s="1300"/>
      <c r="M17" s="1300"/>
      <c r="N17" s="1300"/>
      <c r="O17" s="1300"/>
      <c r="P17" s="1302"/>
      <c r="Q17" s="1302"/>
      <c r="R17" s="1302"/>
      <c r="S17" s="1302"/>
      <c r="T17" s="1302"/>
      <c r="U17" s="1302"/>
      <c r="V17" s="1322"/>
      <c r="W17" s="1322"/>
    </row>
    <row r="18" spans="3:23">
      <c r="C18" s="1297" t="s">
        <v>1142</v>
      </c>
      <c r="D18" s="1301">
        <v>364</v>
      </c>
      <c r="E18" s="1300">
        <v>292</v>
      </c>
      <c r="F18" s="1300">
        <v>292</v>
      </c>
      <c r="G18" s="1299">
        <v>279</v>
      </c>
      <c r="H18" s="1300">
        <v>288</v>
      </c>
      <c r="I18" s="1300">
        <v>291</v>
      </c>
      <c r="J18" s="1300">
        <v>144.4</v>
      </c>
      <c r="K18" s="1300">
        <v>130</v>
      </c>
      <c r="L18" s="1300">
        <v>136.69999999999999</v>
      </c>
      <c r="M18" s="1300">
        <v>140</v>
      </c>
      <c r="N18" s="1300">
        <v>140</v>
      </c>
      <c r="O18" s="1300">
        <v>550</v>
      </c>
      <c r="P18" s="1300">
        <v>127</v>
      </c>
      <c r="Q18" s="1300">
        <v>125</v>
      </c>
      <c r="R18" s="1300">
        <v>125.14749914000001</v>
      </c>
      <c r="S18" s="1300">
        <v>120</v>
      </c>
      <c r="T18" s="1300">
        <v>110.456301889</v>
      </c>
      <c r="U18" s="1300">
        <v>0</v>
      </c>
      <c r="V18" s="1300">
        <v>0</v>
      </c>
      <c r="W18" s="1300">
        <v>0</v>
      </c>
    </row>
    <row r="19" spans="3:23">
      <c r="C19" s="1304" t="s">
        <v>1143</v>
      </c>
      <c r="D19" s="1301">
        <v>364</v>
      </c>
      <c r="E19" s="1305">
        <v>292</v>
      </c>
      <c r="F19" s="1305">
        <v>292</v>
      </c>
      <c r="G19" s="1306">
        <v>279</v>
      </c>
      <c r="H19" s="1305">
        <v>288</v>
      </c>
      <c r="I19" s="1305">
        <v>291</v>
      </c>
      <c r="J19" s="1305">
        <v>144.4</v>
      </c>
      <c r="K19" s="1305">
        <v>130</v>
      </c>
      <c r="L19" s="1305">
        <v>136.69999999999999</v>
      </c>
      <c r="M19" s="1305">
        <v>140</v>
      </c>
      <c r="N19" s="1305">
        <v>140</v>
      </c>
      <c r="O19" s="1305">
        <v>550</v>
      </c>
      <c r="P19" s="1305">
        <v>127</v>
      </c>
      <c r="Q19" s="1307">
        <v>125</v>
      </c>
      <c r="R19" s="1305">
        <v>125.14749914000001</v>
      </c>
      <c r="S19" s="1305">
        <v>120</v>
      </c>
      <c r="T19" s="1305">
        <v>110.456301889</v>
      </c>
      <c r="U19" s="1305">
        <v>0</v>
      </c>
      <c r="V19" s="1305">
        <v>0</v>
      </c>
      <c r="W19" s="1305">
        <v>0</v>
      </c>
    </row>
    <row r="20" spans="3:23">
      <c r="C20" s="1304"/>
      <c r="D20" s="1304"/>
      <c r="E20" s="1300"/>
      <c r="F20" s="1300"/>
      <c r="G20" s="1299"/>
      <c r="H20" s="1300"/>
      <c r="I20" s="1300"/>
      <c r="J20" s="1300"/>
      <c r="K20" s="1300"/>
      <c r="L20" s="1300"/>
      <c r="M20" s="1300"/>
      <c r="N20" s="1300"/>
      <c r="O20" s="1300"/>
      <c r="P20" s="1302"/>
      <c r="Q20" s="1302"/>
      <c r="R20" s="1302"/>
      <c r="S20" s="1302"/>
      <c r="T20" s="1302"/>
      <c r="U20" s="1302"/>
      <c r="V20" s="1322"/>
      <c r="W20" s="1322"/>
    </row>
    <row r="21" spans="3:23">
      <c r="C21" s="1297" t="s">
        <v>1016</v>
      </c>
      <c r="D21" s="1301">
        <v>161.61600000000001</v>
      </c>
      <c r="E21" s="1300">
        <v>152.03100000000001</v>
      </c>
      <c r="F21" s="1300">
        <v>67.45</v>
      </c>
      <c r="G21" s="1299">
        <v>56.1</v>
      </c>
      <c r="H21" s="1300">
        <v>40.874000000000002</v>
      </c>
      <c r="I21" s="1300">
        <v>77.893000000000001</v>
      </c>
      <c r="J21" s="1300">
        <v>57</v>
      </c>
      <c r="K21" s="1300">
        <v>45.1</v>
      </c>
      <c r="L21" s="1300">
        <v>50.889359850000005</v>
      </c>
      <c r="M21" s="1300">
        <v>35</v>
      </c>
      <c r="N21" s="1300">
        <v>57</v>
      </c>
      <c r="O21" s="1300">
        <v>141.9</v>
      </c>
      <c r="P21" s="1300">
        <v>366.38600000000002</v>
      </c>
      <c r="Q21" s="1308">
        <v>480</v>
      </c>
      <c r="R21" s="1300">
        <v>1001.7</v>
      </c>
      <c r="S21" s="1300">
        <v>2261.2833919291502</v>
      </c>
      <c r="T21" s="1300">
        <v>1913.4217369999999</v>
      </c>
      <c r="U21" s="1300">
        <v>1920.2912752099999</v>
      </c>
      <c r="V21" s="1300">
        <v>1949.2912752100001</v>
      </c>
      <c r="W21" s="1300">
        <v>2095</v>
      </c>
    </row>
    <row r="22" spans="3:23">
      <c r="C22" s="1297"/>
      <c r="D22" s="1297"/>
      <c r="E22" s="1300"/>
      <c r="F22" s="1300"/>
      <c r="G22" s="1299"/>
      <c r="H22" s="1300"/>
      <c r="I22" s="1300"/>
      <c r="J22" s="1300"/>
      <c r="K22" s="1300"/>
      <c r="L22" s="1300"/>
      <c r="M22" s="1300"/>
      <c r="N22" s="1300"/>
      <c r="O22" s="1300"/>
      <c r="P22" s="1302"/>
      <c r="Q22" s="1302"/>
      <c r="R22" s="1302"/>
      <c r="S22" s="1302"/>
      <c r="T22" s="1302"/>
      <c r="U22" s="1302"/>
      <c r="V22" s="1322"/>
      <c r="W22" s="1322"/>
    </row>
    <row r="23" spans="3:23">
      <c r="C23" s="1297" t="s">
        <v>1144</v>
      </c>
      <c r="D23" s="1301">
        <v>532</v>
      </c>
      <c r="E23" s="1300">
        <v>298</v>
      </c>
      <c r="F23" s="1300">
        <v>166.7</v>
      </c>
      <c r="G23" s="1299">
        <v>183</v>
      </c>
      <c r="H23" s="1300">
        <v>168.6</v>
      </c>
      <c r="I23" s="1300">
        <v>144.1</v>
      </c>
      <c r="J23" s="1300">
        <v>172.7</v>
      </c>
      <c r="K23" s="1300">
        <v>281.35599999999999</v>
      </c>
      <c r="L23" s="1300">
        <v>387.452</v>
      </c>
      <c r="M23" s="1300">
        <v>225.7</v>
      </c>
      <c r="N23" s="1300">
        <v>1347.7469999999998</v>
      </c>
      <c r="O23" s="1300">
        <v>2040.2</v>
      </c>
      <c r="P23" s="1300">
        <v>1285.9789999999998</v>
      </c>
      <c r="Q23" s="1308">
        <v>891</v>
      </c>
      <c r="R23" s="1300">
        <v>1564.2719999999999</v>
      </c>
      <c r="S23" s="1300">
        <v>2394.2231668125887</v>
      </c>
      <c r="T23" s="1300">
        <v>2257.887463</v>
      </c>
      <c r="U23" s="1300">
        <v>2304.2474969300001</v>
      </c>
      <c r="V23" s="1300">
        <v>2298.8456224000001</v>
      </c>
      <c r="W23" s="1300">
        <v>2374</v>
      </c>
    </row>
    <row r="24" spans="3:23">
      <c r="C24" s="1304" t="s">
        <v>1145</v>
      </c>
      <c r="D24" s="1301">
        <v>150</v>
      </c>
      <c r="E24" s="1305">
        <v>42</v>
      </c>
      <c r="F24" s="1305">
        <v>13</v>
      </c>
      <c r="G24" s="1306">
        <v>26</v>
      </c>
      <c r="H24" s="1305">
        <v>50.6</v>
      </c>
      <c r="I24" s="1305">
        <v>69.099999999999994</v>
      </c>
      <c r="J24" s="1305">
        <v>106.7</v>
      </c>
      <c r="K24" s="1305">
        <v>122.4</v>
      </c>
      <c r="L24" s="1305">
        <v>178.28800000000001</v>
      </c>
      <c r="M24" s="1305">
        <v>40.700000000000003</v>
      </c>
      <c r="N24" s="1305">
        <v>193.34700000000001</v>
      </c>
      <c r="O24" s="1305">
        <v>286.3</v>
      </c>
      <c r="P24" s="1305">
        <v>133.61699999999999</v>
      </c>
      <c r="Q24" s="1307">
        <v>30</v>
      </c>
      <c r="R24" s="1305">
        <v>0</v>
      </c>
      <c r="S24" s="1305">
        <v>0</v>
      </c>
      <c r="T24" s="1305">
        <v>0</v>
      </c>
      <c r="U24" s="1305">
        <v>0</v>
      </c>
      <c r="V24" s="1305">
        <v>0</v>
      </c>
      <c r="W24" s="1305">
        <v>0</v>
      </c>
    </row>
    <row r="25" spans="3:23">
      <c r="C25" s="1304" t="s">
        <v>1146</v>
      </c>
      <c r="D25" s="1305">
        <v>0</v>
      </c>
      <c r="E25" s="1305">
        <v>0</v>
      </c>
      <c r="F25" s="1305">
        <v>0</v>
      </c>
      <c r="G25" s="1305">
        <v>0</v>
      </c>
      <c r="H25" s="1305">
        <v>0</v>
      </c>
      <c r="I25" s="1305">
        <v>0</v>
      </c>
      <c r="J25" s="1305">
        <v>0</v>
      </c>
      <c r="K25" s="1305">
        <v>0</v>
      </c>
      <c r="L25" s="1305">
        <v>0</v>
      </c>
      <c r="M25" s="1305">
        <v>0</v>
      </c>
      <c r="N25" s="1305">
        <v>998.4</v>
      </c>
      <c r="O25" s="1305">
        <v>1300</v>
      </c>
      <c r="P25" s="1305">
        <v>615</v>
      </c>
      <c r="Q25" s="1307">
        <v>615</v>
      </c>
      <c r="R25" s="1305">
        <v>614</v>
      </c>
      <c r="S25" s="1305">
        <v>587</v>
      </c>
      <c r="T25" s="1305">
        <v>587</v>
      </c>
      <c r="U25" s="1305">
        <v>573</v>
      </c>
      <c r="V25" s="1305">
        <v>507.23809153999997</v>
      </c>
      <c r="W25" s="1305">
        <v>441</v>
      </c>
    </row>
    <row r="26" spans="3:23">
      <c r="C26" s="1304" t="s">
        <v>1016</v>
      </c>
      <c r="D26" s="1301">
        <v>382</v>
      </c>
      <c r="E26" s="1305">
        <v>256</v>
      </c>
      <c r="F26" s="1305">
        <v>153.69999999999999</v>
      </c>
      <c r="G26" s="1306">
        <v>157</v>
      </c>
      <c r="H26" s="1305">
        <v>118</v>
      </c>
      <c r="I26" s="1305">
        <v>75</v>
      </c>
      <c r="J26" s="1305">
        <v>66</v>
      </c>
      <c r="K26" s="1305">
        <v>158.95600000000002</v>
      </c>
      <c r="L26" s="1305">
        <v>209.16399999999999</v>
      </c>
      <c r="M26" s="1305">
        <v>185</v>
      </c>
      <c r="N26" s="1305">
        <v>156</v>
      </c>
      <c r="O26" s="1305">
        <v>453.9</v>
      </c>
      <c r="P26" s="1305">
        <v>537.36199999999997</v>
      </c>
      <c r="Q26" s="1307">
        <v>246</v>
      </c>
      <c r="R26" s="1305">
        <v>950.27200000000005</v>
      </c>
      <c r="S26" s="1305">
        <v>1807.2231668125889</v>
      </c>
      <c r="T26" s="1305">
        <v>1670.887463</v>
      </c>
      <c r="U26" s="1305">
        <v>1731.2474969300001</v>
      </c>
      <c r="V26" s="1305">
        <v>1791.6075308600002</v>
      </c>
      <c r="W26" s="1305">
        <v>1933</v>
      </c>
    </row>
    <row r="27" spans="3:23">
      <c r="C27" s="1304"/>
      <c r="D27" s="1304"/>
      <c r="E27" s="1309"/>
      <c r="F27" s="1305"/>
      <c r="G27" s="1310"/>
      <c r="H27" s="1311"/>
      <c r="I27" s="1305"/>
      <c r="J27" s="1305"/>
      <c r="K27" s="1155"/>
      <c r="L27" s="1155"/>
      <c r="M27" s="1155"/>
      <c r="N27" s="1155"/>
      <c r="O27" s="1155"/>
      <c r="P27" s="1156"/>
      <c r="Q27" s="1156"/>
      <c r="R27" s="1156"/>
      <c r="S27" s="1156"/>
      <c r="T27" s="1156"/>
      <c r="U27" s="1156"/>
      <c r="V27" s="1155"/>
      <c r="W27" s="1155"/>
    </row>
    <row r="28" spans="3:23">
      <c r="C28" s="1304"/>
      <c r="D28" s="1304"/>
      <c r="E28" s="1305"/>
      <c r="F28" s="1305"/>
      <c r="G28" s="1306"/>
      <c r="H28" s="1305"/>
      <c r="I28" s="1305"/>
      <c r="J28" s="1305"/>
      <c r="K28" s="1305"/>
      <c r="L28" s="1305"/>
      <c r="M28" s="1305"/>
      <c r="N28" s="1305"/>
      <c r="O28" s="1305"/>
      <c r="P28" s="1312"/>
      <c r="Q28" s="1312"/>
      <c r="R28" s="1312"/>
      <c r="S28" s="1312"/>
      <c r="T28" s="1313"/>
      <c r="U28" s="1313"/>
      <c r="V28" s="1304"/>
      <c r="W28" s="1304"/>
    </row>
    <row r="29" spans="3:23" ht="16.2" thickBot="1">
      <c r="C29" s="1294" t="s">
        <v>1147</v>
      </c>
      <c r="D29" s="1314">
        <v>4061.6390000000001</v>
      </c>
      <c r="E29" s="1315">
        <v>3525.373</v>
      </c>
      <c r="F29" s="1315">
        <v>3421.9649999999997</v>
      </c>
      <c r="G29" s="1315">
        <v>3510.4839999999999</v>
      </c>
      <c r="H29" s="1315">
        <v>3812.1569999999997</v>
      </c>
      <c r="I29" s="1315">
        <v>4070.9720000000002</v>
      </c>
      <c r="J29" s="1315">
        <v>3977.65</v>
      </c>
      <c r="K29" s="1315">
        <v>4246.1009999999997</v>
      </c>
      <c r="L29" s="1315">
        <v>4606.9578107099996</v>
      </c>
      <c r="M29" s="1315">
        <v>4689.6754416199992</v>
      </c>
      <c r="N29" s="1315">
        <v>7480.6383165920897</v>
      </c>
      <c r="O29" s="1315">
        <v>8309.4793165920892</v>
      </c>
      <c r="P29" s="1315">
        <v>8865.679572243529</v>
      </c>
      <c r="Q29" s="1315">
        <v>8985.568725477895</v>
      </c>
      <c r="R29" s="1316">
        <v>10218.942003986091</v>
      </c>
      <c r="S29" s="1316">
        <v>12628.432206590018</v>
      </c>
      <c r="T29" s="1316">
        <v>11598.840003762376</v>
      </c>
      <c r="U29" s="1316">
        <v>11609.512177705841</v>
      </c>
      <c r="V29" s="1316">
        <v>11853.954170538029</v>
      </c>
      <c r="W29" s="1316">
        <v>13134</v>
      </c>
    </row>
    <row r="30" spans="3:23">
      <c r="C30" s="1317"/>
      <c r="D30" s="1317"/>
      <c r="E30" s="1318"/>
      <c r="F30" s="1318"/>
      <c r="G30" s="1319"/>
      <c r="H30" s="1319"/>
      <c r="I30" s="1319"/>
      <c r="J30" s="1319"/>
      <c r="K30" s="1319"/>
      <c r="L30" s="1319"/>
      <c r="M30" s="1319"/>
      <c r="N30" s="1319"/>
      <c r="O30" s="1320"/>
      <c r="P30" s="1320"/>
      <c r="Q30" s="1319"/>
      <c r="R30" s="1320"/>
      <c r="S30" s="1320"/>
      <c r="T30" s="1320"/>
      <c r="U30" s="1320"/>
      <c r="V30" s="1320"/>
    </row>
    <row r="31" spans="3:23" ht="21">
      <c r="C31" s="1431" t="s">
        <v>1780</v>
      </c>
      <c r="D31" s="1321"/>
      <c r="E31" s="1318"/>
      <c r="F31" s="1319"/>
      <c r="G31" s="1319"/>
      <c r="H31" s="1319"/>
      <c r="I31" s="1319"/>
      <c r="J31" s="1319"/>
      <c r="K31" s="1319"/>
      <c r="L31" s="1319"/>
      <c r="M31" s="1319"/>
      <c r="N31" s="1319"/>
      <c r="O31" s="1320"/>
      <c r="P31" s="1320"/>
      <c r="Q31" s="1319"/>
      <c r="R31" s="1320"/>
      <c r="S31" s="1320"/>
      <c r="T31" s="1320"/>
      <c r="U31" s="1320"/>
      <c r="V31" s="1320"/>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2"/>
    <col min="3" max="3" width="12.08984375" style="272" customWidth="1"/>
    <col min="4" max="4" width="12" style="272" customWidth="1"/>
    <col min="5" max="5" width="11.36328125" style="272" customWidth="1"/>
    <col min="6" max="6" width="11.453125" style="272" customWidth="1"/>
    <col min="7" max="7" width="11.36328125" style="272" customWidth="1"/>
    <col min="8" max="8" width="17.453125" style="272" customWidth="1"/>
    <col min="9" max="9" width="2.6328125" style="272" customWidth="1"/>
    <col min="10" max="16384" width="12.6328125" style="272"/>
  </cols>
  <sheetData>
    <row r="1" spans="3:23" ht="23.25" hidden="1" customHeight="1">
      <c r="C1" s="1891" t="s">
        <v>1159</v>
      </c>
      <c r="D1" s="1891"/>
      <c r="E1" s="1891"/>
      <c r="F1" s="1891"/>
      <c r="G1" s="1891"/>
      <c r="H1" s="1891"/>
      <c r="I1" s="162"/>
      <c r="J1" s="244"/>
      <c r="K1" s="244"/>
      <c r="L1" s="244"/>
      <c r="M1" s="244"/>
      <c r="N1" s="244"/>
      <c r="O1" s="244"/>
      <c r="P1" s="244"/>
      <c r="Q1" s="244"/>
      <c r="R1" s="244"/>
      <c r="S1" s="244"/>
      <c r="T1" s="244"/>
      <c r="U1" s="244"/>
      <c r="V1" s="244"/>
      <c r="W1" s="244"/>
    </row>
    <row r="2" spans="3:23" ht="12.9" hidden="1" customHeight="1" thickBot="1">
      <c r="C2" s="245"/>
      <c r="D2" s="245"/>
      <c r="E2" s="245"/>
      <c r="F2" s="245"/>
      <c r="G2" s="245"/>
      <c r="H2" s="245"/>
      <c r="I2" s="162"/>
      <c r="J2" s="244"/>
      <c r="K2" s="244"/>
      <c r="L2" s="244"/>
      <c r="M2" s="244"/>
      <c r="N2" s="244"/>
      <c r="O2" s="244"/>
      <c r="P2" s="244"/>
      <c r="Q2" s="244"/>
      <c r="R2" s="244"/>
      <c r="S2" s="244"/>
      <c r="T2" s="244"/>
      <c r="U2" s="244"/>
      <c r="V2" s="244"/>
      <c r="W2" s="244"/>
    </row>
    <row r="3" spans="3:23" ht="19.5" hidden="1" customHeight="1" thickTop="1">
      <c r="C3" s="246"/>
      <c r="D3" s="482"/>
      <c r="E3" s="482"/>
      <c r="F3" s="482"/>
      <c r="G3" s="482"/>
      <c r="H3" s="482"/>
      <c r="I3" s="164"/>
    </row>
    <row r="4" spans="3:23" ht="24" hidden="1" customHeight="1">
      <c r="C4" s="161"/>
      <c r="D4" s="483" t="s">
        <v>761</v>
      </c>
      <c r="E4" s="483" t="s">
        <v>764</v>
      </c>
      <c r="F4" s="483" t="s">
        <v>762</v>
      </c>
      <c r="G4" s="483" t="s">
        <v>763</v>
      </c>
      <c r="H4" s="483" t="s">
        <v>760</v>
      </c>
      <c r="I4" s="164"/>
    </row>
    <row r="5" spans="3:23" ht="24" hidden="1" customHeight="1">
      <c r="C5" s="163" t="s">
        <v>263</v>
      </c>
      <c r="D5" s="483" t="s">
        <v>1160</v>
      </c>
      <c r="E5" s="483" t="s">
        <v>1161</v>
      </c>
      <c r="F5" s="483" t="s">
        <v>1162</v>
      </c>
      <c r="G5" s="483" t="s">
        <v>1190</v>
      </c>
      <c r="H5" s="483" t="s">
        <v>1191</v>
      </c>
      <c r="I5" s="164"/>
    </row>
    <row r="6" spans="3:23" ht="12.75" hidden="1" customHeight="1">
      <c r="C6" s="163"/>
      <c r="D6" s="484"/>
      <c r="E6" s="484"/>
      <c r="F6" s="484"/>
      <c r="G6" s="484"/>
      <c r="H6" s="484"/>
      <c r="I6" s="164"/>
    </row>
    <row r="7" spans="3:23" ht="12.9" hidden="1" customHeight="1" thickBot="1">
      <c r="C7" s="247"/>
      <c r="D7" s="485"/>
      <c r="E7" s="485"/>
      <c r="F7" s="485"/>
      <c r="G7" s="485"/>
      <c r="H7" s="485"/>
      <c r="I7" s="164"/>
    </row>
    <row r="8" spans="3:23" ht="12.75" hidden="1" customHeight="1" thickTop="1">
      <c r="C8" s="246"/>
      <c r="D8" s="486"/>
      <c r="E8" s="486"/>
      <c r="F8" s="486"/>
      <c r="G8" s="486"/>
      <c r="H8" s="486"/>
      <c r="I8" s="162"/>
    </row>
    <row r="9" spans="3:23" ht="23.25" hidden="1" customHeight="1">
      <c r="C9" s="163">
        <v>2009</v>
      </c>
      <c r="D9" s="487"/>
      <c r="E9" s="487"/>
      <c r="F9" s="487"/>
      <c r="G9" s="487"/>
      <c r="H9" s="487"/>
      <c r="I9" s="162"/>
    </row>
    <row r="10" spans="3:23" ht="23.25" hidden="1" customHeight="1">
      <c r="C10" s="161"/>
      <c r="D10" s="487"/>
      <c r="E10" s="487"/>
      <c r="F10" s="487"/>
      <c r="G10" s="487"/>
      <c r="H10" s="487"/>
      <c r="I10" s="162"/>
    </row>
    <row r="11" spans="3:23" ht="24.75" hidden="1" customHeight="1">
      <c r="C11" s="161" t="s">
        <v>298</v>
      </c>
      <c r="D11" s="488">
        <v>10.042378096845308</v>
      </c>
      <c r="E11" s="488">
        <v>1.2885734081697975</v>
      </c>
      <c r="F11" s="488">
        <v>0.112170119336166</v>
      </c>
      <c r="G11" s="488">
        <v>1.2885734081697975</v>
      </c>
      <c r="H11" s="488">
        <v>14.275852434262701</v>
      </c>
      <c r="I11" s="162"/>
    </row>
    <row r="12" spans="3:23" ht="23.25" hidden="1" customHeight="1">
      <c r="C12" s="161" t="s">
        <v>299</v>
      </c>
      <c r="D12" s="488">
        <v>10.259999976947386</v>
      </c>
      <c r="E12" s="488">
        <v>1.2871169980786428</v>
      </c>
      <c r="F12" s="488">
        <v>0.11452810114731439</v>
      </c>
      <c r="G12" s="488">
        <v>1.2871169980786428</v>
      </c>
      <c r="H12" s="488">
        <v>14.745158969105162</v>
      </c>
      <c r="I12" s="162"/>
    </row>
    <row r="13" spans="3:23" ht="23.25" hidden="1" customHeight="1">
      <c r="C13" s="161" t="s">
        <v>300</v>
      </c>
      <c r="D13" s="488">
        <v>9.8863867799106746</v>
      </c>
      <c r="E13" s="488">
        <v>1.2478340862442787</v>
      </c>
      <c r="F13" s="488">
        <v>0.10130311595127124</v>
      </c>
      <c r="G13" s="488">
        <v>1.2478340862442787</v>
      </c>
      <c r="H13" s="488">
        <v>14.07695672207606</v>
      </c>
      <c r="I13" s="162"/>
    </row>
    <row r="14" spans="3:23" ht="23.25" hidden="1" customHeight="1">
      <c r="C14" s="161" t="s">
        <v>301</v>
      </c>
      <c r="D14" s="488">
        <v>9.0194012406724955</v>
      </c>
      <c r="E14" s="488">
        <v>1.2115256675357382</v>
      </c>
      <c r="F14" s="488">
        <v>9.1234379214240657E-2</v>
      </c>
      <c r="G14" s="488">
        <v>1.2115256675357382</v>
      </c>
      <c r="H14" s="488">
        <v>13.270916119751858</v>
      </c>
      <c r="I14" s="162"/>
    </row>
    <row r="15" spans="3:23" ht="23.25" hidden="1" customHeight="1">
      <c r="C15" s="161" t="s">
        <v>302</v>
      </c>
      <c r="D15" s="488">
        <v>8.3822835616515423</v>
      </c>
      <c r="E15" s="488">
        <v>1.1774860191139151</v>
      </c>
      <c r="F15" s="488">
        <v>8.686559833256198E-2</v>
      </c>
      <c r="G15" s="488">
        <v>1.1774860191139151</v>
      </c>
      <c r="H15" s="488">
        <v>12.919551738616239</v>
      </c>
      <c r="I15" s="162"/>
    </row>
    <row r="16" spans="3:23" ht="23.25" hidden="1" customHeight="1">
      <c r="C16" s="161" t="s">
        <v>303</v>
      </c>
      <c r="D16" s="488">
        <v>8.055873356373894</v>
      </c>
      <c r="E16" s="488">
        <v>1.1663786596750487</v>
      </c>
      <c r="F16" s="488">
        <v>8.3472371191355935E-2</v>
      </c>
      <c r="G16" s="488">
        <v>1.1663786596750487</v>
      </c>
      <c r="H16" s="488">
        <v>13.182417669725508</v>
      </c>
      <c r="I16" s="162"/>
    </row>
    <row r="17" spans="3:22" ht="23.25" hidden="1" customHeight="1">
      <c r="C17" s="161" t="s">
        <v>304</v>
      </c>
      <c r="D17" s="488">
        <v>7.9559301648155465</v>
      </c>
      <c r="E17" s="488">
        <v>1.1580124410366281</v>
      </c>
      <c r="F17" s="488">
        <v>8.4164928304298059E-2</v>
      </c>
      <c r="G17" s="488">
        <v>1.1580124410366281</v>
      </c>
      <c r="H17" s="488">
        <v>13.014263967976545</v>
      </c>
      <c r="I17" s="162"/>
    </row>
    <row r="18" spans="3:22" ht="23.25" hidden="1" customHeight="1">
      <c r="C18" s="161" t="s">
        <v>305</v>
      </c>
      <c r="D18" s="488">
        <v>7.81</v>
      </c>
      <c r="E18" s="488">
        <v>1.1499999999999999</v>
      </c>
      <c r="F18" s="488">
        <v>0.08</v>
      </c>
      <c r="G18" s="488">
        <v>11.13</v>
      </c>
      <c r="H18" s="488">
        <v>12.65</v>
      </c>
      <c r="I18" s="162"/>
    </row>
    <row r="19" spans="3:22" ht="23.25" hidden="1" customHeight="1">
      <c r="C19" s="161" t="s">
        <v>306</v>
      </c>
      <c r="D19" s="488">
        <v>7.81</v>
      </c>
      <c r="E19" s="488">
        <v>1.1499999999999999</v>
      </c>
      <c r="F19" s="488">
        <v>0.08</v>
      </c>
      <c r="G19" s="488">
        <v>11.13</v>
      </c>
      <c r="H19" s="488">
        <v>12.65</v>
      </c>
      <c r="I19" s="162"/>
    </row>
    <row r="20" spans="3:22" ht="23.25" hidden="1" customHeight="1">
      <c r="C20" s="161" t="s">
        <v>307</v>
      </c>
      <c r="D20" s="488">
        <v>7.74</v>
      </c>
      <c r="E20" s="488">
        <v>1.1499999999999999</v>
      </c>
      <c r="F20" s="488">
        <v>0.09</v>
      </c>
      <c r="G20" s="488">
        <v>11.48</v>
      </c>
      <c r="H20" s="488">
        <v>12.8</v>
      </c>
      <c r="I20" s="162"/>
    </row>
    <row r="21" spans="3:22" ht="23.25" hidden="1" customHeight="1">
      <c r="C21" s="161" t="s">
        <v>308</v>
      </c>
      <c r="D21" s="488">
        <v>7.38</v>
      </c>
      <c r="E21" s="488">
        <v>1.1100000000000001</v>
      </c>
      <c r="F21" s="488">
        <v>0.09</v>
      </c>
      <c r="G21" s="488">
        <v>11.11</v>
      </c>
      <c r="H21" s="488">
        <v>12.21</v>
      </c>
      <c r="I21" s="162"/>
    </row>
    <row r="22" spans="3:22" ht="23.25" hidden="1" customHeight="1">
      <c r="C22" s="161" t="s">
        <v>311</v>
      </c>
      <c r="D22" s="488">
        <v>7.39</v>
      </c>
      <c r="E22" s="488">
        <v>1.1100000000000001</v>
      </c>
      <c r="F22" s="488">
        <v>0.08</v>
      </c>
      <c r="G22" s="488">
        <v>10.56</v>
      </c>
      <c r="H22" s="488">
        <v>11.88</v>
      </c>
      <c r="I22" s="162"/>
    </row>
    <row r="23" spans="3:22" ht="23.25" hidden="1" customHeight="1">
      <c r="C23" s="163">
        <v>2010</v>
      </c>
      <c r="D23" s="488"/>
      <c r="E23" s="488"/>
      <c r="F23" s="488"/>
      <c r="G23" s="488"/>
      <c r="H23" s="488"/>
      <c r="I23" s="162"/>
    </row>
    <row r="24" spans="3:22" ht="9.6" hidden="1" customHeight="1">
      <c r="C24" s="163"/>
      <c r="D24" s="488"/>
      <c r="E24" s="488"/>
      <c r="F24" s="488"/>
      <c r="G24" s="488"/>
      <c r="H24" s="488"/>
      <c r="I24" s="162"/>
    </row>
    <row r="25" spans="3:22" ht="23.25" hidden="1" customHeight="1">
      <c r="C25" s="161" t="s">
        <v>298</v>
      </c>
      <c r="D25" s="488">
        <v>7.62</v>
      </c>
      <c r="E25" s="488">
        <v>6.8259385665529013</v>
      </c>
      <c r="F25" s="488">
        <v>89.84</v>
      </c>
      <c r="G25" s="488">
        <f>1/0.710732054015636</f>
        <v>1.4070000000000003</v>
      </c>
      <c r="H25" s="488">
        <f>1/0.619962802231866</f>
        <v>1.6130000000000004</v>
      </c>
      <c r="I25" s="162"/>
    </row>
    <row r="26" spans="3:22" ht="23.25" hidden="1" customHeight="1">
      <c r="C26" s="161" t="s">
        <v>299</v>
      </c>
      <c r="D26" s="488">
        <v>7.7</v>
      </c>
      <c r="E26" s="488">
        <v>6.92</v>
      </c>
      <c r="F26" s="488">
        <v>89.25</v>
      </c>
      <c r="G26" s="488">
        <f>1.36</f>
        <v>1.36</v>
      </c>
      <c r="H26" s="488">
        <f>1.51</f>
        <v>1.51</v>
      </c>
      <c r="I26" s="162"/>
    </row>
    <row r="27" spans="3:22" ht="23.25" hidden="1" customHeight="1">
      <c r="C27" s="161" t="s">
        <v>300</v>
      </c>
      <c r="D27" s="488">
        <v>7.38</v>
      </c>
      <c r="E27" s="488">
        <v>6.7842605156037994</v>
      </c>
      <c r="F27" s="488">
        <v>93.26</v>
      </c>
      <c r="G27" s="488">
        <f>1/0.74582338902148</f>
        <v>1.3407999999999993</v>
      </c>
      <c r="H27" s="488">
        <f>1/0.663305916688777</f>
        <v>1.5075999999999996</v>
      </c>
      <c r="I27" s="162"/>
    </row>
    <row r="28" spans="3:22" ht="23.25" hidden="1" customHeight="1">
      <c r="C28" s="161" t="s">
        <v>301</v>
      </c>
      <c r="D28" s="488">
        <v>7.3257000000000003</v>
      </c>
      <c r="E28" s="488">
        <v>6.8027210884353746</v>
      </c>
      <c r="F28" s="488">
        <v>94.045000000000002</v>
      </c>
      <c r="G28" s="488">
        <f>1/0.753295668549906</f>
        <v>1.3274999999999997</v>
      </c>
      <c r="H28" s="488">
        <f>1/0.650195058517555</f>
        <v>1.5380000000000007</v>
      </c>
      <c r="I28" s="162"/>
    </row>
    <row r="29" spans="3:22" ht="23.25" hidden="1" customHeight="1">
      <c r="C29" s="161" t="s">
        <v>302</v>
      </c>
      <c r="D29" s="488">
        <v>7.6146000000000003</v>
      </c>
      <c r="E29" s="488">
        <v>7.0323488045007032</v>
      </c>
      <c r="F29" s="488">
        <v>91.44</v>
      </c>
      <c r="G29" s="488">
        <f>1/0.812677773262901</f>
        <v>1.2305000000000004</v>
      </c>
      <c r="H29" s="488">
        <f>1/0.690226394257316</f>
        <v>1.4488000000000008</v>
      </c>
      <c r="I29" s="162"/>
    </row>
    <row r="30" spans="3:22" ht="23.25" hidden="1" customHeight="1" thickBot="1">
      <c r="C30" s="161" t="s">
        <v>303</v>
      </c>
      <c r="D30" s="488">
        <v>7.6275000000000004</v>
      </c>
      <c r="E30" s="488">
        <v>7.1787508973438614</v>
      </c>
      <c r="F30" s="488">
        <v>88.635000000000005</v>
      </c>
      <c r="G30" s="488">
        <f>1/0.81732733959951</f>
        <v>1.2234999999999994</v>
      </c>
      <c r="H30" s="488">
        <f>1/0.664495979799322</f>
        <v>1.5049000000000006</v>
      </c>
      <c r="I30" s="162"/>
    </row>
    <row r="31" spans="3:22" ht="23.25" hidden="1" customHeight="1" thickTop="1">
      <c r="C31" s="161" t="s">
        <v>304</v>
      </c>
      <c r="D31" s="488">
        <v>7.3670999999999998</v>
      </c>
      <c r="E31" s="488">
        <v>6.85</v>
      </c>
      <c r="F31" s="488">
        <v>86.444999999999993</v>
      </c>
      <c r="G31" s="488">
        <f>1.3077</f>
        <v>1.3077000000000001</v>
      </c>
      <c r="H31" s="488">
        <f>1.5614</f>
        <v>1.5613999999999999</v>
      </c>
      <c r="I31" s="282"/>
      <c r="J31" s="282"/>
      <c r="K31" s="279"/>
      <c r="L31" s="273"/>
      <c r="M31" s="273"/>
      <c r="N31" s="273"/>
      <c r="O31" s="273"/>
      <c r="P31" s="273"/>
      <c r="Q31" s="273"/>
      <c r="R31" s="273"/>
      <c r="S31" s="273"/>
      <c r="T31" s="273"/>
      <c r="U31" s="273"/>
      <c r="V31" s="274"/>
    </row>
    <row r="32" spans="3:22" ht="23.25" hidden="1" customHeight="1">
      <c r="C32" s="161" t="s">
        <v>305</v>
      </c>
      <c r="D32" s="488">
        <v>7.3208000000000002</v>
      </c>
      <c r="E32" s="488">
        <v>6.88</v>
      </c>
      <c r="F32" s="488">
        <v>85.5</v>
      </c>
      <c r="G32" s="488">
        <f>1.27</f>
        <v>1.27</v>
      </c>
      <c r="H32" s="488">
        <f>1.5536</f>
        <v>1.5536000000000001</v>
      </c>
      <c r="I32" s="282"/>
      <c r="J32" s="280"/>
      <c r="K32" s="275"/>
      <c r="L32" s="275"/>
      <c r="M32" s="275"/>
      <c r="N32" s="748"/>
      <c r="O32" s="748"/>
      <c r="P32" s="748"/>
      <c r="Q32" s="275"/>
      <c r="R32" s="748"/>
      <c r="S32" s="275"/>
      <c r="T32" s="275"/>
      <c r="U32" s="275"/>
      <c r="V32" s="276"/>
    </row>
    <row r="33" spans="3:22" ht="23.25" hidden="1" customHeight="1">
      <c r="C33" s="161" t="s">
        <v>306</v>
      </c>
      <c r="D33" s="488">
        <v>6.9764999999999997</v>
      </c>
      <c r="E33" s="488">
        <v>6.67</v>
      </c>
      <c r="F33" s="488">
        <v>83.36</v>
      </c>
      <c r="G33" s="488">
        <f>1.3577</f>
        <v>1.3576999999999999</v>
      </c>
      <c r="H33" s="488">
        <f>1.5853</f>
        <v>1.5852999999999999</v>
      </c>
      <c r="I33" s="749"/>
      <c r="J33" s="750"/>
      <c r="K33" s="748"/>
      <c r="L33" s="275"/>
      <c r="M33" s="275"/>
      <c r="N33" s="748"/>
      <c r="O33" s="748"/>
      <c r="P33" s="748"/>
      <c r="Q33" s="748"/>
      <c r="R33" s="748"/>
      <c r="S33" s="748"/>
      <c r="T33" s="275"/>
      <c r="U33" s="748"/>
      <c r="V33" s="748"/>
    </row>
    <row r="34" spans="3:22" ht="23.25" hidden="1" customHeight="1" thickBot="1">
      <c r="C34" s="161" t="s">
        <v>307</v>
      </c>
      <c r="D34" s="488">
        <v>7.0167999999999999</v>
      </c>
      <c r="E34" s="488">
        <v>6.67</v>
      </c>
      <c r="F34" s="488">
        <v>80.66</v>
      </c>
      <c r="G34" s="488">
        <f>1.3881</f>
        <v>1.3880999999999999</v>
      </c>
      <c r="H34" s="488">
        <f>1.5943</f>
        <v>1.5943000000000001</v>
      </c>
      <c r="I34" s="749"/>
      <c r="J34" s="750"/>
      <c r="K34" s="751"/>
      <c r="L34" s="277"/>
      <c r="M34" s="751"/>
      <c r="N34" s="751"/>
      <c r="O34" s="751"/>
      <c r="P34" s="751"/>
      <c r="Q34" s="751"/>
      <c r="R34" s="751"/>
      <c r="S34" s="751"/>
      <c r="T34" s="751"/>
      <c r="U34" s="751"/>
      <c r="V34" s="751"/>
    </row>
    <row r="35" spans="3:22" ht="23.25" hidden="1" customHeight="1" thickTop="1">
      <c r="C35" s="161" t="s">
        <v>308</v>
      </c>
      <c r="D35" s="488">
        <v>7.1349999999999998</v>
      </c>
      <c r="E35" s="488">
        <v>6.51</v>
      </c>
      <c r="F35" s="488">
        <v>84.07</v>
      </c>
      <c r="G35" s="488">
        <f>1.31095</f>
        <v>1.3109500000000001</v>
      </c>
      <c r="H35" s="488">
        <f>1.5552</f>
        <v>1.5551999999999999</v>
      </c>
      <c r="I35" s="749"/>
      <c r="J35" s="750"/>
      <c r="K35" s="752"/>
      <c r="L35" s="752"/>
      <c r="M35" s="752"/>
      <c r="N35" s="752"/>
      <c r="O35" s="752"/>
      <c r="P35" s="752"/>
      <c r="Q35" s="752"/>
      <c r="R35" s="752"/>
      <c r="S35" s="752"/>
      <c r="T35" s="752"/>
      <c r="U35" s="752"/>
      <c r="V35" s="752"/>
    </row>
    <row r="36" spans="3:22" ht="23.25" hidden="1" customHeight="1">
      <c r="C36" s="161" t="s">
        <v>311</v>
      </c>
      <c r="D36" s="488">
        <v>6.62</v>
      </c>
      <c r="E36" s="488">
        <v>6.67</v>
      </c>
      <c r="F36" s="488">
        <v>81.254999999999995</v>
      </c>
      <c r="G36" s="488">
        <f>1.3306</f>
        <v>1.3306</v>
      </c>
      <c r="H36" s="488">
        <f>1.5556</f>
        <v>1.5556000000000001</v>
      </c>
      <c r="I36" s="282"/>
      <c r="J36" s="280"/>
      <c r="K36" s="275"/>
      <c r="L36" s="275"/>
      <c r="M36" s="275"/>
      <c r="N36" s="275"/>
      <c r="O36" s="275"/>
      <c r="P36" s="275"/>
      <c r="Q36" s="275"/>
      <c r="R36" s="275"/>
      <c r="S36" s="275"/>
      <c r="T36" s="275"/>
      <c r="U36" s="275"/>
      <c r="V36" s="275"/>
    </row>
    <row r="37" spans="3:22" ht="23.25" hidden="1" customHeight="1" thickBot="1">
      <c r="C37" s="161"/>
      <c r="D37" s="488"/>
      <c r="E37" s="753"/>
      <c r="F37" s="488"/>
      <c r="G37" s="488"/>
      <c r="H37" s="488"/>
      <c r="I37" s="749"/>
      <c r="J37" s="750"/>
      <c r="K37" s="751"/>
      <c r="L37" s="751"/>
      <c r="M37" s="751"/>
      <c r="N37" s="751"/>
      <c r="O37" s="751"/>
      <c r="P37" s="751"/>
      <c r="Q37" s="751"/>
      <c r="R37" s="751"/>
      <c r="S37" s="751"/>
      <c r="T37" s="751"/>
      <c r="U37" s="751"/>
      <c r="V37" s="751"/>
    </row>
    <row r="38" spans="3:22" ht="23.25" hidden="1" customHeight="1" thickTop="1">
      <c r="C38" s="562">
        <v>2011</v>
      </c>
      <c r="D38" s="562"/>
      <c r="E38" s="607"/>
      <c r="F38" s="562"/>
      <c r="G38" s="562"/>
      <c r="H38" s="562"/>
      <c r="I38" s="749"/>
      <c r="J38" s="750"/>
      <c r="K38" s="752"/>
      <c r="L38" s="752"/>
      <c r="M38" s="752"/>
      <c r="N38" s="752"/>
      <c r="O38" s="752"/>
      <c r="P38" s="752"/>
      <c r="Q38" s="752"/>
      <c r="R38" s="752"/>
      <c r="S38" s="752"/>
      <c r="T38" s="752"/>
      <c r="U38" s="752"/>
      <c r="V38" s="752"/>
    </row>
    <row r="39" spans="3:22" ht="23.25" hidden="1" customHeight="1">
      <c r="C39" s="615"/>
      <c r="D39" s="562"/>
      <c r="E39" s="609"/>
      <c r="F39" s="562"/>
      <c r="G39" s="562"/>
      <c r="H39" s="562"/>
      <c r="I39" s="282"/>
      <c r="J39" s="280"/>
      <c r="K39" s="275"/>
      <c r="L39" s="275"/>
      <c r="M39" s="275"/>
      <c r="N39" s="275"/>
      <c r="O39" s="275"/>
      <c r="P39" s="275"/>
      <c r="Q39" s="275"/>
      <c r="R39" s="275"/>
      <c r="S39" s="275"/>
      <c r="T39" s="275"/>
      <c r="U39" s="275"/>
      <c r="V39" s="275"/>
    </row>
    <row r="40" spans="3:22" ht="23.25" hidden="1" customHeight="1">
      <c r="C40" s="615" t="s">
        <v>298</v>
      </c>
      <c r="D40" s="562">
        <v>7.17</v>
      </c>
      <c r="E40" s="562">
        <v>6.67</v>
      </c>
      <c r="F40" s="562">
        <v>82.01</v>
      </c>
      <c r="G40" s="562">
        <v>1.36</v>
      </c>
      <c r="H40" s="562">
        <v>1.59</v>
      </c>
      <c r="I40" s="282"/>
      <c r="J40" s="280"/>
      <c r="K40" s="275"/>
      <c r="L40" s="275"/>
      <c r="M40" s="275"/>
      <c r="N40" s="275"/>
      <c r="O40" s="275"/>
      <c r="P40" s="275"/>
      <c r="Q40" s="275"/>
      <c r="R40" s="275"/>
      <c r="S40" s="275"/>
      <c r="T40" s="275"/>
      <c r="U40" s="275"/>
      <c r="V40" s="275"/>
    </row>
    <row r="41" spans="3:22" ht="23.25" hidden="1" customHeight="1">
      <c r="C41" s="615" t="s">
        <v>299</v>
      </c>
      <c r="D41" s="562">
        <v>6.99</v>
      </c>
      <c r="E41" s="609">
        <v>6.67</v>
      </c>
      <c r="F41" s="562">
        <v>81.66</v>
      </c>
      <c r="G41" s="562">
        <v>1.38</v>
      </c>
      <c r="H41" s="562">
        <v>1.61</v>
      </c>
      <c r="I41" s="282"/>
      <c r="J41" s="280"/>
      <c r="K41" s="275"/>
      <c r="L41" s="275"/>
      <c r="M41" s="275"/>
      <c r="N41" s="275"/>
      <c r="O41" s="275"/>
      <c r="P41" s="275"/>
      <c r="Q41" s="275"/>
      <c r="R41" s="275"/>
      <c r="S41" s="275"/>
      <c r="T41" s="275"/>
      <c r="U41" s="275"/>
      <c r="V41" s="275"/>
    </row>
    <row r="42" spans="3:22" ht="23.25" hidden="1" customHeight="1">
      <c r="C42" s="615" t="s">
        <v>300</v>
      </c>
      <c r="D42" s="562">
        <v>6.8</v>
      </c>
      <c r="E42" s="609">
        <v>6.55</v>
      </c>
      <c r="F42" s="562">
        <v>82.76</v>
      </c>
      <c r="G42" s="562">
        <v>1.42</v>
      </c>
      <c r="H42" s="562">
        <v>1.61</v>
      </c>
      <c r="I42" s="282"/>
      <c r="J42" s="280"/>
      <c r="K42" s="275"/>
      <c r="L42" s="275"/>
      <c r="M42" s="275"/>
      <c r="N42" s="275"/>
      <c r="O42" s="275"/>
      <c r="P42" s="275"/>
      <c r="Q42" s="275"/>
      <c r="R42" s="275"/>
      <c r="S42" s="275"/>
      <c r="T42" s="275"/>
      <c r="U42" s="275"/>
      <c r="V42" s="275"/>
    </row>
    <row r="43" spans="3:22" ht="23.25" hidden="1" customHeight="1">
      <c r="C43" s="615" t="s">
        <v>301</v>
      </c>
      <c r="D43" s="562">
        <v>6.61</v>
      </c>
      <c r="E43" s="609">
        <v>6.38</v>
      </c>
      <c r="F43" s="562">
        <v>81.569999999999993</v>
      </c>
      <c r="G43" s="562">
        <v>1.48</v>
      </c>
      <c r="H43" s="562">
        <v>1.67</v>
      </c>
      <c r="I43" s="282"/>
      <c r="J43" s="280"/>
      <c r="K43" s="275"/>
      <c r="L43" s="275"/>
      <c r="M43" s="275"/>
      <c r="N43" s="275"/>
      <c r="O43" s="275"/>
      <c r="P43" s="275"/>
      <c r="Q43" s="275"/>
      <c r="R43" s="275"/>
      <c r="S43" s="275"/>
      <c r="T43" s="275"/>
      <c r="U43" s="275"/>
      <c r="V43" s="275"/>
    </row>
    <row r="44" spans="3:22" ht="23.25" hidden="1" customHeight="1">
      <c r="C44" s="615" t="s">
        <v>302</v>
      </c>
      <c r="D44" s="562">
        <v>6.9</v>
      </c>
      <c r="E44" s="609">
        <v>6.61</v>
      </c>
      <c r="F44" s="562">
        <v>81.430000000000007</v>
      </c>
      <c r="G44" s="562">
        <v>1.44</v>
      </c>
      <c r="H44" s="562">
        <v>1.65</v>
      </c>
      <c r="I44" s="282"/>
      <c r="J44" s="280"/>
      <c r="K44" s="275"/>
      <c r="L44" s="275"/>
      <c r="M44" s="275"/>
      <c r="N44" s="275"/>
      <c r="O44" s="275"/>
      <c r="P44" s="275"/>
      <c r="Q44" s="275"/>
      <c r="R44" s="275"/>
      <c r="S44" s="275"/>
      <c r="T44" s="275"/>
      <c r="U44" s="275"/>
      <c r="V44" s="275"/>
    </row>
    <row r="45" spans="3:22" ht="23.25" hidden="1" customHeight="1">
      <c r="C45" s="615" t="s">
        <v>303</v>
      </c>
      <c r="D45" s="562">
        <v>6.79</v>
      </c>
      <c r="E45" s="609">
        <v>6.53</v>
      </c>
      <c r="F45" s="562">
        <v>80.45</v>
      </c>
      <c r="G45" s="562">
        <v>1.45</v>
      </c>
      <c r="H45" s="562">
        <v>1.61</v>
      </c>
      <c r="I45" s="282"/>
      <c r="J45" s="280"/>
      <c r="K45" s="275"/>
      <c r="L45" s="275"/>
      <c r="M45" s="275"/>
      <c r="N45" s="275"/>
      <c r="O45" s="275"/>
      <c r="P45" s="275"/>
      <c r="Q45" s="275"/>
      <c r="R45" s="275"/>
      <c r="S45" s="275"/>
      <c r="T45" s="275"/>
      <c r="U45" s="275"/>
      <c r="V45" s="275"/>
    </row>
    <row r="46" spans="3:22" ht="23.25" hidden="1" customHeight="1">
      <c r="C46" s="615" t="s">
        <v>304</v>
      </c>
      <c r="D46" s="562">
        <v>6.76</v>
      </c>
      <c r="E46" s="609">
        <v>6.51</v>
      </c>
      <c r="F46" s="562">
        <v>77.510000000000005</v>
      </c>
      <c r="G46" s="562">
        <v>1.43</v>
      </c>
      <c r="H46" s="562">
        <v>1.63</v>
      </c>
      <c r="I46" s="282"/>
      <c r="J46" s="280"/>
      <c r="K46" s="275"/>
      <c r="L46" s="275"/>
      <c r="M46" s="275"/>
      <c r="N46" s="275"/>
      <c r="O46" s="275"/>
      <c r="P46" s="275"/>
      <c r="Q46" s="275"/>
      <c r="R46" s="275"/>
      <c r="S46" s="275"/>
      <c r="T46" s="275"/>
      <c r="U46" s="275"/>
      <c r="V46" s="275"/>
    </row>
    <row r="47" spans="3:22" ht="23.25" hidden="1" customHeight="1">
      <c r="C47" s="615" t="s">
        <v>305</v>
      </c>
      <c r="D47" s="562">
        <v>7.05</v>
      </c>
      <c r="E47" s="562">
        <v>6.72</v>
      </c>
      <c r="F47" s="562">
        <v>76.59</v>
      </c>
      <c r="G47" s="562">
        <v>1.44</v>
      </c>
      <c r="H47" s="562">
        <v>1.63</v>
      </c>
      <c r="I47" s="282"/>
      <c r="J47" s="280"/>
      <c r="K47" s="275"/>
      <c r="L47" s="275"/>
      <c r="M47" s="275"/>
      <c r="N47" s="275"/>
      <c r="O47" s="275"/>
      <c r="P47" s="275"/>
      <c r="Q47" s="275"/>
      <c r="R47" s="275"/>
      <c r="S47" s="275"/>
      <c r="T47" s="275"/>
      <c r="U47" s="275"/>
      <c r="V47" s="275"/>
    </row>
    <row r="48" spans="3:22" ht="23.25" hidden="1" customHeight="1">
      <c r="C48" s="615" t="s">
        <v>306</v>
      </c>
      <c r="D48" s="562">
        <v>7.97</v>
      </c>
      <c r="E48" s="562">
        <v>7.31</v>
      </c>
      <c r="F48" s="562">
        <v>76.63</v>
      </c>
      <c r="G48" s="562">
        <v>1.35</v>
      </c>
      <c r="H48" s="562">
        <v>1.56</v>
      </c>
      <c r="I48" s="282"/>
      <c r="J48" s="280"/>
      <c r="K48" s="275"/>
      <c r="L48" s="275"/>
      <c r="M48" s="275"/>
      <c r="N48" s="275"/>
      <c r="O48" s="275"/>
      <c r="P48" s="275"/>
      <c r="Q48" s="275"/>
      <c r="R48" s="275"/>
      <c r="S48" s="275"/>
      <c r="T48" s="275"/>
      <c r="U48" s="275"/>
      <c r="V48" s="275"/>
    </row>
    <row r="49" spans="2:22" ht="23.25" hidden="1" customHeight="1">
      <c r="C49" s="615" t="s">
        <v>307</v>
      </c>
      <c r="D49" s="562">
        <v>7.84</v>
      </c>
      <c r="E49" s="562">
        <v>7.22</v>
      </c>
      <c r="F49" s="562">
        <v>79.47</v>
      </c>
      <c r="G49" s="562">
        <v>1.4</v>
      </c>
      <c r="H49" s="562">
        <v>1.6</v>
      </c>
      <c r="I49" s="282"/>
      <c r="J49" s="280"/>
      <c r="K49" s="275"/>
      <c r="L49" s="275"/>
      <c r="M49" s="275"/>
      <c r="N49" s="275"/>
      <c r="O49" s="275"/>
      <c r="P49" s="275"/>
      <c r="Q49" s="275"/>
      <c r="R49" s="275"/>
      <c r="S49" s="275"/>
      <c r="T49" s="275"/>
      <c r="U49" s="275"/>
      <c r="V49" s="275"/>
    </row>
    <row r="50" spans="2:22" ht="23.25" hidden="1" customHeight="1">
      <c r="C50" s="615" t="s">
        <v>308</v>
      </c>
      <c r="D50" s="562">
        <v>8.3699999999999992</v>
      </c>
      <c r="E50" s="562">
        <v>7.57</v>
      </c>
      <c r="F50" s="562">
        <v>77.900000000000006</v>
      </c>
      <c r="G50" s="562">
        <v>1.33</v>
      </c>
      <c r="H50" s="562">
        <v>1.56</v>
      </c>
      <c r="I50" s="282"/>
      <c r="J50" s="280"/>
      <c r="K50" s="275"/>
      <c r="L50" s="275"/>
      <c r="M50" s="275"/>
      <c r="N50" s="275"/>
      <c r="O50" s="275"/>
      <c r="P50" s="275"/>
      <c r="Q50" s="275"/>
      <c r="R50" s="275"/>
      <c r="S50" s="275"/>
      <c r="T50" s="275"/>
      <c r="U50" s="275"/>
      <c r="V50" s="275"/>
    </row>
    <row r="51" spans="2:22" ht="23.25" hidden="1" customHeight="1">
      <c r="C51" s="615" t="s">
        <v>311</v>
      </c>
      <c r="D51" s="562">
        <v>8.17</v>
      </c>
      <c r="E51" s="562">
        <v>7.54</v>
      </c>
      <c r="F51" s="562">
        <v>77.56</v>
      </c>
      <c r="G51" s="562">
        <v>1.3</v>
      </c>
      <c r="H51" s="562">
        <v>1.54</v>
      </c>
      <c r="I51" s="282"/>
      <c r="J51" s="280"/>
      <c r="K51" s="275"/>
      <c r="L51" s="275"/>
      <c r="M51" s="275"/>
      <c r="N51" s="275"/>
      <c r="O51" s="275"/>
      <c r="P51" s="275"/>
      <c r="Q51" s="275"/>
      <c r="R51" s="275"/>
      <c r="S51" s="275"/>
      <c r="T51" s="275"/>
      <c r="U51" s="275"/>
      <c r="V51" s="275"/>
    </row>
    <row r="52" spans="2:22" ht="23.25" hidden="1" customHeight="1">
      <c r="C52" s="541"/>
      <c r="D52" s="488"/>
      <c r="E52" s="488"/>
      <c r="F52" s="488"/>
      <c r="G52" s="488"/>
      <c r="H52" s="488"/>
      <c r="I52" s="282"/>
      <c r="J52" s="280"/>
      <c r="K52" s="275"/>
      <c r="L52" s="275"/>
      <c r="M52" s="275"/>
      <c r="N52" s="275"/>
      <c r="O52" s="275"/>
      <c r="P52" s="275"/>
      <c r="Q52" s="275"/>
      <c r="R52" s="275"/>
      <c r="S52" s="275"/>
      <c r="T52" s="275"/>
      <c r="U52" s="275"/>
      <c r="V52" s="275"/>
    </row>
    <row r="53" spans="2:22" ht="23.25" hidden="1" customHeight="1">
      <c r="C53" s="562">
        <v>2012</v>
      </c>
      <c r="D53" s="562"/>
      <c r="E53" s="562"/>
      <c r="F53" s="562"/>
      <c r="G53" s="562"/>
      <c r="H53" s="562"/>
      <c r="I53" s="282"/>
      <c r="J53" s="280"/>
      <c r="K53" s="275"/>
      <c r="L53" s="275"/>
      <c r="M53" s="275"/>
      <c r="N53" s="275"/>
      <c r="O53" s="275"/>
      <c r="P53" s="275"/>
      <c r="Q53" s="275"/>
      <c r="R53" s="275"/>
      <c r="S53" s="275"/>
      <c r="T53" s="275"/>
      <c r="U53" s="275"/>
      <c r="V53" s="275"/>
    </row>
    <row r="54" spans="2:22" ht="23.25" hidden="1" customHeight="1">
      <c r="C54" s="615"/>
      <c r="D54" s="562"/>
      <c r="E54" s="562"/>
      <c r="F54" s="562"/>
      <c r="G54" s="562"/>
      <c r="H54" s="562"/>
      <c r="I54" s="282"/>
      <c r="J54" s="280"/>
      <c r="K54" s="275"/>
      <c r="L54" s="275"/>
      <c r="M54" s="275"/>
      <c r="N54" s="275"/>
      <c r="O54" s="275"/>
      <c r="P54" s="275"/>
      <c r="Q54" s="275"/>
      <c r="R54" s="275"/>
      <c r="S54" s="275"/>
      <c r="T54" s="275"/>
      <c r="U54" s="275"/>
      <c r="V54" s="275"/>
    </row>
    <row r="55" spans="2:22" ht="23.25" hidden="1" customHeight="1">
      <c r="C55" s="615" t="s">
        <v>298</v>
      </c>
      <c r="D55" s="562">
        <v>7.82</v>
      </c>
      <c r="E55" s="562">
        <v>7.32</v>
      </c>
      <c r="F55" s="562">
        <v>76.2</v>
      </c>
      <c r="G55" s="562">
        <v>1.32</v>
      </c>
      <c r="H55" s="562">
        <v>1.6</v>
      </c>
      <c r="I55" s="282"/>
      <c r="J55" s="280"/>
      <c r="K55" s="275"/>
      <c r="L55" s="275"/>
      <c r="M55" s="275"/>
      <c r="N55" s="275"/>
      <c r="O55" s="275"/>
      <c r="P55" s="275"/>
      <c r="Q55" s="275"/>
      <c r="R55" s="275"/>
      <c r="S55" s="275"/>
      <c r="T55" s="275"/>
      <c r="U55" s="275"/>
      <c r="V55" s="275"/>
    </row>
    <row r="56" spans="2:22" ht="23.25" hidden="1" customHeight="1">
      <c r="C56" s="615" t="s">
        <v>299</v>
      </c>
      <c r="D56" s="562">
        <v>7.47</v>
      </c>
      <c r="E56" s="562">
        <v>7.13</v>
      </c>
      <c r="F56" s="562">
        <v>80.28</v>
      </c>
      <c r="G56" s="562">
        <v>1.35</v>
      </c>
      <c r="H56" s="562">
        <v>1.6</v>
      </c>
      <c r="I56" s="282"/>
      <c r="J56" s="280"/>
      <c r="K56" s="275"/>
      <c r="L56" s="275"/>
      <c r="M56" s="275"/>
      <c r="N56" s="275"/>
      <c r="O56" s="275"/>
      <c r="P56" s="275"/>
      <c r="Q56" s="275"/>
      <c r="R56" s="275"/>
      <c r="S56" s="275"/>
      <c r="T56" s="275"/>
      <c r="U56" s="275"/>
      <c r="V56" s="275"/>
    </row>
    <row r="57" spans="2:22" ht="23.25" hidden="1" customHeight="1">
      <c r="C57" s="615" t="s">
        <v>300</v>
      </c>
      <c r="D57" s="562">
        <v>7.59</v>
      </c>
      <c r="E57" s="562">
        <v>7.29</v>
      </c>
      <c r="F57" s="562">
        <v>81.92</v>
      </c>
      <c r="G57" s="562">
        <v>1.33</v>
      </c>
      <c r="H57" s="562">
        <v>1.59</v>
      </c>
      <c r="I57" s="282"/>
      <c r="J57" s="280"/>
      <c r="K57" s="275"/>
      <c r="L57" s="275"/>
      <c r="M57" s="275"/>
      <c r="N57" s="275"/>
      <c r="O57" s="275"/>
      <c r="P57" s="275"/>
      <c r="Q57" s="275"/>
      <c r="R57" s="275"/>
      <c r="S57" s="275"/>
      <c r="T57" s="275"/>
      <c r="U57" s="275"/>
      <c r="V57" s="275"/>
    </row>
    <row r="58" spans="2:22" ht="14.1" hidden="1" customHeight="1">
      <c r="B58" s="272" t="s">
        <v>296</v>
      </c>
      <c r="C58" s="615" t="s">
        <v>301</v>
      </c>
      <c r="D58" s="562">
        <v>7.82</v>
      </c>
      <c r="E58" s="562">
        <v>7.41</v>
      </c>
      <c r="F58" s="562">
        <v>80.78</v>
      </c>
      <c r="G58" s="562">
        <v>1.32</v>
      </c>
      <c r="H58" s="562">
        <v>1.61</v>
      </c>
      <c r="I58" s="282"/>
      <c r="J58" s="280"/>
      <c r="K58" s="275"/>
      <c r="L58" s="275"/>
      <c r="M58" s="275"/>
      <c r="N58" s="275"/>
      <c r="O58" s="275"/>
      <c r="P58" s="275"/>
      <c r="Q58" s="275"/>
      <c r="R58" s="275"/>
      <c r="S58" s="275"/>
      <c r="T58" s="275"/>
      <c r="U58" s="275"/>
      <c r="V58" s="275"/>
    </row>
    <row r="59" spans="2:22" ht="14.1" hidden="1" customHeight="1">
      <c r="C59" s="615" t="s">
        <v>302</v>
      </c>
      <c r="D59" s="562">
        <v>8.14</v>
      </c>
      <c r="E59" s="562">
        <v>7.63</v>
      </c>
      <c r="F59" s="562">
        <v>79.8</v>
      </c>
      <c r="G59" s="562">
        <v>1.28</v>
      </c>
      <c r="H59" s="562">
        <v>1.59</v>
      </c>
      <c r="I59" s="282"/>
      <c r="J59" s="280"/>
      <c r="K59" s="275"/>
      <c r="L59" s="275"/>
      <c r="M59" s="275"/>
      <c r="N59" s="275"/>
      <c r="O59" s="275"/>
      <c r="P59" s="275"/>
      <c r="Q59" s="275"/>
      <c r="R59" s="275"/>
      <c r="S59" s="275"/>
      <c r="T59" s="275"/>
      <c r="U59" s="275"/>
      <c r="V59" s="275"/>
    </row>
    <row r="60" spans="2:22" ht="14.1" hidden="1" customHeight="1">
      <c r="C60" s="615" t="s">
        <v>303</v>
      </c>
      <c r="D60" s="562">
        <v>8.3800000000000008</v>
      </c>
      <c r="E60" s="562">
        <v>7.77</v>
      </c>
      <c r="F60" s="562">
        <v>79.42</v>
      </c>
      <c r="G60" s="562">
        <v>1.25</v>
      </c>
      <c r="H60" s="562">
        <v>1.56</v>
      </c>
      <c r="I60" s="282"/>
      <c r="J60" s="280"/>
      <c r="K60" s="275"/>
      <c r="L60" s="275"/>
      <c r="M60" s="275"/>
      <c r="N60" s="275"/>
      <c r="O60" s="275"/>
      <c r="P60" s="275"/>
      <c r="Q60" s="275"/>
      <c r="R60" s="275"/>
      <c r="S60" s="275"/>
      <c r="T60" s="275"/>
      <c r="U60" s="275"/>
      <c r="V60" s="275"/>
    </row>
    <row r="61" spans="2:22" ht="14.1" hidden="1" customHeight="1">
      <c r="C61" s="615" t="s">
        <v>304</v>
      </c>
      <c r="D61" s="562">
        <v>8.18</v>
      </c>
      <c r="E61" s="562">
        <v>7.74</v>
      </c>
      <c r="F61" s="562">
        <v>78.23</v>
      </c>
      <c r="G61" s="562">
        <v>1.23</v>
      </c>
      <c r="H61" s="562">
        <v>1.57</v>
      </c>
      <c r="I61" s="282"/>
      <c r="J61" s="280"/>
      <c r="K61" s="275"/>
      <c r="L61" s="275"/>
      <c r="M61" s="275"/>
      <c r="N61" s="275"/>
      <c r="O61" s="275"/>
      <c r="P61" s="275"/>
      <c r="Q61" s="275"/>
      <c r="R61" s="275"/>
      <c r="S61" s="275"/>
      <c r="T61" s="275"/>
      <c r="U61" s="275"/>
      <c r="V61" s="275"/>
    </row>
    <row r="62" spans="2:22" ht="14.1" hidden="1" customHeight="1">
      <c r="C62" s="615" t="s">
        <v>305</v>
      </c>
      <c r="D62" s="562">
        <v>8.4499999999999993</v>
      </c>
      <c r="E62" s="562">
        <v>7.8</v>
      </c>
      <c r="F62" s="562">
        <v>78.47</v>
      </c>
      <c r="G62" s="562">
        <v>1.25</v>
      </c>
      <c r="H62" s="562">
        <v>1.58</v>
      </c>
      <c r="I62" s="282"/>
      <c r="J62" s="280"/>
      <c r="K62" s="275"/>
      <c r="L62" s="275"/>
      <c r="M62" s="275"/>
      <c r="N62" s="275"/>
      <c r="O62" s="275"/>
      <c r="P62" s="275"/>
      <c r="Q62" s="275"/>
      <c r="R62" s="275"/>
      <c r="S62" s="275"/>
      <c r="T62" s="275"/>
      <c r="U62" s="275"/>
      <c r="V62" s="275"/>
    </row>
    <row r="63" spans="2:22" ht="14.1" hidden="1" customHeight="1">
      <c r="C63" s="615" t="s">
        <v>306</v>
      </c>
      <c r="D63" s="562">
        <v>8.23</v>
      </c>
      <c r="E63" s="562">
        <v>7.65</v>
      </c>
      <c r="F63" s="562">
        <v>77.5</v>
      </c>
      <c r="G63" s="562">
        <v>1.29</v>
      </c>
      <c r="H63" s="562">
        <v>1.63</v>
      </c>
      <c r="I63" s="282"/>
      <c r="J63" s="280"/>
      <c r="K63" s="275"/>
      <c r="L63" s="275"/>
      <c r="M63" s="275"/>
      <c r="N63" s="275"/>
      <c r="O63" s="275"/>
      <c r="P63" s="275"/>
      <c r="Q63" s="275"/>
      <c r="R63" s="275"/>
      <c r="S63" s="275"/>
      <c r="T63" s="275"/>
      <c r="U63" s="275"/>
      <c r="V63" s="275"/>
    </row>
    <row r="64" spans="2:22" ht="14.1" hidden="1" customHeight="1">
      <c r="C64" s="615" t="s">
        <v>307</v>
      </c>
      <c r="D64" s="562">
        <v>8.64</v>
      </c>
      <c r="E64" s="562">
        <v>7.88</v>
      </c>
      <c r="F64" s="562">
        <v>79.78</v>
      </c>
      <c r="G64" s="562">
        <v>1.3</v>
      </c>
      <c r="H64" s="562">
        <v>1.61</v>
      </c>
      <c r="I64" s="282"/>
      <c r="J64" s="280"/>
      <c r="K64" s="275"/>
      <c r="L64" s="275"/>
      <c r="M64" s="275"/>
      <c r="N64" s="275"/>
      <c r="O64" s="275"/>
      <c r="P64" s="275"/>
      <c r="Q64" s="275"/>
      <c r="R64" s="275"/>
      <c r="S64" s="275"/>
      <c r="T64" s="275"/>
      <c r="U64" s="275"/>
      <c r="V64" s="275"/>
    </row>
    <row r="65" spans="3:22" ht="12.9" hidden="1" customHeight="1">
      <c r="C65" s="615" t="s">
        <v>308</v>
      </c>
      <c r="D65" s="562">
        <v>8.7799999999999994</v>
      </c>
      <c r="E65" s="562">
        <v>7.95</v>
      </c>
      <c r="F65" s="562">
        <v>80.94</v>
      </c>
      <c r="G65" s="562">
        <v>1.3</v>
      </c>
      <c r="H65" s="562">
        <v>1.6</v>
      </c>
      <c r="I65" s="282"/>
      <c r="J65" s="280"/>
      <c r="K65" s="275"/>
      <c r="L65" s="275"/>
      <c r="M65" s="275"/>
      <c r="N65" s="275"/>
      <c r="O65" s="275"/>
      <c r="P65" s="275"/>
      <c r="Q65" s="275"/>
      <c r="R65" s="275"/>
      <c r="S65" s="275"/>
      <c r="T65" s="275"/>
      <c r="U65" s="275"/>
      <c r="V65" s="275"/>
    </row>
    <row r="66" spans="3:22" ht="12.9" hidden="1" customHeight="1">
      <c r="C66" s="634" t="s">
        <v>311</v>
      </c>
      <c r="D66" s="635">
        <v>8.48</v>
      </c>
      <c r="E66" s="635">
        <v>7.88</v>
      </c>
      <c r="F66" s="635">
        <v>86.06</v>
      </c>
      <c r="G66" s="635">
        <v>1.319</v>
      </c>
      <c r="H66" s="635">
        <v>1.62</v>
      </c>
      <c r="I66" s="282"/>
      <c r="J66" s="280"/>
      <c r="K66" s="275"/>
      <c r="L66" s="275"/>
      <c r="M66" s="275"/>
      <c r="N66" s="275"/>
      <c r="O66" s="275"/>
      <c r="P66" s="275"/>
      <c r="Q66" s="275"/>
      <c r="R66" s="275"/>
      <c r="S66" s="275"/>
      <c r="T66" s="275"/>
      <c r="U66" s="275"/>
      <c r="V66" s="275"/>
    </row>
    <row r="67" spans="3:22" ht="12.9" hidden="1" customHeight="1" thickBot="1">
      <c r="C67" s="676"/>
      <c r="D67" s="636"/>
      <c r="E67" s="676"/>
      <c r="F67" s="676"/>
      <c r="G67" s="676"/>
      <c r="H67" s="676"/>
      <c r="I67" s="282"/>
      <c r="J67" s="280"/>
      <c r="K67" s="275"/>
      <c r="L67" s="275"/>
      <c r="M67" s="275"/>
      <c r="N67" s="275"/>
      <c r="O67" s="275"/>
      <c r="P67" s="275"/>
      <c r="Q67" s="275"/>
      <c r="R67" s="275"/>
      <c r="S67" s="275"/>
      <c r="T67" s="275"/>
      <c r="U67" s="275"/>
      <c r="V67" s="275"/>
    </row>
    <row r="68" spans="3:22" ht="12.9" hidden="1" customHeight="1" thickTop="1">
      <c r="C68" s="676"/>
      <c r="D68" s="162"/>
      <c r="E68" s="676"/>
      <c r="F68" s="676"/>
      <c r="G68" s="676"/>
      <c r="H68" s="676"/>
      <c r="I68" s="282"/>
      <c r="J68" s="280"/>
      <c r="K68" s="275"/>
      <c r="L68" s="275"/>
      <c r="M68" s="275"/>
      <c r="N68" s="275"/>
      <c r="O68" s="275"/>
      <c r="P68" s="275"/>
      <c r="Q68" s="275"/>
      <c r="R68" s="275"/>
      <c r="S68" s="275"/>
      <c r="T68" s="275"/>
      <c r="U68" s="275"/>
      <c r="V68" s="275"/>
    </row>
    <row r="69" spans="3:22" ht="12.9" hidden="1" customHeight="1">
      <c r="C69" s="676">
        <v>2013</v>
      </c>
      <c r="D69" s="162"/>
      <c r="E69" s="676"/>
      <c r="F69" s="676"/>
      <c r="G69" s="676"/>
      <c r="H69" s="676"/>
      <c r="I69" s="282"/>
      <c r="J69" s="280"/>
      <c r="K69" s="275"/>
      <c r="L69" s="275"/>
      <c r="M69" s="275"/>
      <c r="N69" s="275"/>
      <c r="O69" s="275"/>
      <c r="P69" s="275"/>
      <c r="Q69" s="275"/>
      <c r="R69" s="275"/>
      <c r="S69" s="275"/>
      <c r="T69" s="275"/>
      <c r="U69" s="275"/>
      <c r="V69" s="275"/>
    </row>
    <row r="70" spans="3:22" ht="15.75" hidden="1" customHeight="1">
      <c r="C70" s="676"/>
      <c r="D70" s="162"/>
      <c r="E70" s="676"/>
      <c r="F70" s="676"/>
      <c r="G70" s="676"/>
      <c r="H70" s="676"/>
      <c r="I70" s="282"/>
      <c r="J70" s="280"/>
      <c r="K70" s="275"/>
      <c r="L70" s="275"/>
      <c r="M70" s="275"/>
      <c r="N70" s="275"/>
      <c r="O70" s="275"/>
      <c r="P70" s="275"/>
      <c r="Q70" s="275"/>
      <c r="R70" s="275"/>
      <c r="S70" s="275"/>
      <c r="T70" s="275"/>
      <c r="U70" s="275"/>
      <c r="V70" s="275"/>
    </row>
    <row r="71" spans="3:22" ht="15.75" hidden="1" customHeight="1">
      <c r="C71" s="615" t="s">
        <v>298</v>
      </c>
      <c r="D71" s="562">
        <v>9.0299999999999994</v>
      </c>
      <c r="E71" s="562">
        <v>8.0500000000000007</v>
      </c>
      <c r="F71" s="562">
        <v>90.9</v>
      </c>
      <c r="G71" s="562">
        <v>1.36</v>
      </c>
      <c r="H71" s="562">
        <v>1.58</v>
      </c>
      <c r="I71" s="282"/>
      <c r="J71" s="280"/>
      <c r="K71" s="275"/>
      <c r="L71" s="275"/>
      <c r="M71" s="275"/>
      <c r="N71" s="275"/>
      <c r="O71" s="275"/>
      <c r="P71" s="275"/>
      <c r="Q71" s="275"/>
      <c r="R71" s="275"/>
      <c r="S71" s="275"/>
      <c r="T71" s="275"/>
      <c r="U71" s="275"/>
      <c r="V71" s="275"/>
    </row>
    <row r="72" spans="3:22" ht="15.75" hidden="1" customHeight="1">
      <c r="C72" s="615" t="s">
        <v>299</v>
      </c>
      <c r="D72" s="562">
        <v>8.84</v>
      </c>
      <c r="E72" s="562">
        <v>8.0399999999999991</v>
      </c>
      <c r="F72" s="562">
        <v>92.36</v>
      </c>
      <c r="G72" s="562">
        <v>1.31</v>
      </c>
      <c r="H72" s="562">
        <v>1.52</v>
      </c>
      <c r="I72" s="282"/>
      <c r="J72" s="280"/>
      <c r="K72" s="275"/>
      <c r="L72" s="275"/>
      <c r="M72" s="275"/>
      <c r="N72" s="275"/>
      <c r="O72" s="275"/>
      <c r="P72" s="275"/>
      <c r="Q72" s="275"/>
      <c r="R72" s="275"/>
      <c r="S72" s="275"/>
      <c r="T72" s="275"/>
      <c r="U72" s="275"/>
      <c r="V72" s="275"/>
    </row>
    <row r="73" spans="3:22" ht="15.75" hidden="1" customHeight="1">
      <c r="C73" s="615" t="s">
        <v>300</v>
      </c>
      <c r="D73" s="562">
        <v>9.26</v>
      </c>
      <c r="E73" s="562">
        <v>8.3000000000000007</v>
      </c>
      <c r="F73" s="562">
        <v>94.13</v>
      </c>
      <c r="G73" s="562">
        <v>1.28</v>
      </c>
      <c r="H73" s="562">
        <v>1.51</v>
      </c>
      <c r="I73" s="282"/>
      <c r="J73" s="280"/>
      <c r="K73" s="275"/>
      <c r="L73" s="275"/>
      <c r="M73" s="275"/>
      <c r="N73" s="275"/>
      <c r="O73" s="275"/>
      <c r="P73" s="275"/>
      <c r="Q73" s="275"/>
      <c r="R73" s="275"/>
      <c r="S73" s="275"/>
      <c r="T73" s="275"/>
      <c r="U73" s="275"/>
      <c r="V73" s="275"/>
    </row>
    <row r="74" spans="3:22" ht="16.5" hidden="1" customHeight="1" thickBot="1">
      <c r="C74" s="615" t="s">
        <v>301</v>
      </c>
      <c r="D74" s="677">
        <v>9.34</v>
      </c>
      <c r="E74" s="678">
        <v>8.19</v>
      </c>
      <c r="F74" s="678">
        <v>97.78</v>
      </c>
      <c r="G74" s="678">
        <v>1.302</v>
      </c>
      <c r="H74" s="678">
        <v>1.53</v>
      </c>
      <c r="I74" s="283"/>
      <c r="J74" s="281"/>
      <c r="K74" s="277"/>
      <c r="L74" s="277"/>
      <c r="M74" s="277"/>
      <c r="N74" s="751"/>
      <c r="O74" s="751"/>
      <c r="P74" s="751"/>
      <c r="Q74" s="751"/>
      <c r="R74" s="751"/>
      <c r="S74" s="751"/>
      <c r="T74" s="751"/>
      <c r="U74" s="751"/>
      <c r="V74" s="751"/>
    </row>
    <row r="75" spans="3:22" ht="16.5" hidden="1" customHeight="1" thickTop="1">
      <c r="C75" s="615" t="s">
        <v>302</v>
      </c>
      <c r="D75" s="677">
        <v>10.08</v>
      </c>
      <c r="E75" s="678">
        <v>8.6539999999999999</v>
      </c>
      <c r="F75" s="678">
        <v>100.85</v>
      </c>
      <c r="G75" s="678">
        <v>1.3029999999999999</v>
      </c>
      <c r="H75" s="678">
        <v>1.52</v>
      </c>
    </row>
    <row r="76" spans="3:22" ht="15.75" hidden="1" customHeight="1">
      <c r="C76" s="162"/>
    </row>
    <row r="77" spans="3:22" ht="15.75" hidden="1" customHeight="1">
      <c r="C77" s="162"/>
    </row>
    <row r="78" spans="3:22">
      <c r="C78" s="162"/>
    </row>
    <row r="81" spans="2:7" ht="15.75" customHeight="1">
      <c r="B81" s="1882" t="s">
        <v>1737</v>
      </c>
      <c r="C81" s="1882"/>
      <c r="D81" s="1882"/>
      <c r="E81" s="1882"/>
      <c r="F81" s="1882"/>
      <c r="G81" s="1882"/>
    </row>
    <row r="82" spans="2:7" ht="16.2" thickBot="1">
      <c r="B82" s="739"/>
      <c r="C82" s="739"/>
      <c r="D82" s="739"/>
      <c r="E82" s="739"/>
      <c r="F82" s="739"/>
      <c r="G82" s="739"/>
    </row>
    <row r="83" spans="2:7" ht="16.2" thickTop="1">
      <c r="B83" s="740"/>
      <c r="C83" s="740"/>
      <c r="D83" s="740"/>
      <c r="E83" s="740"/>
      <c r="F83" s="740"/>
      <c r="G83" s="740"/>
    </row>
    <row r="84" spans="2:7" ht="27.75" customHeight="1">
      <c r="B84" s="741"/>
      <c r="C84" s="729" t="s">
        <v>1756</v>
      </c>
      <c r="D84" s="729" t="s">
        <v>1755</v>
      </c>
      <c r="E84" s="729" t="s">
        <v>762</v>
      </c>
      <c r="F84" s="729" t="s">
        <v>1757</v>
      </c>
      <c r="G84" s="729" t="s">
        <v>760</v>
      </c>
    </row>
    <row r="85" spans="2:7">
      <c r="B85" s="729" t="s">
        <v>263</v>
      </c>
      <c r="C85" s="729" t="s">
        <v>1160</v>
      </c>
      <c r="D85" s="729" t="s">
        <v>1161</v>
      </c>
      <c r="E85" s="729" t="s">
        <v>1162</v>
      </c>
      <c r="F85" s="729"/>
      <c r="G85" s="729" t="s">
        <v>1191</v>
      </c>
    </row>
    <row r="86" spans="2:7">
      <c r="B86" s="729"/>
      <c r="C86" s="741"/>
      <c r="D86" s="741"/>
      <c r="E86" s="741"/>
      <c r="F86" s="741"/>
      <c r="G86" s="741"/>
    </row>
    <row r="87" spans="2:7" ht="16.2" thickBot="1">
      <c r="B87" s="742"/>
      <c r="C87" s="743"/>
      <c r="D87" s="743"/>
      <c r="E87" s="743"/>
      <c r="F87" s="743"/>
      <c r="G87" s="743"/>
    </row>
    <row r="88" spans="2:7" ht="16.2" hidden="1" thickTop="1">
      <c r="B88" s="740"/>
      <c r="C88" s="744"/>
      <c r="D88" s="744"/>
      <c r="E88" s="744"/>
      <c r="F88" s="744"/>
      <c r="G88" s="744"/>
    </row>
    <row r="89" spans="2:7" ht="15.75" hidden="1" customHeight="1">
      <c r="B89" s="741"/>
      <c r="C89" s="729"/>
      <c r="D89" s="729"/>
      <c r="E89" s="729"/>
      <c r="F89" s="729"/>
      <c r="G89" s="729"/>
    </row>
    <row r="90" spans="2:7" ht="15.75" hidden="1" customHeight="1">
      <c r="B90" s="730">
        <v>2013</v>
      </c>
      <c r="C90" s="729"/>
      <c r="D90" s="729"/>
      <c r="E90" s="729"/>
      <c r="F90" s="729"/>
      <c r="G90" s="729"/>
    </row>
    <row r="91" spans="2:7" ht="15.75" hidden="1" customHeight="1">
      <c r="B91" s="741" t="s">
        <v>298</v>
      </c>
      <c r="C91" s="730">
        <v>9.0299999999999994</v>
      </c>
      <c r="D91" s="730">
        <v>8.0500000000000007</v>
      </c>
      <c r="E91" s="730">
        <v>90.9</v>
      </c>
      <c r="F91" s="730">
        <v>1.36</v>
      </c>
      <c r="G91" s="730">
        <v>1.58</v>
      </c>
    </row>
    <row r="92" spans="2:7" ht="15.75" hidden="1" customHeight="1">
      <c r="B92" s="741" t="s">
        <v>299</v>
      </c>
      <c r="C92" s="730">
        <v>8.84</v>
      </c>
      <c r="D92" s="730">
        <v>8.0399999999999991</v>
      </c>
      <c r="E92" s="730">
        <v>92.36</v>
      </c>
      <c r="F92" s="730">
        <v>1.31</v>
      </c>
      <c r="G92" s="730">
        <v>1.52</v>
      </c>
    </row>
    <row r="93" spans="2:7" ht="15.75" hidden="1" customHeight="1">
      <c r="B93" s="741" t="s">
        <v>300</v>
      </c>
      <c r="C93" s="730">
        <v>9.26</v>
      </c>
      <c r="D93" s="730">
        <v>8.3000000000000007</v>
      </c>
      <c r="E93" s="730">
        <v>94.13</v>
      </c>
      <c r="F93" s="730">
        <v>1.28</v>
      </c>
      <c r="G93" s="730">
        <v>1.51</v>
      </c>
    </row>
    <row r="94" spans="2:7" ht="15.75" hidden="1" customHeight="1">
      <c r="B94" s="741" t="s">
        <v>301</v>
      </c>
      <c r="C94" s="730">
        <v>8.98</v>
      </c>
      <c r="D94" s="730">
        <v>8.1</v>
      </c>
      <c r="E94" s="730">
        <v>97.76</v>
      </c>
      <c r="F94" s="730">
        <v>1.31</v>
      </c>
      <c r="G94" s="730">
        <v>1.55</v>
      </c>
    </row>
    <row r="95" spans="2:7" ht="15.75" hidden="1" customHeight="1">
      <c r="B95" s="741" t="s">
        <v>302</v>
      </c>
      <c r="C95" s="730">
        <v>10.08</v>
      </c>
      <c r="D95" s="730">
        <v>8.65</v>
      </c>
      <c r="E95" s="730">
        <v>100.85</v>
      </c>
      <c r="F95" s="730">
        <v>1.3</v>
      </c>
      <c r="G95" s="730">
        <v>1.52</v>
      </c>
    </row>
    <row r="96" spans="2:7" ht="15.75" hidden="1" customHeight="1">
      <c r="B96" s="741" t="s">
        <v>303</v>
      </c>
      <c r="C96" s="730">
        <v>9.94</v>
      </c>
      <c r="D96" s="745">
        <v>8.6</v>
      </c>
      <c r="E96" s="730">
        <v>98.74</v>
      </c>
      <c r="F96" s="730">
        <v>1.31</v>
      </c>
      <c r="G96" s="730">
        <v>1.53</v>
      </c>
    </row>
    <row r="97" spans="2:7" ht="15.75" hidden="1" customHeight="1">
      <c r="B97" s="741" t="s">
        <v>304</v>
      </c>
      <c r="C97" s="730">
        <v>9.83</v>
      </c>
      <c r="D97" s="745">
        <v>8.49</v>
      </c>
      <c r="E97" s="730">
        <v>98.31</v>
      </c>
      <c r="F97" s="730">
        <v>1.33</v>
      </c>
      <c r="G97" s="730">
        <v>1.53</v>
      </c>
    </row>
    <row r="98" spans="2:7" ht="15.75" hidden="1" customHeight="1">
      <c r="B98" s="741" t="s">
        <v>305</v>
      </c>
      <c r="C98" s="730">
        <v>10.33</v>
      </c>
      <c r="D98" s="745">
        <v>8.75</v>
      </c>
      <c r="E98" s="730">
        <v>98.18</v>
      </c>
      <c r="F98" s="730">
        <v>1.32</v>
      </c>
      <c r="G98" s="730">
        <v>1.55</v>
      </c>
    </row>
    <row r="99" spans="2:7" ht="15.75" hidden="1" customHeight="1">
      <c r="B99" s="741" t="s">
        <v>306</v>
      </c>
      <c r="C99" s="730">
        <v>10.1</v>
      </c>
      <c r="D99" s="745">
        <v>8.58</v>
      </c>
      <c r="E99" s="730">
        <v>97.92</v>
      </c>
      <c r="F99" s="730">
        <v>1.35</v>
      </c>
      <c r="G99" s="730">
        <v>1.62</v>
      </c>
    </row>
    <row r="100" spans="2:7" ht="15.75" hidden="1" customHeight="1">
      <c r="B100" s="741" t="s">
        <v>307</v>
      </c>
      <c r="C100" s="730">
        <v>9.9499999999999993</v>
      </c>
      <c r="D100" s="745">
        <v>8.5</v>
      </c>
      <c r="E100" s="730">
        <v>98.28</v>
      </c>
      <c r="F100" s="730">
        <v>1.37</v>
      </c>
      <c r="G100" s="730">
        <v>1.6</v>
      </c>
    </row>
    <row r="101" spans="2:7" ht="15.75" hidden="1" customHeight="1">
      <c r="B101" s="741" t="s">
        <v>308</v>
      </c>
      <c r="C101" s="730">
        <v>10.19</v>
      </c>
      <c r="D101" s="745">
        <v>8.64</v>
      </c>
      <c r="E101" s="730">
        <v>102.33</v>
      </c>
      <c r="F101" s="730">
        <v>1.36</v>
      </c>
      <c r="G101" s="730">
        <v>1.64</v>
      </c>
    </row>
    <row r="102" spans="2:7" ht="15.75" hidden="1" customHeight="1">
      <c r="B102" s="741" t="s">
        <v>311</v>
      </c>
      <c r="C102" s="730">
        <v>10.43</v>
      </c>
      <c r="D102" s="745">
        <v>8.7200000000000006</v>
      </c>
      <c r="E102" s="730">
        <v>105.02</v>
      </c>
      <c r="F102" s="730">
        <v>1.38</v>
      </c>
      <c r="G102" s="730">
        <v>1.65</v>
      </c>
    </row>
    <row r="103" spans="2:7" ht="15.75" hidden="1" customHeight="1">
      <c r="B103" s="741"/>
      <c r="C103" s="730"/>
      <c r="D103" s="745"/>
      <c r="E103" s="730"/>
      <c r="F103" s="730"/>
      <c r="G103" s="730"/>
    </row>
    <row r="104" spans="2:7" ht="15.75" hidden="1" customHeight="1">
      <c r="B104" s="730">
        <v>2014</v>
      </c>
      <c r="C104" s="730"/>
      <c r="D104" s="745"/>
      <c r="E104" s="730"/>
      <c r="F104" s="730"/>
      <c r="G104" s="730"/>
    </row>
    <row r="105" spans="2:7" ht="15.75" hidden="1" customHeight="1">
      <c r="B105" s="741"/>
      <c r="C105" s="730"/>
      <c r="D105" s="745"/>
      <c r="E105" s="730"/>
      <c r="F105" s="730"/>
      <c r="G105" s="730"/>
    </row>
    <row r="106" spans="2:7" ht="15.75" hidden="1" customHeight="1">
      <c r="B106" s="741" t="s">
        <v>298</v>
      </c>
      <c r="C106" s="730">
        <v>11.21</v>
      </c>
      <c r="D106" s="745">
        <v>9.09</v>
      </c>
      <c r="E106" s="730">
        <v>102.47</v>
      </c>
      <c r="F106" s="730">
        <v>1.35</v>
      </c>
      <c r="G106" s="730">
        <v>1.65</v>
      </c>
    </row>
    <row r="107" spans="2:7" ht="15.75" hidden="1" customHeight="1">
      <c r="B107" s="741" t="s">
        <v>299</v>
      </c>
      <c r="C107" s="730">
        <v>10.71</v>
      </c>
      <c r="D107" s="745">
        <v>8.85</v>
      </c>
      <c r="E107" s="730">
        <v>101.74</v>
      </c>
      <c r="F107" s="730">
        <v>1.37</v>
      </c>
      <c r="G107" s="730">
        <v>1.67</v>
      </c>
    </row>
    <row r="108" spans="2:7" ht="15" hidden="1" customHeight="1">
      <c r="B108" s="741" t="s">
        <v>300</v>
      </c>
      <c r="C108" s="730">
        <v>10.56</v>
      </c>
      <c r="D108" s="745">
        <v>8.85</v>
      </c>
      <c r="E108" s="730">
        <v>102.38</v>
      </c>
      <c r="F108" s="730">
        <v>1.38</v>
      </c>
      <c r="G108" s="730">
        <v>1.68</v>
      </c>
    </row>
    <row r="109" spans="2:7" ht="15" hidden="1" customHeight="1">
      <c r="B109" s="741" t="s">
        <v>301</v>
      </c>
      <c r="C109" s="730">
        <v>10.57</v>
      </c>
      <c r="D109" s="745">
        <v>8.85</v>
      </c>
      <c r="E109" s="730">
        <v>102.38</v>
      </c>
      <c r="F109" s="730">
        <v>1.38</v>
      </c>
      <c r="G109" s="730">
        <v>1.68</v>
      </c>
    </row>
    <row r="110" spans="2:7" ht="15" hidden="1" customHeight="1">
      <c r="B110" s="741" t="s">
        <v>302</v>
      </c>
      <c r="C110" s="730">
        <v>10.44</v>
      </c>
      <c r="D110" s="745">
        <v>8.73</v>
      </c>
      <c r="E110" s="730">
        <v>101.61</v>
      </c>
      <c r="F110" s="730">
        <v>1.36</v>
      </c>
      <c r="G110" s="730">
        <v>1.67</v>
      </c>
    </row>
    <row r="111" spans="2:7" ht="15" hidden="1" customHeight="1">
      <c r="B111" s="741" t="s">
        <v>303</v>
      </c>
      <c r="C111" s="730">
        <v>10.58</v>
      </c>
      <c r="D111" s="745">
        <v>8.67</v>
      </c>
      <c r="E111" s="730">
        <v>101.3</v>
      </c>
      <c r="F111" s="730">
        <v>1.36</v>
      </c>
      <c r="G111" s="730">
        <v>1.7</v>
      </c>
    </row>
    <row r="112" spans="2:7" ht="15" hidden="1" customHeight="1">
      <c r="B112" s="741" t="s">
        <v>304</v>
      </c>
      <c r="C112" s="730">
        <v>10.68</v>
      </c>
      <c r="D112" s="745">
        <v>8.85</v>
      </c>
      <c r="E112" s="730">
        <v>102.76</v>
      </c>
      <c r="F112" s="730">
        <v>1.36</v>
      </c>
      <c r="G112" s="730">
        <v>1.69</v>
      </c>
    </row>
    <row r="113" spans="2:7" ht="15" hidden="1" customHeight="1">
      <c r="B113" s="741" t="s">
        <v>305</v>
      </c>
      <c r="C113" s="730">
        <v>10.98</v>
      </c>
      <c r="D113" s="745">
        <v>9.07</v>
      </c>
      <c r="E113" s="730">
        <v>107.35</v>
      </c>
      <c r="F113" s="730">
        <v>1.29</v>
      </c>
      <c r="G113" s="730">
        <v>1.63</v>
      </c>
    </row>
    <row r="114" spans="2:7" ht="15" hidden="1" customHeight="1">
      <c r="B114" s="741" t="s">
        <v>306</v>
      </c>
      <c r="C114" s="730">
        <v>11.26</v>
      </c>
      <c r="D114" s="745">
        <v>9.26</v>
      </c>
      <c r="E114" s="730">
        <v>109.39</v>
      </c>
      <c r="F114" s="730">
        <v>1.27</v>
      </c>
      <c r="G114" s="730">
        <v>1.63</v>
      </c>
    </row>
    <row r="115" spans="2:7" ht="15" hidden="1" customHeight="1">
      <c r="B115" s="741" t="s">
        <v>307</v>
      </c>
      <c r="C115" s="759">
        <v>10.9</v>
      </c>
      <c r="D115" s="760">
        <v>9.11</v>
      </c>
      <c r="E115" s="759">
        <v>110.87</v>
      </c>
      <c r="F115" s="759">
        <v>1.2569999999999999</v>
      </c>
      <c r="G115" s="759">
        <v>1.59</v>
      </c>
    </row>
    <row r="116" spans="2:7" ht="15" hidden="1" customHeight="1">
      <c r="B116" s="741" t="s">
        <v>308</v>
      </c>
      <c r="C116" s="759">
        <v>11.02</v>
      </c>
      <c r="D116" s="760">
        <v>9.2170000000000005</v>
      </c>
      <c r="E116" s="759">
        <v>118.21</v>
      </c>
      <c r="F116" s="759">
        <v>1.379</v>
      </c>
      <c r="G116" s="759">
        <v>1.57</v>
      </c>
    </row>
    <row r="117" spans="2:7" ht="15" hidden="1" customHeight="1">
      <c r="B117" s="741" t="s">
        <v>311</v>
      </c>
      <c r="C117" s="759">
        <v>11.559000000000001</v>
      </c>
      <c r="D117" s="760">
        <v>9.51</v>
      </c>
      <c r="E117" s="759">
        <v>119.65</v>
      </c>
      <c r="F117" s="759">
        <f>1.2156</f>
        <v>1.2156</v>
      </c>
      <c r="G117" s="759">
        <v>1.5561500000000001</v>
      </c>
    </row>
    <row r="118" spans="2:7" ht="15" hidden="1" customHeight="1">
      <c r="B118" s="741"/>
      <c r="C118" s="759"/>
      <c r="D118" s="760"/>
      <c r="E118" s="759"/>
      <c r="F118" s="759"/>
      <c r="G118" s="759"/>
    </row>
    <row r="119" spans="2:7" ht="15" hidden="1" customHeight="1">
      <c r="B119" s="730">
        <v>2015</v>
      </c>
      <c r="C119" s="759"/>
      <c r="D119" s="760"/>
      <c r="E119" s="759"/>
      <c r="F119" s="759"/>
      <c r="G119" s="759"/>
    </row>
    <row r="120" spans="2:7" ht="15" hidden="1" customHeight="1">
      <c r="B120" s="729" t="s">
        <v>1343</v>
      </c>
      <c r="C120" s="939">
        <v>11.553000000000001</v>
      </c>
      <c r="D120" s="940">
        <v>9.6107640557424308</v>
      </c>
      <c r="E120" s="939">
        <v>117.85</v>
      </c>
      <c r="F120" s="939">
        <f>1/0.882339965588741</f>
        <v>1.1333500000000005</v>
      </c>
      <c r="G120" s="939">
        <f>1/0.663086002254492</f>
        <v>1.5081000000000009</v>
      </c>
    </row>
    <row r="121" spans="2:7" ht="15" hidden="1" customHeight="1">
      <c r="B121" s="729" t="s">
        <v>1344</v>
      </c>
      <c r="C121" s="939">
        <v>11.553000000000001</v>
      </c>
      <c r="D121" s="940">
        <v>9.6107640557424308</v>
      </c>
      <c r="E121" s="939">
        <v>119.17</v>
      </c>
      <c r="F121" s="939">
        <v>1.1200000000000001</v>
      </c>
      <c r="G121" s="939">
        <v>1.54</v>
      </c>
    </row>
    <row r="122" spans="2:7" ht="15" hidden="1" customHeight="1">
      <c r="B122" s="729" t="s">
        <v>1337</v>
      </c>
      <c r="C122" s="939">
        <v>12.16</v>
      </c>
      <c r="D122" s="940">
        <v>9.9600000000000009</v>
      </c>
      <c r="E122" s="939">
        <v>120.19</v>
      </c>
      <c r="F122" s="939">
        <v>1.079</v>
      </c>
      <c r="G122" s="939">
        <f>1/0.677</f>
        <v>1.4771048744460855</v>
      </c>
    </row>
    <row r="123" spans="2:7" ht="15" hidden="1" customHeight="1">
      <c r="B123" s="729" t="s">
        <v>1338</v>
      </c>
      <c r="C123" s="939">
        <v>11.82</v>
      </c>
      <c r="D123" s="940">
        <v>9.74</v>
      </c>
      <c r="E123" s="939">
        <v>118.6</v>
      </c>
      <c r="F123" s="939">
        <v>1.1100000000000001</v>
      </c>
      <c r="G123" s="939">
        <v>1.54</v>
      </c>
    </row>
    <row r="124" spans="2:7" ht="15" hidden="1" customHeight="1">
      <c r="B124" s="729" t="s">
        <v>302</v>
      </c>
      <c r="C124" s="939">
        <v>12.133750000000001</v>
      </c>
      <c r="D124" s="940">
        <v>9.7560975609756095</v>
      </c>
      <c r="E124" s="939">
        <v>123.86500000000001</v>
      </c>
      <c r="F124" s="939">
        <v>1.0947</v>
      </c>
      <c r="G124" s="939">
        <v>1.53</v>
      </c>
    </row>
    <row r="125" spans="2:7" ht="15" hidden="1" customHeight="1">
      <c r="B125" s="729" t="s">
        <v>303</v>
      </c>
      <c r="C125" s="939">
        <v>12.26</v>
      </c>
      <c r="D125" s="940">
        <v>9.92</v>
      </c>
      <c r="E125" s="939">
        <v>122.31</v>
      </c>
      <c r="F125" s="939">
        <v>1.1191</v>
      </c>
      <c r="G125" s="939">
        <f>1/0.636</f>
        <v>1.5723270440251571</v>
      </c>
    </row>
    <row r="126" spans="2:7" ht="15" hidden="1" customHeight="1">
      <c r="B126" s="729" t="s">
        <v>304</v>
      </c>
      <c r="C126" s="939">
        <v>12.71</v>
      </c>
      <c r="D126" s="940">
        <v>10.67</v>
      </c>
      <c r="E126" s="939">
        <v>124.03</v>
      </c>
      <c r="F126" s="939">
        <f>1/0.914</f>
        <v>1.0940919037199124</v>
      </c>
      <c r="G126" s="939">
        <f>1/0.641</f>
        <v>1.5600624024960998</v>
      </c>
    </row>
    <row r="127" spans="2:7" ht="15" hidden="1" customHeight="1">
      <c r="B127" s="729" t="s">
        <v>1345</v>
      </c>
      <c r="C127" s="941">
        <v>13.31</v>
      </c>
      <c r="D127" s="942">
        <v>10.199999999999999</v>
      </c>
      <c r="E127" s="943">
        <v>121.11</v>
      </c>
      <c r="F127" s="943">
        <v>1.1247</v>
      </c>
      <c r="G127" s="939">
        <v>1.5426500000000001</v>
      </c>
    </row>
    <row r="128" spans="2:7" ht="15" hidden="1" customHeight="1">
      <c r="B128" s="729" t="s">
        <v>1339</v>
      </c>
      <c r="C128" s="941">
        <v>13.9</v>
      </c>
      <c r="D128" s="944">
        <v>10.55</v>
      </c>
      <c r="E128" s="945">
        <v>119.94</v>
      </c>
      <c r="F128" s="945">
        <v>1.1245000000000001</v>
      </c>
      <c r="G128" s="945">
        <v>1.5384615384615383</v>
      </c>
    </row>
    <row r="129" spans="1:7" ht="15" hidden="1" customHeight="1">
      <c r="A129" s="914"/>
      <c r="B129" s="947" t="s">
        <v>1340</v>
      </c>
      <c r="C129" s="946">
        <v>13.85</v>
      </c>
      <c r="D129" s="944">
        <v>10.47</v>
      </c>
      <c r="E129" s="945">
        <v>121.15</v>
      </c>
      <c r="F129" s="945">
        <v>1.0981000000000001</v>
      </c>
      <c r="G129" s="945">
        <v>1.54</v>
      </c>
    </row>
    <row r="130" spans="1:7" ht="15" hidden="1" customHeight="1">
      <c r="A130" s="914"/>
      <c r="B130" s="947" t="s">
        <v>1341</v>
      </c>
      <c r="C130" s="946">
        <v>14.395800000000001</v>
      </c>
      <c r="D130" s="944">
        <v>10.695187165775401</v>
      </c>
      <c r="E130" s="945">
        <v>122.72499999999999</v>
      </c>
      <c r="F130" s="945">
        <v>1.0588500000000001</v>
      </c>
      <c r="G130" s="945">
        <v>1.53145</v>
      </c>
    </row>
    <row r="131" spans="1:7" ht="15" hidden="1" customHeight="1">
      <c r="B131" s="729" t="s">
        <v>1342</v>
      </c>
      <c r="C131" s="946">
        <v>15.56</v>
      </c>
      <c r="D131" s="944">
        <v>11.099</v>
      </c>
      <c r="E131" s="945">
        <v>120.42</v>
      </c>
      <c r="F131" s="945">
        <f>1/0.915</f>
        <v>1.0928961748633879</v>
      </c>
      <c r="G131" s="945">
        <f>1/0.67</f>
        <v>1.4925373134328357</v>
      </c>
    </row>
    <row r="132" spans="1:7" ht="15" hidden="1" customHeight="1">
      <c r="B132" s="729"/>
      <c r="C132" s="946"/>
      <c r="D132" s="944"/>
      <c r="E132" s="945"/>
      <c r="F132" s="945"/>
      <c r="G132" s="945"/>
    </row>
    <row r="133" spans="1:7" ht="15" hidden="1" customHeight="1">
      <c r="B133" s="730">
        <v>2016</v>
      </c>
      <c r="C133" s="946"/>
      <c r="D133" s="944"/>
      <c r="E133" s="945"/>
      <c r="F133" s="945"/>
      <c r="G133" s="945"/>
    </row>
    <row r="134" spans="1:7" ht="15" hidden="1" customHeight="1">
      <c r="B134" s="729" t="s">
        <v>345</v>
      </c>
      <c r="C134" s="946">
        <v>16.09</v>
      </c>
      <c r="D134" s="944">
        <v>11.43</v>
      </c>
      <c r="E134" s="945">
        <v>120.55</v>
      </c>
      <c r="F134" s="945">
        <f>1/0.917</f>
        <v>1.0905125408942202</v>
      </c>
      <c r="G134" s="945">
        <f>1/0.69</f>
        <v>1.4492753623188408</v>
      </c>
    </row>
    <row r="135" spans="1:7" ht="15" hidden="1" customHeight="1">
      <c r="B135" s="729" t="s">
        <v>1743</v>
      </c>
      <c r="C135" s="946">
        <v>16.11</v>
      </c>
      <c r="D135" s="944">
        <v>11.27</v>
      </c>
      <c r="E135" s="945">
        <v>113.03</v>
      </c>
      <c r="F135" s="945">
        <v>1.099</v>
      </c>
      <c r="G135" s="945">
        <v>1.3879999999999999</v>
      </c>
    </row>
    <row r="136" spans="1:7" ht="15" hidden="1" customHeight="1">
      <c r="B136" s="729" t="s">
        <v>335</v>
      </c>
      <c r="C136" s="946">
        <v>15.45</v>
      </c>
      <c r="D136" s="944">
        <v>11.1</v>
      </c>
      <c r="E136" s="945">
        <v>112.95</v>
      </c>
      <c r="F136" s="945">
        <v>1.1100000000000001</v>
      </c>
      <c r="G136" s="945">
        <v>1.42</v>
      </c>
    </row>
    <row r="137" spans="1:7" ht="15" hidden="1" customHeight="1">
      <c r="B137" s="729" t="s">
        <v>336</v>
      </c>
      <c r="C137" s="946">
        <v>14.62</v>
      </c>
      <c r="D137" s="944">
        <v>10.757547712140596</v>
      </c>
      <c r="E137" s="945">
        <v>109.68249999999998</v>
      </c>
      <c r="F137" s="945">
        <v>1.1340036423708497</v>
      </c>
      <c r="G137" s="945">
        <v>1.4305536632278986</v>
      </c>
    </row>
    <row r="138" spans="1:7" ht="15" hidden="1" customHeight="1">
      <c r="B138" s="729" t="s">
        <v>337</v>
      </c>
      <c r="C138" s="946">
        <v>15.32</v>
      </c>
      <c r="D138" s="944">
        <v>10.980036724876134</v>
      </c>
      <c r="E138" s="945">
        <v>108.93225</v>
      </c>
      <c r="F138" s="945">
        <v>1.1340036423708497</v>
      </c>
      <c r="G138" s="945">
        <v>1.4521981842412195</v>
      </c>
    </row>
    <row r="139" spans="1:7" ht="15" hidden="1" customHeight="1">
      <c r="B139" s="729" t="s">
        <v>338</v>
      </c>
      <c r="C139" s="946">
        <v>14.8834</v>
      </c>
      <c r="D139" s="944">
        <v>10.934937124111537</v>
      </c>
      <c r="E139" s="945">
        <v>102.67</v>
      </c>
      <c r="F139" s="945">
        <v>1.1094999999999999</v>
      </c>
      <c r="G139" s="945">
        <v>1.3396999999999999</v>
      </c>
    </row>
    <row r="140" spans="1:7" ht="15" hidden="1" customHeight="1">
      <c r="B140" s="729" t="s">
        <v>339</v>
      </c>
      <c r="C140" s="946">
        <v>14.4277</v>
      </c>
      <c r="D140" s="944">
        <v>10.789199999999999</v>
      </c>
      <c r="E140" s="945">
        <v>103.93980000000001</v>
      </c>
      <c r="F140" s="945">
        <v>1.1069293779056897</v>
      </c>
      <c r="G140" s="945">
        <v>1.3180440226703571</v>
      </c>
    </row>
    <row r="141" spans="1:7" ht="15" hidden="1" customHeight="1">
      <c r="B141" s="729" t="s">
        <v>340</v>
      </c>
      <c r="C141" s="946">
        <v>13.765599999999999</v>
      </c>
      <c r="D141" s="944">
        <v>9.4520999999999997</v>
      </c>
      <c r="E141" s="945">
        <v>101.21899999999999</v>
      </c>
      <c r="F141" s="945">
        <v>1.0960105217010083</v>
      </c>
      <c r="G141" s="945">
        <v>1.2280486307257767</v>
      </c>
    </row>
    <row r="142" spans="1:7" ht="15" hidden="1" customHeight="1">
      <c r="B142" s="729" t="s">
        <v>341</v>
      </c>
      <c r="C142" s="946">
        <v>13.92</v>
      </c>
      <c r="D142" s="944">
        <v>10.58</v>
      </c>
      <c r="E142" s="945">
        <v>101.6</v>
      </c>
      <c r="F142" s="945">
        <v>1.1200000000000001</v>
      </c>
      <c r="G142" s="945">
        <v>1.32</v>
      </c>
    </row>
    <row r="143" spans="1:7" ht="15" hidden="1" customHeight="1">
      <c r="B143" s="729" t="s">
        <v>342</v>
      </c>
      <c r="C143" s="946">
        <v>13.94</v>
      </c>
      <c r="D143" s="944">
        <v>10.65</v>
      </c>
      <c r="E143" s="945">
        <v>103.76</v>
      </c>
      <c r="F143" s="945">
        <v>1.0989010989010988</v>
      </c>
      <c r="G143" s="945">
        <v>1.2345679012345678</v>
      </c>
    </row>
    <row r="144" spans="1:7" ht="15" hidden="1" customHeight="1">
      <c r="B144" s="729" t="s">
        <v>343</v>
      </c>
      <c r="C144" s="946">
        <v>13.940222727272731</v>
      </c>
      <c r="D144" s="944">
        <v>10.687542895713616</v>
      </c>
      <c r="E144" s="945">
        <v>107.99340909090907</v>
      </c>
      <c r="F144" s="945">
        <v>1.0810578453981106</v>
      </c>
      <c r="G144" s="945">
        <v>1.2429791496013998</v>
      </c>
    </row>
    <row r="145" spans="2:7" ht="15" hidden="1" customHeight="1">
      <c r="B145" s="729" t="s">
        <v>344</v>
      </c>
      <c r="C145" s="946">
        <v>13.841639473684211</v>
      </c>
      <c r="D145" s="944">
        <v>10.724660878889139</v>
      </c>
      <c r="E145" s="945">
        <v>115.78947368421051</v>
      </c>
      <c r="F145" s="945">
        <f>1/0.9473</f>
        <v>1.0556317956296843</v>
      </c>
      <c r="G145" s="945">
        <f>1/0.7994</f>
        <v>1.2509382036527397</v>
      </c>
    </row>
    <row r="146" spans="2:7" ht="15" customHeight="1" thickTop="1">
      <c r="B146" s="944"/>
      <c r="C146" s="945"/>
      <c r="D146" s="945"/>
      <c r="E146" s="945"/>
      <c r="F146" s="945"/>
      <c r="G146" s="945"/>
    </row>
    <row r="147" spans="2:7" ht="15" customHeight="1">
      <c r="B147" s="730">
        <v>2017</v>
      </c>
      <c r="C147" s="945"/>
      <c r="D147" s="945"/>
      <c r="E147" s="945"/>
      <c r="F147" s="945"/>
      <c r="G147" s="945"/>
    </row>
    <row r="148" spans="2:7" ht="15" customHeight="1">
      <c r="B148" s="945" t="s">
        <v>345</v>
      </c>
      <c r="C148" s="945">
        <v>13.51455</v>
      </c>
      <c r="D148" s="945">
        <v>10.565240359218173</v>
      </c>
      <c r="E148" s="945">
        <v>113.47499999999999</v>
      </c>
      <c r="F148" s="945">
        <v>1.0700500000000002</v>
      </c>
      <c r="G148" s="945">
        <v>1.2515499999999997</v>
      </c>
    </row>
    <row r="149" spans="2:7" ht="15" customHeight="1">
      <c r="B149" s="945" t="s">
        <v>334</v>
      </c>
      <c r="C149" s="945">
        <v>12.995699999999999</v>
      </c>
      <c r="D149" s="945">
        <v>10.357327809425168</v>
      </c>
      <c r="E149" s="945">
        <v>112.51</v>
      </c>
      <c r="F149" s="945">
        <v>1.0591000000000006</v>
      </c>
      <c r="G149" s="945">
        <v>1.2439</v>
      </c>
    </row>
    <row r="150" spans="2:7" ht="15" customHeight="1">
      <c r="B150" s="945" t="s">
        <v>335</v>
      </c>
      <c r="C150" s="945">
        <v>13.545</v>
      </c>
      <c r="D150" s="945">
        <v>10.554089709762533</v>
      </c>
      <c r="E150" s="945">
        <v>111.875</v>
      </c>
      <c r="F150" s="945">
        <v>1.0678000000000005</v>
      </c>
      <c r="G150" s="945">
        <v>1.2486500000000003</v>
      </c>
    </row>
    <row r="151" spans="2:7" ht="15" customHeight="1">
      <c r="B151" s="945" t="s">
        <v>336</v>
      </c>
      <c r="C151" s="945">
        <v>13.3461</v>
      </c>
      <c r="D151" s="945">
        <v>10.438413361169102</v>
      </c>
      <c r="E151" s="945">
        <v>111.16</v>
      </c>
      <c r="F151" s="945">
        <v>1.0861500000000002</v>
      </c>
      <c r="G151" s="945">
        <v>1.2907999999999991</v>
      </c>
    </row>
    <row r="152" spans="2:7" ht="15" customHeight="1">
      <c r="B152" s="945" t="s">
        <v>337</v>
      </c>
      <c r="C152" s="945">
        <v>13.116199999999999</v>
      </c>
      <c r="D152" s="945">
        <v>10.298661174047373</v>
      </c>
      <c r="E152" s="945">
        <v>110.965</v>
      </c>
      <c r="F152" s="945">
        <v>1.1167999999999996</v>
      </c>
      <c r="G152" s="945">
        <v>1.2800500000000006</v>
      </c>
    </row>
    <row r="153" spans="2:7" ht="15" customHeight="1">
      <c r="B153" s="945" t="s">
        <v>338</v>
      </c>
      <c r="C153" s="945">
        <v>13.014950000000001</v>
      </c>
      <c r="D153" s="945">
        <v>10.224948875255624</v>
      </c>
      <c r="E153" s="945">
        <v>111.94499999999999</v>
      </c>
      <c r="F153" s="945">
        <v>1.1438999999999999</v>
      </c>
      <c r="G153" s="945">
        <v>1.3013000000000008</v>
      </c>
    </row>
    <row r="154" spans="2:7" ht="15" customHeight="1">
      <c r="B154" s="945" t="s">
        <v>339</v>
      </c>
      <c r="C154" s="945">
        <v>12.9986</v>
      </c>
      <c r="D154" s="945">
        <v>10.209290454313425</v>
      </c>
      <c r="E154" s="945">
        <v>110.515</v>
      </c>
      <c r="F154" s="945">
        <v>1.1733499999999999</v>
      </c>
      <c r="G154" s="945">
        <v>1.3127</v>
      </c>
    </row>
    <row r="155" spans="2:7" ht="15" customHeight="1">
      <c r="B155" s="945" t="s">
        <v>340</v>
      </c>
      <c r="C155" s="945">
        <v>13.01525</v>
      </c>
      <c r="D155" s="945">
        <v>10.13684744044602</v>
      </c>
      <c r="E155" s="945">
        <v>110.55</v>
      </c>
      <c r="F155" s="945">
        <v>1.1873000000000002</v>
      </c>
      <c r="G155" s="945">
        <v>1.292</v>
      </c>
    </row>
    <row r="156" spans="2:7" ht="15" customHeight="1">
      <c r="B156" s="945" t="s">
        <v>341</v>
      </c>
      <c r="C156" s="945">
        <v>13.5463</v>
      </c>
      <c r="D156" s="945">
        <v>10.325245224574083</v>
      </c>
      <c r="E156" s="945">
        <v>112.675</v>
      </c>
      <c r="F156" s="945">
        <v>1.1777</v>
      </c>
      <c r="G156" s="945">
        <v>1.3415999999999999</v>
      </c>
    </row>
    <row r="157" spans="2:7" ht="15" customHeight="1">
      <c r="B157" s="945" t="s">
        <v>342</v>
      </c>
      <c r="C157" s="945">
        <v>14.0603</v>
      </c>
      <c r="D157" s="945">
        <v>10.5318588730911</v>
      </c>
      <c r="E157" s="945">
        <v>113.11499999999999</v>
      </c>
      <c r="F157" s="945">
        <v>1.1629499999999999</v>
      </c>
      <c r="G157" s="945">
        <f>1/0.757088238634213</f>
        <v>1.3208499999999996</v>
      </c>
    </row>
    <row r="158" spans="2:7" ht="15" customHeight="1">
      <c r="B158" s="945" t="s">
        <v>343</v>
      </c>
      <c r="C158" s="945">
        <v>13.6625</v>
      </c>
      <c r="D158" s="945">
        <v>10.319917440660475</v>
      </c>
      <c r="E158" s="945">
        <v>112.125</v>
      </c>
      <c r="F158" s="945">
        <v>1.18665</v>
      </c>
      <c r="G158" s="945">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30">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62"/>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5">
        <v>13.421611904761907</v>
      </c>
      <c r="D168" s="1405">
        <v>10.317854147549117</v>
      </c>
      <c r="E168" s="1405">
        <v>111.44190476190475</v>
      </c>
      <c r="F168" s="1405">
        <v>1.1686998705409841</v>
      </c>
      <c r="G168" s="1405">
        <v>1.3173564700879024</v>
      </c>
    </row>
    <row r="169" spans="2:10" ht="15" customHeight="1">
      <c r="B169" s="1273" t="s">
        <v>340</v>
      </c>
      <c r="C169" s="1405">
        <v>14.037390476190472</v>
      </c>
      <c r="D169" s="1405">
        <v>10.561541807417424</v>
      </c>
      <c r="E169" s="1405">
        <v>111.12952380952382</v>
      </c>
      <c r="F169" s="1405">
        <v>1.1560939693338113</v>
      </c>
      <c r="G169" s="1405">
        <v>1.2891940188501041</v>
      </c>
    </row>
    <row r="170" spans="2:10" ht="15" customHeight="1">
      <c r="B170" s="1273" t="s">
        <v>341</v>
      </c>
      <c r="C170" s="1405">
        <v>14.799625000000001</v>
      </c>
      <c r="D170" s="1405">
        <v>10.799704159647005</v>
      </c>
      <c r="E170" s="1405">
        <v>111.92525000000001</v>
      </c>
      <c r="F170" s="1405">
        <v>1.1659101902440381</v>
      </c>
      <c r="G170" s="1405">
        <v>1.3048720115068093</v>
      </c>
    </row>
    <row r="171" spans="2:10" ht="15" customHeight="1">
      <c r="B171" s="1273" t="s">
        <v>342</v>
      </c>
      <c r="C171" s="1405">
        <v>14.538839999999999</v>
      </c>
      <c r="D171" s="1405">
        <v>10.746558307786561</v>
      </c>
      <c r="E171" s="1405">
        <v>112.69625000000001</v>
      </c>
      <c r="F171" s="1405">
        <v>1.1216887500000001</v>
      </c>
      <c r="G171" s="1405">
        <v>1.2698187500000002</v>
      </c>
    </row>
    <row r="172" spans="2:10" ht="15" customHeight="1">
      <c r="B172" s="1273" t="s">
        <v>343</v>
      </c>
      <c r="C172" s="1405">
        <v>14.11</v>
      </c>
      <c r="D172" s="1405">
        <v>10.65</v>
      </c>
      <c r="E172" s="1405">
        <v>113.34</v>
      </c>
      <c r="F172" s="1405">
        <v>1.1368254963525204</v>
      </c>
      <c r="G172" s="1405">
        <v>1.2987012987012987</v>
      </c>
    </row>
    <row r="173" spans="2:10" ht="15" customHeight="1">
      <c r="B173" s="1273" t="s">
        <v>344</v>
      </c>
      <c r="C173" s="1405">
        <v>14.19</v>
      </c>
      <c r="D173" s="1405">
        <v>10.68</v>
      </c>
      <c r="E173" s="1405">
        <v>112.54</v>
      </c>
      <c r="F173" s="1405">
        <v>1.1363636363636365</v>
      </c>
      <c r="G173" s="1405">
        <v>1.2658227848101264</v>
      </c>
    </row>
    <row r="174" spans="2:10" ht="15" customHeight="1">
      <c r="B174" s="1461"/>
      <c r="C174" s="1461"/>
      <c r="D174" s="1461"/>
      <c r="E174" s="1461"/>
      <c r="F174" s="1461"/>
      <c r="G174" s="1461"/>
    </row>
    <row r="175" spans="2:10" ht="15" customHeight="1">
      <c r="B175" s="730">
        <v>2019</v>
      </c>
      <c r="C175" s="1461"/>
      <c r="D175" s="1461"/>
      <c r="E175" s="1461"/>
      <c r="F175" s="1461"/>
      <c r="G175" s="1461"/>
    </row>
    <row r="176" spans="2:10" ht="15" customHeight="1">
      <c r="B176" s="1472" t="s">
        <v>345</v>
      </c>
      <c r="C176" s="1461">
        <v>13.861838636363638</v>
      </c>
      <c r="D176" s="1461">
        <v>10.535963371687563</v>
      </c>
      <c r="E176" s="1461">
        <v>109.15886363636365</v>
      </c>
      <c r="F176" s="1461">
        <v>1.1381321367424213</v>
      </c>
      <c r="G176" s="1461">
        <v>1.285338058805557</v>
      </c>
    </row>
    <row r="177" spans="2:7" ht="15" customHeight="1">
      <c r="B177" s="1472" t="s">
        <v>334</v>
      </c>
      <c r="C177" s="1461">
        <v>13.778905263157894</v>
      </c>
      <c r="D177" s="1461">
        <v>10.49637613525924</v>
      </c>
      <c r="E177" s="1461">
        <v>110.31105263157896</v>
      </c>
      <c r="F177" s="1461">
        <v>1.1449157960635286</v>
      </c>
      <c r="G177" s="1461">
        <v>1.3003668154121355</v>
      </c>
    </row>
    <row r="178" spans="2:7" ht="15" customHeight="1">
      <c r="B178" s="1472" t="s">
        <v>335</v>
      </c>
      <c r="C178" s="1461">
        <v>14.355671428571426</v>
      </c>
      <c r="D178" s="1461">
        <v>10.689596083755291</v>
      </c>
      <c r="E178" s="1461">
        <v>111.1195238095238</v>
      </c>
      <c r="F178" s="1461">
        <v>1.1363636363636365</v>
      </c>
      <c r="G178" s="1461">
        <v>1.3157894736842106</v>
      </c>
    </row>
    <row r="179" spans="2:7" ht="15" customHeight="1">
      <c r="B179" s="1472" t="s">
        <v>336</v>
      </c>
      <c r="C179" s="1461">
        <v>14.3368</v>
      </c>
      <c r="D179" s="1461">
        <v>10.758472296933835</v>
      </c>
      <c r="E179" s="1461">
        <v>111.515</v>
      </c>
      <c r="F179" s="1461">
        <v>1.1188499999999999</v>
      </c>
      <c r="G179" s="1461">
        <v>1.2942</v>
      </c>
    </row>
    <row r="180" spans="2:7" ht="15" customHeight="1">
      <c r="B180" s="1472" t="s">
        <v>337</v>
      </c>
      <c r="C180" s="1461">
        <v>14.426440909090907</v>
      </c>
      <c r="D180" s="1461">
        <v>10.759583673700224</v>
      </c>
      <c r="E180" s="1461">
        <v>109.99431818181816</v>
      </c>
      <c r="F180" s="1461">
        <v>1.1185534812940348</v>
      </c>
      <c r="G180" s="1461">
        <v>1.2851910524711021</v>
      </c>
    </row>
    <row r="181" spans="2:7" ht="15" customHeight="1">
      <c r="B181" s="1472" t="s">
        <v>338</v>
      </c>
      <c r="C181" s="1461"/>
      <c r="D181" s="1461"/>
      <c r="E181" s="1461"/>
      <c r="F181" s="1461"/>
      <c r="G181" s="1461"/>
    </row>
    <row r="182" spans="2:7" ht="15" customHeight="1">
      <c r="B182" s="1472" t="s">
        <v>339</v>
      </c>
      <c r="C182" s="1461"/>
      <c r="D182" s="1461"/>
      <c r="E182" s="1461"/>
      <c r="F182" s="1461"/>
      <c r="G182" s="1461"/>
    </row>
    <row r="183" spans="2:7" ht="15" customHeight="1" thickBot="1">
      <c r="B183" s="904"/>
      <c r="C183" s="1474"/>
      <c r="D183" s="905"/>
      <c r="E183" s="904"/>
      <c r="F183" s="904"/>
      <c r="G183" s="904"/>
    </row>
    <row r="184" spans="2:7" ht="15" customHeight="1" thickTop="1">
      <c r="B184" s="900"/>
      <c r="C184" s="901"/>
      <c r="D184" s="902"/>
      <c r="E184" s="901"/>
      <c r="F184" s="901"/>
      <c r="G184" s="901"/>
    </row>
    <row r="185" spans="2:7" ht="15" customHeight="1">
      <c r="B185" s="1421" t="s">
        <v>1779</v>
      </c>
      <c r="C185" s="937"/>
      <c r="D185" s="902"/>
      <c r="E185" s="901"/>
      <c r="F185" s="901"/>
      <c r="G185" s="901"/>
    </row>
    <row r="186" spans="2:7" ht="15" customHeight="1">
      <c r="B186" s="967"/>
      <c r="C186" s="937"/>
      <c r="D186" s="902"/>
      <c r="E186" s="901"/>
      <c r="F186" s="901"/>
      <c r="G186" s="901"/>
    </row>
    <row r="187" spans="2:7" ht="12.75" customHeight="1">
      <c r="B187" s="1892" t="s">
        <v>1357</v>
      </c>
      <c r="C187" s="1892"/>
      <c r="D187" s="746"/>
      <c r="E187" s="746"/>
      <c r="F187" s="746"/>
      <c r="G187" s="746"/>
    </row>
    <row r="188" spans="2:7" ht="12.75" customHeight="1">
      <c r="B188" s="1893" t="s">
        <v>1358</v>
      </c>
      <c r="C188" s="1893"/>
      <c r="D188" s="913"/>
      <c r="E188" s="746"/>
      <c r="F188" s="913"/>
      <c r="G188" s="746"/>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2"/>
    <col min="4" max="4" width="12.08984375" style="272" customWidth="1"/>
    <col min="5" max="5" width="12" style="272" customWidth="1"/>
    <col min="6" max="6" width="11.36328125" style="272" customWidth="1"/>
    <col min="7" max="7" width="11.453125" style="272" customWidth="1"/>
    <col min="8" max="9" width="11.36328125" style="272" customWidth="1"/>
    <col min="10" max="10" width="17.453125" style="272" customWidth="1"/>
    <col min="11" max="11" width="2.6328125" style="272" customWidth="1"/>
    <col min="12" max="16384" width="12.6328125" style="272"/>
  </cols>
  <sheetData>
    <row r="1" spans="4:25" ht="23.25" hidden="1" customHeight="1">
      <c r="D1" s="1891" t="s">
        <v>1159</v>
      </c>
      <c r="E1" s="1891"/>
      <c r="F1" s="1891"/>
      <c r="G1" s="1891"/>
      <c r="H1" s="1891"/>
      <c r="I1" s="1891"/>
      <c r="J1" s="1891"/>
      <c r="K1" s="162"/>
      <c r="L1" s="244"/>
      <c r="M1" s="244"/>
      <c r="N1" s="244"/>
      <c r="O1" s="244"/>
      <c r="P1" s="244"/>
      <c r="Q1" s="244"/>
      <c r="R1" s="244"/>
      <c r="S1" s="244"/>
      <c r="T1" s="244"/>
      <c r="U1" s="244"/>
      <c r="V1" s="244"/>
      <c r="W1" s="244"/>
      <c r="X1" s="244"/>
      <c r="Y1" s="244"/>
    </row>
    <row r="2" spans="4:25" ht="12.9" hidden="1" customHeight="1" thickBot="1">
      <c r="D2" s="245"/>
      <c r="E2" s="245"/>
      <c r="F2" s="245"/>
      <c r="G2" s="245"/>
      <c r="H2" s="245"/>
      <c r="I2" s="245"/>
      <c r="J2" s="245"/>
      <c r="K2" s="162"/>
      <c r="L2" s="244"/>
      <c r="M2" s="244"/>
      <c r="N2" s="244"/>
      <c r="O2" s="244"/>
      <c r="P2" s="244"/>
      <c r="Q2" s="244"/>
      <c r="R2" s="244"/>
      <c r="S2" s="244"/>
      <c r="T2" s="244"/>
      <c r="U2" s="244"/>
      <c r="V2" s="244"/>
      <c r="W2" s="244"/>
      <c r="X2" s="244"/>
      <c r="Y2" s="244"/>
    </row>
    <row r="3" spans="4:25" ht="19.5" hidden="1" customHeight="1" thickTop="1">
      <c r="D3" s="246"/>
      <c r="E3" s="482"/>
      <c r="F3" s="482"/>
      <c r="G3" s="482"/>
      <c r="H3" s="482"/>
      <c r="I3" s="482"/>
      <c r="J3" s="482"/>
      <c r="K3" s="164"/>
    </row>
    <row r="4" spans="4:25" ht="24" hidden="1" customHeight="1">
      <c r="D4" s="161"/>
      <c r="E4" s="483" t="s">
        <v>761</v>
      </c>
      <c r="F4" s="483" t="s">
        <v>764</v>
      </c>
      <c r="G4" s="483" t="s">
        <v>762</v>
      </c>
      <c r="H4" s="483" t="s">
        <v>763</v>
      </c>
      <c r="I4" s="1486"/>
      <c r="J4" s="483" t="s">
        <v>760</v>
      </c>
      <c r="K4" s="164"/>
    </row>
    <row r="5" spans="4:25" ht="24" hidden="1" customHeight="1">
      <c r="D5" s="163" t="s">
        <v>263</v>
      </c>
      <c r="E5" s="483" t="s">
        <v>1160</v>
      </c>
      <c r="F5" s="483" t="s">
        <v>1161</v>
      </c>
      <c r="G5" s="483" t="s">
        <v>1162</v>
      </c>
      <c r="H5" s="483" t="s">
        <v>1190</v>
      </c>
      <c r="I5" s="1486"/>
      <c r="J5" s="483" t="s">
        <v>1191</v>
      </c>
      <c r="K5" s="164"/>
    </row>
    <row r="6" spans="4:25" ht="12.75" hidden="1" customHeight="1">
      <c r="D6" s="163"/>
      <c r="E6" s="484"/>
      <c r="F6" s="484"/>
      <c r="G6" s="484"/>
      <c r="H6" s="484"/>
      <c r="I6" s="1487"/>
      <c r="J6" s="484"/>
      <c r="K6" s="164"/>
    </row>
    <row r="7" spans="4:25" ht="12.9" hidden="1" customHeight="1" thickBot="1">
      <c r="D7" s="247"/>
      <c r="E7" s="485"/>
      <c r="F7" s="485"/>
      <c r="G7" s="485"/>
      <c r="H7" s="485"/>
      <c r="I7" s="1488"/>
      <c r="J7" s="485"/>
      <c r="K7" s="164"/>
    </row>
    <row r="8" spans="4:25" ht="12.75" hidden="1" customHeight="1" thickTop="1">
      <c r="D8" s="246"/>
      <c r="E8" s="486"/>
      <c r="F8" s="486"/>
      <c r="G8" s="486"/>
      <c r="H8" s="486"/>
      <c r="I8" s="486"/>
      <c r="J8" s="486"/>
      <c r="K8" s="162"/>
    </row>
    <row r="9" spans="4:25" ht="23.25" hidden="1" customHeight="1">
      <c r="D9" s="163">
        <v>2009</v>
      </c>
      <c r="E9" s="487"/>
      <c r="F9" s="487"/>
      <c r="G9" s="487"/>
      <c r="H9" s="487"/>
      <c r="I9" s="1489"/>
      <c r="J9" s="487"/>
      <c r="K9" s="162"/>
    </row>
    <row r="10" spans="4:25" ht="23.25" hidden="1" customHeight="1">
      <c r="D10" s="161"/>
      <c r="E10" s="487"/>
      <c r="F10" s="487"/>
      <c r="G10" s="487"/>
      <c r="H10" s="487"/>
      <c r="I10" s="1489"/>
      <c r="J10" s="487"/>
      <c r="K10" s="162"/>
    </row>
    <row r="11" spans="4:25" ht="24.75" hidden="1" customHeight="1">
      <c r="D11" s="161" t="s">
        <v>298</v>
      </c>
      <c r="E11" s="488">
        <v>10.042378096845308</v>
      </c>
      <c r="F11" s="488">
        <v>1.2885734081697975</v>
      </c>
      <c r="G11" s="488">
        <v>0.112170119336166</v>
      </c>
      <c r="H11" s="488">
        <v>1.2885734081697975</v>
      </c>
      <c r="I11" s="1490"/>
      <c r="J11" s="488">
        <v>14.275852434262701</v>
      </c>
      <c r="K11" s="162"/>
    </row>
    <row r="12" spans="4:25" ht="23.25" hidden="1" customHeight="1">
      <c r="D12" s="161" t="s">
        <v>299</v>
      </c>
      <c r="E12" s="488">
        <v>10.259999976947386</v>
      </c>
      <c r="F12" s="488">
        <v>1.2871169980786428</v>
      </c>
      <c r="G12" s="488">
        <v>0.11452810114731439</v>
      </c>
      <c r="H12" s="488">
        <v>1.2871169980786428</v>
      </c>
      <c r="I12" s="1490"/>
      <c r="J12" s="488">
        <v>14.745158969105162</v>
      </c>
      <c r="K12" s="162"/>
    </row>
    <row r="13" spans="4:25" ht="23.25" hidden="1" customHeight="1">
      <c r="D13" s="161" t="s">
        <v>300</v>
      </c>
      <c r="E13" s="488">
        <v>9.8863867799106746</v>
      </c>
      <c r="F13" s="488">
        <v>1.2478340862442787</v>
      </c>
      <c r="G13" s="488">
        <v>0.10130311595127124</v>
      </c>
      <c r="H13" s="488">
        <v>1.2478340862442787</v>
      </c>
      <c r="I13" s="1490"/>
      <c r="J13" s="488">
        <v>14.07695672207606</v>
      </c>
      <c r="K13" s="162"/>
    </row>
    <row r="14" spans="4:25" ht="23.25" hidden="1" customHeight="1">
      <c r="D14" s="161" t="s">
        <v>301</v>
      </c>
      <c r="E14" s="488">
        <v>9.0194012406724955</v>
      </c>
      <c r="F14" s="488">
        <v>1.2115256675357382</v>
      </c>
      <c r="G14" s="488">
        <v>9.1234379214240657E-2</v>
      </c>
      <c r="H14" s="488">
        <v>1.2115256675357382</v>
      </c>
      <c r="I14" s="1490"/>
      <c r="J14" s="488">
        <v>13.270916119751858</v>
      </c>
      <c r="K14" s="162"/>
    </row>
    <row r="15" spans="4:25" ht="23.25" hidden="1" customHeight="1">
      <c r="D15" s="161" t="s">
        <v>302</v>
      </c>
      <c r="E15" s="488">
        <v>8.3822835616515423</v>
      </c>
      <c r="F15" s="488">
        <v>1.1774860191139151</v>
      </c>
      <c r="G15" s="488">
        <v>8.686559833256198E-2</v>
      </c>
      <c r="H15" s="488">
        <v>1.1774860191139151</v>
      </c>
      <c r="I15" s="1490"/>
      <c r="J15" s="488">
        <v>12.919551738616239</v>
      </c>
      <c r="K15" s="162"/>
    </row>
    <row r="16" spans="4:25" ht="23.25" hidden="1" customHeight="1">
      <c r="D16" s="161" t="s">
        <v>303</v>
      </c>
      <c r="E16" s="488">
        <v>8.055873356373894</v>
      </c>
      <c r="F16" s="488">
        <v>1.1663786596750487</v>
      </c>
      <c r="G16" s="488">
        <v>8.3472371191355935E-2</v>
      </c>
      <c r="H16" s="488">
        <v>1.1663786596750487</v>
      </c>
      <c r="I16" s="1490"/>
      <c r="J16" s="488">
        <v>13.182417669725508</v>
      </c>
      <c r="K16" s="162"/>
    </row>
    <row r="17" spans="4:24" ht="23.25" hidden="1" customHeight="1">
      <c r="D17" s="161" t="s">
        <v>304</v>
      </c>
      <c r="E17" s="488">
        <v>7.9559301648155465</v>
      </c>
      <c r="F17" s="488">
        <v>1.1580124410366281</v>
      </c>
      <c r="G17" s="488">
        <v>8.4164928304298059E-2</v>
      </c>
      <c r="H17" s="488">
        <v>1.1580124410366281</v>
      </c>
      <c r="I17" s="1490"/>
      <c r="J17" s="488">
        <v>13.014263967976545</v>
      </c>
      <c r="K17" s="162"/>
    </row>
    <row r="18" spans="4:24" ht="23.25" hidden="1" customHeight="1">
      <c r="D18" s="161" t="s">
        <v>305</v>
      </c>
      <c r="E18" s="488">
        <v>7.81</v>
      </c>
      <c r="F18" s="488">
        <v>1.1499999999999999</v>
      </c>
      <c r="G18" s="488">
        <v>0.08</v>
      </c>
      <c r="H18" s="488">
        <v>11.13</v>
      </c>
      <c r="I18" s="1490"/>
      <c r="J18" s="488">
        <v>12.65</v>
      </c>
      <c r="K18" s="162"/>
    </row>
    <row r="19" spans="4:24" ht="23.25" hidden="1" customHeight="1">
      <c r="D19" s="161" t="s">
        <v>306</v>
      </c>
      <c r="E19" s="488">
        <v>7.81</v>
      </c>
      <c r="F19" s="488">
        <v>1.1499999999999999</v>
      </c>
      <c r="G19" s="488">
        <v>0.08</v>
      </c>
      <c r="H19" s="488">
        <v>11.13</v>
      </c>
      <c r="I19" s="1490"/>
      <c r="J19" s="488">
        <v>12.65</v>
      </c>
      <c r="K19" s="162"/>
    </row>
    <row r="20" spans="4:24" ht="23.25" hidden="1" customHeight="1">
      <c r="D20" s="161" t="s">
        <v>307</v>
      </c>
      <c r="E20" s="488">
        <v>7.74</v>
      </c>
      <c r="F20" s="488">
        <v>1.1499999999999999</v>
      </c>
      <c r="G20" s="488">
        <v>0.09</v>
      </c>
      <c r="H20" s="488">
        <v>11.48</v>
      </c>
      <c r="I20" s="1490"/>
      <c r="J20" s="488">
        <v>12.8</v>
      </c>
      <c r="K20" s="162"/>
    </row>
    <row r="21" spans="4:24" ht="23.25" hidden="1" customHeight="1">
      <c r="D21" s="161" t="s">
        <v>308</v>
      </c>
      <c r="E21" s="488">
        <v>7.38</v>
      </c>
      <c r="F21" s="488">
        <v>1.1100000000000001</v>
      </c>
      <c r="G21" s="488">
        <v>0.09</v>
      </c>
      <c r="H21" s="488">
        <v>11.11</v>
      </c>
      <c r="I21" s="1490"/>
      <c r="J21" s="488">
        <v>12.21</v>
      </c>
      <c r="K21" s="162"/>
    </row>
    <row r="22" spans="4:24" ht="23.25" hidden="1" customHeight="1">
      <c r="D22" s="161" t="s">
        <v>311</v>
      </c>
      <c r="E22" s="488">
        <v>7.39</v>
      </c>
      <c r="F22" s="488">
        <v>1.1100000000000001</v>
      </c>
      <c r="G22" s="488">
        <v>0.08</v>
      </c>
      <c r="H22" s="488">
        <v>10.56</v>
      </c>
      <c r="I22" s="1490"/>
      <c r="J22" s="488">
        <v>11.88</v>
      </c>
      <c r="K22" s="162"/>
    </row>
    <row r="23" spans="4:24" ht="23.25" hidden="1" customHeight="1">
      <c r="D23" s="163">
        <v>2010</v>
      </c>
      <c r="E23" s="488"/>
      <c r="F23" s="488"/>
      <c r="G23" s="488"/>
      <c r="H23" s="488"/>
      <c r="I23" s="1490"/>
      <c r="J23" s="488"/>
      <c r="K23" s="162"/>
    </row>
    <row r="24" spans="4:24" ht="9.6" hidden="1" customHeight="1">
      <c r="D24" s="163"/>
      <c r="E24" s="488"/>
      <c r="F24" s="488"/>
      <c r="G24" s="488"/>
      <c r="H24" s="488"/>
      <c r="I24" s="1490"/>
      <c r="J24" s="488"/>
      <c r="K24" s="162"/>
    </row>
    <row r="25" spans="4:24" ht="23.25" hidden="1" customHeight="1">
      <c r="D25" s="161" t="s">
        <v>298</v>
      </c>
      <c r="E25" s="488">
        <v>7.62</v>
      </c>
      <c r="F25" s="488">
        <v>6.8259385665529013</v>
      </c>
      <c r="G25" s="488">
        <v>89.84</v>
      </c>
      <c r="H25" s="488">
        <f>1/0.710732054015636</f>
        <v>1.4070000000000003</v>
      </c>
      <c r="I25" s="1490"/>
      <c r="J25" s="488">
        <f>1/0.619962802231866</f>
        <v>1.6130000000000004</v>
      </c>
      <c r="K25" s="162"/>
    </row>
    <row r="26" spans="4:24" ht="23.25" hidden="1" customHeight="1">
      <c r="D26" s="161" t="s">
        <v>299</v>
      </c>
      <c r="E26" s="488">
        <v>7.7</v>
      </c>
      <c r="F26" s="488">
        <v>6.92</v>
      </c>
      <c r="G26" s="488">
        <v>89.25</v>
      </c>
      <c r="H26" s="488">
        <f>1.36</f>
        <v>1.36</v>
      </c>
      <c r="I26" s="1490"/>
      <c r="J26" s="488">
        <f>1.51</f>
        <v>1.51</v>
      </c>
      <c r="K26" s="162"/>
    </row>
    <row r="27" spans="4:24" ht="23.25" hidden="1" customHeight="1">
      <c r="D27" s="161" t="s">
        <v>300</v>
      </c>
      <c r="E27" s="488">
        <v>7.38</v>
      </c>
      <c r="F27" s="488">
        <v>6.7842605156037994</v>
      </c>
      <c r="G27" s="488">
        <v>93.26</v>
      </c>
      <c r="H27" s="488">
        <f>1/0.74582338902148</f>
        <v>1.3407999999999993</v>
      </c>
      <c r="I27" s="1490"/>
      <c r="J27" s="488">
        <f>1/0.663305916688777</f>
        <v>1.5075999999999996</v>
      </c>
      <c r="K27" s="162"/>
    </row>
    <row r="28" spans="4:24" ht="23.25" hidden="1" customHeight="1">
      <c r="D28" s="161" t="s">
        <v>301</v>
      </c>
      <c r="E28" s="488">
        <v>7.3257000000000003</v>
      </c>
      <c r="F28" s="488">
        <v>6.8027210884353746</v>
      </c>
      <c r="G28" s="488">
        <v>94.045000000000002</v>
      </c>
      <c r="H28" s="488">
        <f>1/0.753295668549906</f>
        <v>1.3274999999999997</v>
      </c>
      <c r="I28" s="1490"/>
      <c r="J28" s="488">
        <f>1/0.650195058517555</f>
        <v>1.5380000000000007</v>
      </c>
      <c r="K28" s="162"/>
    </row>
    <row r="29" spans="4:24" ht="23.25" hidden="1" customHeight="1">
      <c r="D29" s="161" t="s">
        <v>302</v>
      </c>
      <c r="E29" s="488">
        <v>7.6146000000000003</v>
      </c>
      <c r="F29" s="488">
        <v>7.0323488045007032</v>
      </c>
      <c r="G29" s="488">
        <v>91.44</v>
      </c>
      <c r="H29" s="488">
        <f>1/0.812677773262901</f>
        <v>1.2305000000000004</v>
      </c>
      <c r="I29" s="1490"/>
      <c r="J29" s="488">
        <f>1/0.690226394257316</f>
        <v>1.4488000000000008</v>
      </c>
      <c r="K29" s="162"/>
    </row>
    <row r="30" spans="4:24" ht="23.25" hidden="1" customHeight="1" thickBot="1">
      <c r="D30" s="161" t="s">
        <v>303</v>
      </c>
      <c r="E30" s="488">
        <v>7.6275000000000004</v>
      </c>
      <c r="F30" s="488">
        <v>7.1787508973438614</v>
      </c>
      <c r="G30" s="488">
        <v>88.635000000000005</v>
      </c>
      <c r="H30" s="488">
        <f>1/0.81732733959951</f>
        <v>1.2234999999999994</v>
      </c>
      <c r="I30" s="1490"/>
      <c r="J30" s="488">
        <f>1/0.664495979799322</f>
        <v>1.5049000000000006</v>
      </c>
      <c r="K30" s="162"/>
    </row>
    <row r="31" spans="4:24" ht="23.25" hidden="1" customHeight="1" thickTop="1">
      <c r="D31" s="161" t="s">
        <v>304</v>
      </c>
      <c r="E31" s="488">
        <v>7.3670999999999998</v>
      </c>
      <c r="F31" s="488">
        <v>6.85</v>
      </c>
      <c r="G31" s="488">
        <v>86.444999999999993</v>
      </c>
      <c r="H31" s="488">
        <f>1.3077</f>
        <v>1.3077000000000001</v>
      </c>
      <c r="I31" s="1490"/>
      <c r="J31" s="488">
        <f>1.5614</f>
        <v>1.5613999999999999</v>
      </c>
      <c r="K31" s="282"/>
      <c r="L31" s="282"/>
      <c r="M31" s="279"/>
      <c r="N31" s="273"/>
      <c r="O31" s="273"/>
      <c r="P31" s="273"/>
      <c r="Q31" s="273"/>
      <c r="R31" s="273"/>
      <c r="S31" s="273"/>
      <c r="T31" s="273"/>
      <c r="U31" s="273"/>
      <c r="V31" s="273"/>
      <c r="W31" s="273"/>
      <c r="X31" s="274"/>
    </row>
    <row r="32" spans="4:24" ht="23.25" hidden="1" customHeight="1">
      <c r="D32" s="161" t="s">
        <v>305</v>
      </c>
      <c r="E32" s="488">
        <v>7.3208000000000002</v>
      </c>
      <c r="F32" s="488">
        <v>6.88</v>
      </c>
      <c r="G32" s="488">
        <v>85.5</v>
      </c>
      <c r="H32" s="488">
        <f>1.27</f>
        <v>1.27</v>
      </c>
      <c r="I32" s="1490"/>
      <c r="J32" s="488">
        <f>1.5536</f>
        <v>1.5536000000000001</v>
      </c>
      <c r="K32" s="282"/>
      <c r="L32" s="280"/>
      <c r="M32" s="275"/>
      <c r="N32" s="275"/>
      <c r="O32" s="275"/>
      <c r="P32" s="748"/>
      <c r="Q32" s="748"/>
      <c r="R32" s="748"/>
      <c r="S32" s="275"/>
      <c r="T32" s="748"/>
      <c r="U32" s="275"/>
      <c r="V32" s="275"/>
      <c r="W32" s="275"/>
      <c r="X32" s="276"/>
    </row>
    <row r="33" spans="4:24" ht="23.25" hidden="1" customHeight="1">
      <c r="D33" s="161" t="s">
        <v>306</v>
      </c>
      <c r="E33" s="488">
        <v>6.9764999999999997</v>
      </c>
      <c r="F33" s="488">
        <v>6.67</v>
      </c>
      <c r="G33" s="488">
        <v>83.36</v>
      </c>
      <c r="H33" s="488">
        <f>1.3577</f>
        <v>1.3576999999999999</v>
      </c>
      <c r="I33" s="1490"/>
      <c r="J33" s="488">
        <f>1.5853</f>
        <v>1.5852999999999999</v>
      </c>
      <c r="K33" s="749"/>
      <c r="L33" s="750"/>
      <c r="M33" s="748"/>
      <c r="N33" s="275"/>
      <c r="O33" s="275"/>
      <c r="P33" s="748"/>
      <c r="Q33" s="748"/>
      <c r="R33" s="748"/>
      <c r="S33" s="748"/>
      <c r="T33" s="748"/>
      <c r="U33" s="748"/>
      <c r="V33" s="275"/>
      <c r="W33" s="748"/>
      <c r="X33" s="748"/>
    </row>
    <row r="34" spans="4:24" ht="23.25" hidden="1" customHeight="1" thickBot="1">
      <c r="D34" s="161" t="s">
        <v>307</v>
      </c>
      <c r="E34" s="488">
        <v>7.0167999999999999</v>
      </c>
      <c r="F34" s="488">
        <v>6.67</v>
      </c>
      <c r="G34" s="488">
        <v>80.66</v>
      </c>
      <c r="H34" s="488">
        <f>1.3881</f>
        <v>1.3880999999999999</v>
      </c>
      <c r="I34" s="1490"/>
      <c r="J34" s="488">
        <f>1.5943</f>
        <v>1.5943000000000001</v>
      </c>
      <c r="K34" s="749"/>
      <c r="L34" s="750"/>
      <c r="M34" s="751"/>
      <c r="N34" s="277"/>
      <c r="O34" s="751"/>
      <c r="P34" s="751"/>
      <c r="Q34" s="751"/>
      <c r="R34" s="751"/>
      <c r="S34" s="751"/>
      <c r="T34" s="751"/>
      <c r="U34" s="751"/>
      <c r="V34" s="751"/>
      <c r="W34" s="751"/>
      <c r="X34" s="751"/>
    </row>
    <row r="35" spans="4:24" ht="23.25" hidden="1" customHeight="1" thickTop="1">
      <c r="D35" s="161" t="s">
        <v>308</v>
      </c>
      <c r="E35" s="488">
        <v>7.1349999999999998</v>
      </c>
      <c r="F35" s="488">
        <v>6.51</v>
      </c>
      <c r="G35" s="488">
        <v>84.07</v>
      </c>
      <c r="H35" s="488">
        <f>1.31095</f>
        <v>1.3109500000000001</v>
      </c>
      <c r="I35" s="1490"/>
      <c r="J35" s="488">
        <f>1.5552</f>
        <v>1.5551999999999999</v>
      </c>
      <c r="K35" s="749"/>
      <c r="L35" s="750"/>
      <c r="M35" s="752"/>
      <c r="N35" s="752"/>
      <c r="O35" s="752"/>
      <c r="P35" s="752"/>
      <c r="Q35" s="752"/>
      <c r="R35" s="752"/>
      <c r="S35" s="752"/>
      <c r="T35" s="752"/>
      <c r="U35" s="752"/>
      <c r="V35" s="752"/>
      <c r="W35" s="752"/>
      <c r="X35" s="752"/>
    </row>
    <row r="36" spans="4:24" ht="23.25" hidden="1" customHeight="1">
      <c r="D36" s="161" t="s">
        <v>311</v>
      </c>
      <c r="E36" s="488">
        <v>6.62</v>
      </c>
      <c r="F36" s="488">
        <v>6.67</v>
      </c>
      <c r="G36" s="488">
        <v>81.254999999999995</v>
      </c>
      <c r="H36" s="488">
        <f>1.3306</f>
        <v>1.3306</v>
      </c>
      <c r="I36" s="1490"/>
      <c r="J36" s="488">
        <f>1.5556</f>
        <v>1.5556000000000001</v>
      </c>
      <c r="K36" s="282"/>
      <c r="L36" s="280"/>
      <c r="M36" s="275"/>
      <c r="N36" s="275"/>
      <c r="O36" s="275"/>
      <c r="P36" s="275"/>
      <c r="Q36" s="275"/>
      <c r="R36" s="275"/>
      <c r="S36" s="275"/>
      <c r="T36" s="275"/>
      <c r="U36" s="275"/>
      <c r="V36" s="275"/>
      <c r="W36" s="275"/>
      <c r="X36" s="275"/>
    </row>
    <row r="37" spans="4:24" ht="23.25" hidden="1" customHeight="1" thickBot="1">
      <c r="D37" s="161"/>
      <c r="E37" s="488"/>
      <c r="F37" s="753"/>
      <c r="G37" s="488"/>
      <c r="H37" s="488"/>
      <c r="I37" s="1490"/>
      <c r="J37" s="488"/>
      <c r="K37" s="749"/>
      <c r="L37" s="750"/>
      <c r="M37" s="751"/>
      <c r="N37" s="751"/>
      <c r="O37" s="751"/>
      <c r="P37" s="751"/>
      <c r="Q37" s="751"/>
      <c r="R37" s="751"/>
      <c r="S37" s="751"/>
      <c r="T37" s="751"/>
      <c r="U37" s="751"/>
      <c r="V37" s="751"/>
      <c r="W37" s="751"/>
      <c r="X37" s="751"/>
    </row>
    <row r="38" spans="4:24" ht="23.25" hidden="1" customHeight="1" thickTop="1">
      <c r="D38" s="562">
        <v>2011</v>
      </c>
      <c r="E38" s="562"/>
      <c r="F38" s="607"/>
      <c r="G38" s="562"/>
      <c r="H38" s="562"/>
      <c r="I38" s="562"/>
      <c r="J38" s="562"/>
      <c r="K38" s="749"/>
      <c r="L38" s="750"/>
      <c r="M38" s="752"/>
      <c r="N38" s="752"/>
      <c r="O38" s="752"/>
      <c r="P38" s="752"/>
      <c r="Q38" s="752"/>
      <c r="R38" s="752"/>
      <c r="S38" s="752"/>
      <c r="T38" s="752"/>
      <c r="U38" s="752"/>
      <c r="V38" s="752"/>
      <c r="W38" s="752"/>
      <c r="X38" s="752"/>
    </row>
    <row r="39" spans="4:24" ht="23.25" hidden="1" customHeight="1">
      <c r="D39" s="615"/>
      <c r="E39" s="562"/>
      <c r="F39" s="609"/>
      <c r="G39" s="562"/>
      <c r="H39" s="562"/>
      <c r="I39" s="562"/>
      <c r="J39" s="562"/>
      <c r="K39" s="282"/>
      <c r="L39" s="280"/>
      <c r="M39" s="275"/>
      <c r="N39" s="275"/>
      <c r="O39" s="275"/>
      <c r="P39" s="275"/>
      <c r="Q39" s="275"/>
      <c r="R39" s="275"/>
      <c r="S39" s="275"/>
      <c r="T39" s="275"/>
      <c r="U39" s="275"/>
      <c r="V39" s="275"/>
      <c r="W39" s="275"/>
      <c r="X39" s="275"/>
    </row>
    <row r="40" spans="4:24" ht="23.25" hidden="1" customHeight="1">
      <c r="D40" s="615" t="s">
        <v>298</v>
      </c>
      <c r="E40" s="562">
        <v>7.17</v>
      </c>
      <c r="F40" s="562">
        <v>6.67</v>
      </c>
      <c r="G40" s="562">
        <v>82.01</v>
      </c>
      <c r="H40" s="562">
        <v>1.36</v>
      </c>
      <c r="I40" s="562"/>
      <c r="J40" s="562">
        <v>1.59</v>
      </c>
      <c r="K40" s="282"/>
      <c r="L40" s="280"/>
      <c r="M40" s="275"/>
      <c r="N40" s="275"/>
      <c r="O40" s="275"/>
      <c r="P40" s="275"/>
      <c r="Q40" s="275"/>
      <c r="R40" s="275"/>
      <c r="S40" s="275"/>
      <c r="T40" s="275"/>
      <c r="U40" s="275"/>
      <c r="V40" s="275"/>
      <c r="W40" s="275"/>
      <c r="X40" s="275"/>
    </row>
    <row r="41" spans="4:24" ht="23.25" hidden="1" customHeight="1">
      <c r="D41" s="615" t="s">
        <v>299</v>
      </c>
      <c r="E41" s="562">
        <v>6.99</v>
      </c>
      <c r="F41" s="609">
        <v>6.67</v>
      </c>
      <c r="G41" s="562">
        <v>81.66</v>
      </c>
      <c r="H41" s="562">
        <v>1.38</v>
      </c>
      <c r="I41" s="562"/>
      <c r="J41" s="562">
        <v>1.61</v>
      </c>
      <c r="K41" s="282"/>
      <c r="L41" s="280"/>
      <c r="M41" s="275"/>
      <c r="N41" s="275"/>
      <c r="O41" s="275"/>
      <c r="P41" s="275"/>
      <c r="Q41" s="275"/>
      <c r="R41" s="275"/>
      <c r="S41" s="275"/>
      <c r="T41" s="275"/>
      <c r="U41" s="275"/>
      <c r="V41" s="275"/>
      <c r="W41" s="275"/>
      <c r="X41" s="275"/>
    </row>
    <row r="42" spans="4:24" ht="23.25" hidden="1" customHeight="1">
      <c r="D42" s="615" t="s">
        <v>300</v>
      </c>
      <c r="E42" s="562">
        <v>6.8</v>
      </c>
      <c r="F42" s="609">
        <v>6.55</v>
      </c>
      <c r="G42" s="562">
        <v>82.76</v>
      </c>
      <c r="H42" s="562">
        <v>1.42</v>
      </c>
      <c r="I42" s="562"/>
      <c r="J42" s="562">
        <v>1.61</v>
      </c>
      <c r="K42" s="282"/>
      <c r="L42" s="280"/>
      <c r="M42" s="275"/>
      <c r="N42" s="275"/>
      <c r="O42" s="275"/>
      <c r="P42" s="275"/>
      <c r="Q42" s="275"/>
      <c r="R42" s="275"/>
      <c r="S42" s="275"/>
      <c r="T42" s="275"/>
      <c r="U42" s="275"/>
      <c r="V42" s="275"/>
      <c r="W42" s="275"/>
      <c r="X42" s="275"/>
    </row>
    <row r="43" spans="4:24" ht="23.25" hidden="1" customHeight="1">
      <c r="D43" s="615" t="s">
        <v>301</v>
      </c>
      <c r="E43" s="562">
        <v>6.61</v>
      </c>
      <c r="F43" s="609">
        <v>6.38</v>
      </c>
      <c r="G43" s="562">
        <v>81.569999999999993</v>
      </c>
      <c r="H43" s="562">
        <v>1.48</v>
      </c>
      <c r="I43" s="562"/>
      <c r="J43" s="562">
        <v>1.67</v>
      </c>
      <c r="K43" s="282"/>
      <c r="L43" s="280"/>
      <c r="M43" s="275"/>
      <c r="N43" s="275"/>
      <c r="O43" s="275"/>
      <c r="P43" s="275"/>
      <c r="Q43" s="275"/>
      <c r="R43" s="275"/>
      <c r="S43" s="275"/>
      <c r="T43" s="275"/>
      <c r="U43" s="275"/>
      <c r="V43" s="275"/>
      <c r="W43" s="275"/>
      <c r="X43" s="275"/>
    </row>
    <row r="44" spans="4:24" ht="23.25" hidden="1" customHeight="1">
      <c r="D44" s="615" t="s">
        <v>302</v>
      </c>
      <c r="E44" s="562">
        <v>6.9</v>
      </c>
      <c r="F44" s="609">
        <v>6.61</v>
      </c>
      <c r="G44" s="562">
        <v>81.430000000000007</v>
      </c>
      <c r="H44" s="562">
        <v>1.44</v>
      </c>
      <c r="I44" s="562"/>
      <c r="J44" s="562">
        <v>1.65</v>
      </c>
      <c r="K44" s="282"/>
      <c r="L44" s="280"/>
      <c r="M44" s="275"/>
      <c r="N44" s="275"/>
      <c r="O44" s="275"/>
      <c r="P44" s="275"/>
      <c r="Q44" s="275"/>
      <c r="R44" s="275"/>
      <c r="S44" s="275"/>
      <c r="T44" s="275"/>
      <c r="U44" s="275"/>
      <c r="V44" s="275"/>
      <c r="W44" s="275"/>
      <c r="X44" s="275"/>
    </row>
    <row r="45" spans="4:24" ht="23.25" hidden="1" customHeight="1">
      <c r="D45" s="615" t="s">
        <v>303</v>
      </c>
      <c r="E45" s="562">
        <v>6.79</v>
      </c>
      <c r="F45" s="609">
        <v>6.53</v>
      </c>
      <c r="G45" s="562">
        <v>80.45</v>
      </c>
      <c r="H45" s="562">
        <v>1.45</v>
      </c>
      <c r="I45" s="562"/>
      <c r="J45" s="562">
        <v>1.61</v>
      </c>
      <c r="K45" s="282"/>
      <c r="L45" s="280"/>
      <c r="M45" s="275"/>
      <c r="N45" s="275"/>
      <c r="O45" s="275"/>
      <c r="P45" s="275"/>
      <c r="Q45" s="275"/>
      <c r="R45" s="275"/>
      <c r="S45" s="275"/>
      <c r="T45" s="275"/>
      <c r="U45" s="275"/>
      <c r="V45" s="275"/>
      <c r="W45" s="275"/>
      <c r="X45" s="275"/>
    </row>
    <row r="46" spans="4:24" ht="23.25" hidden="1" customHeight="1">
      <c r="D46" s="615" t="s">
        <v>304</v>
      </c>
      <c r="E46" s="562">
        <v>6.76</v>
      </c>
      <c r="F46" s="609">
        <v>6.51</v>
      </c>
      <c r="G46" s="562">
        <v>77.510000000000005</v>
      </c>
      <c r="H46" s="562">
        <v>1.43</v>
      </c>
      <c r="I46" s="562"/>
      <c r="J46" s="562">
        <v>1.63</v>
      </c>
      <c r="K46" s="282"/>
      <c r="L46" s="280"/>
      <c r="M46" s="275"/>
      <c r="N46" s="275"/>
      <c r="O46" s="275"/>
      <c r="P46" s="275"/>
      <c r="Q46" s="275"/>
      <c r="R46" s="275"/>
      <c r="S46" s="275"/>
      <c r="T46" s="275"/>
      <c r="U46" s="275"/>
      <c r="V46" s="275"/>
      <c r="W46" s="275"/>
      <c r="X46" s="275"/>
    </row>
    <row r="47" spans="4:24" ht="23.25" hidden="1" customHeight="1">
      <c r="D47" s="615" t="s">
        <v>305</v>
      </c>
      <c r="E47" s="562">
        <v>7.05</v>
      </c>
      <c r="F47" s="562">
        <v>6.72</v>
      </c>
      <c r="G47" s="562">
        <v>76.59</v>
      </c>
      <c r="H47" s="562">
        <v>1.44</v>
      </c>
      <c r="I47" s="562"/>
      <c r="J47" s="562">
        <v>1.63</v>
      </c>
      <c r="K47" s="282"/>
      <c r="L47" s="280"/>
      <c r="M47" s="275"/>
      <c r="N47" s="275"/>
      <c r="O47" s="275"/>
      <c r="P47" s="275"/>
      <c r="Q47" s="275"/>
      <c r="R47" s="275"/>
      <c r="S47" s="275"/>
      <c r="T47" s="275"/>
      <c r="U47" s="275"/>
      <c r="V47" s="275"/>
      <c r="W47" s="275"/>
      <c r="X47" s="275"/>
    </row>
    <row r="48" spans="4:24" ht="23.25" hidden="1" customHeight="1">
      <c r="D48" s="615" t="s">
        <v>306</v>
      </c>
      <c r="E48" s="562">
        <v>7.97</v>
      </c>
      <c r="F48" s="562">
        <v>7.31</v>
      </c>
      <c r="G48" s="562">
        <v>76.63</v>
      </c>
      <c r="H48" s="562">
        <v>1.35</v>
      </c>
      <c r="I48" s="562"/>
      <c r="J48" s="562">
        <v>1.56</v>
      </c>
      <c r="K48" s="282"/>
      <c r="L48" s="280"/>
      <c r="M48" s="275"/>
      <c r="N48" s="275"/>
      <c r="O48" s="275"/>
      <c r="P48" s="275"/>
      <c r="Q48" s="275"/>
      <c r="R48" s="275"/>
      <c r="S48" s="275"/>
      <c r="T48" s="275"/>
      <c r="U48" s="275"/>
      <c r="V48" s="275"/>
      <c r="W48" s="275"/>
      <c r="X48" s="275"/>
    </row>
    <row r="49" spans="2:24" ht="23.25" hidden="1" customHeight="1">
      <c r="D49" s="615" t="s">
        <v>307</v>
      </c>
      <c r="E49" s="562">
        <v>7.84</v>
      </c>
      <c r="F49" s="562">
        <v>7.22</v>
      </c>
      <c r="G49" s="562">
        <v>79.47</v>
      </c>
      <c r="H49" s="562">
        <v>1.4</v>
      </c>
      <c r="I49" s="562"/>
      <c r="J49" s="562">
        <v>1.6</v>
      </c>
      <c r="K49" s="282"/>
      <c r="L49" s="280"/>
      <c r="M49" s="275"/>
      <c r="N49" s="275"/>
      <c r="O49" s="275"/>
      <c r="P49" s="275"/>
      <c r="Q49" s="275"/>
      <c r="R49" s="275"/>
      <c r="S49" s="275"/>
      <c r="T49" s="275"/>
      <c r="U49" s="275"/>
      <c r="V49" s="275"/>
      <c r="W49" s="275"/>
      <c r="X49" s="275"/>
    </row>
    <row r="50" spans="2:24" ht="23.25" hidden="1" customHeight="1">
      <c r="D50" s="615" t="s">
        <v>308</v>
      </c>
      <c r="E50" s="562">
        <v>8.3699999999999992</v>
      </c>
      <c r="F50" s="562">
        <v>7.57</v>
      </c>
      <c r="G50" s="562">
        <v>77.900000000000006</v>
      </c>
      <c r="H50" s="562">
        <v>1.33</v>
      </c>
      <c r="I50" s="562"/>
      <c r="J50" s="562">
        <v>1.56</v>
      </c>
      <c r="K50" s="282"/>
      <c r="L50" s="280"/>
      <c r="M50" s="275"/>
      <c r="N50" s="275"/>
      <c r="O50" s="275"/>
      <c r="P50" s="275"/>
      <c r="Q50" s="275"/>
      <c r="R50" s="275"/>
      <c r="S50" s="275"/>
      <c r="T50" s="275"/>
      <c r="U50" s="275"/>
      <c r="V50" s="275"/>
      <c r="W50" s="275"/>
      <c r="X50" s="275"/>
    </row>
    <row r="51" spans="2:24" ht="23.25" hidden="1" customHeight="1">
      <c r="D51" s="615" t="s">
        <v>311</v>
      </c>
      <c r="E51" s="562">
        <v>8.17</v>
      </c>
      <c r="F51" s="562">
        <v>7.54</v>
      </c>
      <c r="G51" s="562">
        <v>77.56</v>
      </c>
      <c r="H51" s="562">
        <v>1.3</v>
      </c>
      <c r="I51" s="562"/>
      <c r="J51" s="562">
        <v>1.54</v>
      </c>
      <c r="K51" s="282"/>
      <c r="L51" s="280"/>
      <c r="M51" s="275"/>
      <c r="N51" s="275"/>
      <c r="O51" s="275"/>
      <c r="P51" s="275"/>
      <c r="Q51" s="275"/>
      <c r="R51" s="275"/>
      <c r="S51" s="275"/>
      <c r="T51" s="275"/>
      <c r="U51" s="275"/>
      <c r="V51" s="275"/>
      <c r="W51" s="275"/>
      <c r="X51" s="275"/>
    </row>
    <row r="52" spans="2:24" ht="23.25" hidden="1" customHeight="1">
      <c r="D52" s="541"/>
      <c r="E52" s="488"/>
      <c r="F52" s="488"/>
      <c r="G52" s="488"/>
      <c r="H52" s="488"/>
      <c r="I52" s="1490"/>
      <c r="J52" s="488"/>
      <c r="K52" s="282"/>
      <c r="L52" s="280"/>
      <c r="M52" s="275"/>
      <c r="N52" s="275"/>
      <c r="O52" s="275"/>
      <c r="P52" s="275"/>
      <c r="Q52" s="275"/>
      <c r="R52" s="275"/>
      <c r="S52" s="275"/>
      <c r="T52" s="275"/>
      <c r="U52" s="275"/>
      <c r="V52" s="275"/>
      <c r="W52" s="275"/>
      <c r="X52" s="275"/>
    </row>
    <row r="53" spans="2:24" ht="23.25" hidden="1" customHeight="1">
      <c r="D53" s="562">
        <v>2012</v>
      </c>
      <c r="E53" s="562"/>
      <c r="F53" s="562"/>
      <c r="G53" s="562"/>
      <c r="H53" s="562"/>
      <c r="I53" s="562"/>
      <c r="J53" s="562"/>
      <c r="K53" s="282"/>
      <c r="L53" s="280"/>
      <c r="M53" s="275"/>
      <c r="N53" s="275"/>
      <c r="O53" s="275"/>
      <c r="P53" s="275"/>
      <c r="Q53" s="275"/>
      <c r="R53" s="275"/>
      <c r="S53" s="275"/>
      <c r="T53" s="275"/>
      <c r="U53" s="275"/>
      <c r="V53" s="275"/>
      <c r="W53" s="275"/>
      <c r="X53" s="275"/>
    </row>
    <row r="54" spans="2:24" ht="23.25" hidden="1" customHeight="1">
      <c r="D54" s="615"/>
      <c r="E54" s="562"/>
      <c r="F54" s="562"/>
      <c r="G54" s="562"/>
      <c r="H54" s="562"/>
      <c r="I54" s="562"/>
      <c r="J54" s="562"/>
      <c r="K54" s="282"/>
      <c r="L54" s="280"/>
      <c r="M54" s="275"/>
      <c r="N54" s="275"/>
      <c r="O54" s="275"/>
      <c r="P54" s="275"/>
      <c r="Q54" s="275"/>
      <c r="R54" s="275"/>
      <c r="S54" s="275"/>
      <c r="T54" s="275"/>
      <c r="U54" s="275"/>
      <c r="V54" s="275"/>
      <c r="W54" s="275"/>
      <c r="X54" s="275"/>
    </row>
    <row r="55" spans="2:24" ht="23.25" hidden="1" customHeight="1">
      <c r="D55" s="615" t="s">
        <v>298</v>
      </c>
      <c r="E55" s="562">
        <v>7.82</v>
      </c>
      <c r="F55" s="562">
        <v>7.32</v>
      </c>
      <c r="G55" s="562">
        <v>76.2</v>
      </c>
      <c r="H55" s="562">
        <v>1.32</v>
      </c>
      <c r="I55" s="562"/>
      <c r="J55" s="562">
        <v>1.6</v>
      </c>
      <c r="K55" s="282"/>
      <c r="L55" s="280"/>
      <c r="M55" s="275"/>
      <c r="N55" s="275"/>
      <c r="O55" s="275"/>
      <c r="P55" s="275"/>
      <c r="Q55" s="275"/>
      <c r="R55" s="275"/>
      <c r="S55" s="275"/>
      <c r="T55" s="275"/>
      <c r="U55" s="275"/>
      <c r="V55" s="275"/>
      <c r="W55" s="275"/>
      <c r="X55" s="275"/>
    </row>
    <row r="56" spans="2:24" ht="23.25" hidden="1" customHeight="1">
      <c r="D56" s="615" t="s">
        <v>299</v>
      </c>
      <c r="E56" s="562">
        <v>7.47</v>
      </c>
      <c r="F56" s="562">
        <v>7.13</v>
      </c>
      <c r="G56" s="562">
        <v>80.28</v>
      </c>
      <c r="H56" s="562">
        <v>1.35</v>
      </c>
      <c r="I56" s="562"/>
      <c r="J56" s="562">
        <v>1.6</v>
      </c>
      <c r="K56" s="282"/>
      <c r="L56" s="280"/>
      <c r="M56" s="275"/>
      <c r="N56" s="275"/>
      <c r="O56" s="275"/>
      <c r="P56" s="275"/>
      <c r="Q56" s="275"/>
      <c r="R56" s="275"/>
      <c r="S56" s="275"/>
      <c r="T56" s="275"/>
      <c r="U56" s="275"/>
      <c r="V56" s="275"/>
      <c r="W56" s="275"/>
      <c r="X56" s="275"/>
    </row>
    <row r="57" spans="2:24" ht="23.25" hidden="1" customHeight="1">
      <c r="D57" s="615" t="s">
        <v>300</v>
      </c>
      <c r="E57" s="562">
        <v>7.59</v>
      </c>
      <c r="F57" s="562">
        <v>7.29</v>
      </c>
      <c r="G57" s="562">
        <v>81.92</v>
      </c>
      <c r="H57" s="562">
        <v>1.33</v>
      </c>
      <c r="I57" s="562"/>
      <c r="J57" s="562">
        <v>1.59</v>
      </c>
      <c r="K57" s="282"/>
      <c r="L57" s="280"/>
      <c r="M57" s="275"/>
      <c r="N57" s="275"/>
      <c r="O57" s="275"/>
      <c r="P57" s="275"/>
      <c r="Q57" s="275"/>
      <c r="R57" s="275"/>
      <c r="S57" s="275"/>
      <c r="T57" s="275"/>
      <c r="U57" s="275"/>
      <c r="V57" s="275"/>
      <c r="W57" s="275"/>
      <c r="X57" s="275"/>
    </row>
    <row r="58" spans="2:24" ht="14.1" hidden="1" customHeight="1">
      <c r="B58" s="272" t="s">
        <v>296</v>
      </c>
      <c r="D58" s="615" t="s">
        <v>301</v>
      </c>
      <c r="E58" s="562">
        <v>7.82</v>
      </c>
      <c r="F58" s="562">
        <v>7.41</v>
      </c>
      <c r="G58" s="562">
        <v>80.78</v>
      </c>
      <c r="H58" s="562">
        <v>1.32</v>
      </c>
      <c r="I58" s="562"/>
      <c r="J58" s="562">
        <v>1.61</v>
      </c>
      <c r="K58" s="282"/>
      <c r="L58" s="280"/>
      <c r="M58" s="275"/>
      <c r="N58" s="275"/>
      <c r="O58" s="275"/>
      <c r="P58" s="275"/>
      <c r="Q58" s="275"/>
      <c r="R58" s="275"/>
      <c r="S58" s="275"/>
      <c r="T58" s="275"/>
      <c r="U58" s="275"/>
      <c r="V58" s="275"/>
      <c r="W58" s="275"/>
      <c r="X58" s="275"/>
    </row>
    <row r="59" spans="2:24" ht="14.1" hidden="1" customHeight="1">
      <c r="D59" s="615" t="s">
        <v>302</v>
      </c>
      <c r="E59" s="562">
        <v>8.14</v>
      </c>
      <c r="F59" s="562">
        <v>7.63</v>
      </c>
      <c r="G59" s="562">
        <v>79.8</v>
      </c>
      <c r="H59" s="562">
        <v>1.28</v>
      </c>
      <c r="I59" s="562"/>
      <c r="J59" s="562">
        <v>1.59</v>
      </c>
      <c r="K59" s="282"/>
      <c r="L59" s="280"/>
      <c r="M59" s="275"/>
      <c r="N59" s="275"/>
      <c r="O59" s="275"/>
      <c r="P59" s="275"/>
      <c r="Q59" s="275"/>
      <c r="R59" s="275"/>
      <c r="S59" s="275"/>
      <c r="T59" s="275"/>
      <c r="U59" s="275"/>
      <c r="V59" s="275"/>
      <c r="W59" s="275"/>
      <c r="X59" s="275"/>
    </row>
    <row r="60" spans="2:24" ht="14.1" hidden="1" customHeight="1">
      <c r="D60" s="615" t="s">
        <v>303</v>
      </c>
      <c r="E60" s="562">
        <v>8.3800000000000008</v>
      </c>
      <c r="F60" s="562">
        <v>7.77</v>
      </c>
      <c r="G60" s="562">
        <v>79.42</v>
      </c>
      <c r="H60" s="562">
        <v>1.25</v>
      </c>
      <c r="I60" s="562"/>
      <c r="J60" s="562">
        <v>1.56</v>
      </c>
      <c r="K60" s="282"/>
      <c r="L60" s="280"/>
      <c r="M60" s="275"/>
      <c r="N60" s="275"/>
      <c r="O60" s="275"/>
      <c r="P60" s="275"/>
      <c r="Q60" s="275"/>
      <c r="R60" s="275"/>
      <c r="S60" s="275"/>
      <c r="T60" s="275"/>
      <c r="U60" s="275"/>
      <c r="V60" s="275"/>
      <c r="W60" s="275"/>
      <c r="X60" s="275"/>
    </row>
    <row r="61" spans="2:24" ht="14.1" hidden="1" customHeight="1">
      <c r="D61" s="615" t="s">
        <v>304</v>
      </c>
      <c r="E61" s="562">
        <v>8.18</v>
      </c>
      <c r="F61" s="562">
        <v>7.74</v>
      </c>
      <c r="G61" s="562">
        <v>78.23</v>
      </c>
      <c r="H61" s="562">
        <v>1.23</v>
      </c>
      <c r="I61" s="562"/>
      <c r="J61" s="562">
        <v>1.57</v>
      </c>
      <c r="K61" s="282"/>
      <c r="L61" s="280"/>
      <c r="M61" s="275"/>
      <c r="N61" s="275"/>
      <c r="O61" s="275"/>
      <c r="P61" s="275"/>
      <c r="Q61" s="275"/>
      <c r="R61" s="275"/>
      <c r="S61" s="275"/>
      <c r="T61" s="275"/>
      <c r="U61" s="275"/>
      <c r="V61" s="275"/>
      <c r="W61" s="275"/>
      <c r="X61" s="275"/>
    </row>
    <row r="62" spans="2:24" ht="14.1" hidden="1" customHeight="1">
      <c r="D62" s="615" t="s">
        <v>305</v>
      </c>
      <c r="E62" s="562">
        <v>8.4499999999999993</v>
      </c>
      <c r="F62" s="562">
        <v>7.8</v>
      </c>
      <c r="G62" s="562">
        <v>78.47</v>
      </c>
      <c r="H62" s="562">
        <v>1.25</v>
      </c>
      <c r="I62" s="562"/>
      <c r="J62" s="562">
        <v>1.58</v>
      </c>
      <c r="K62" s="282"/>
      <c r="L62" s="280"/>
      <c r="M62" s="275"/>
      <c r="N62" s="275"/>
      <c r="O62" s="275"/>
      <c r="P62" s="275"/>
      <c r="Q62" s="275"/>
      <c r="R62" s="275"/>
      <c r="S62" s="275"/>
      <c r="T62" s="275"/>
      <c r="U62" s="275"/>
      <c r="V62" s="275"/>
      <c r="W62" s="275"/>
      <c r="X62" s="275"/>
    </row>
    <row r="63" spans="2:24" ht="14.1" hidden="1" customHeight="1">
      <c r="D63" s="615" t="s">
        <v>306</v>
      </c>
      <c r="E63" s="562">
        <v>8.23</v>
      </c>
      <c r="F63" s="562">
        <v>7.65</v>
      </c>
      <c r="G63" s="562">
        <v>77.5</v>
      </c>
      <c r="H63" s="562">
        <v>1.29</v>
      </c>
      <c r="I63" s="562"/>
      <c r="J63" s="562">
        <v>1.63</v>
      </c>
      <c r="K63" s="282"/>
      <c r="L63" s="280"/>
      <c r="M63" s="275"/>
      <c r="N63" s="275"/>
      <c r="O63" s="275"/>
      <c r="P63" s="275"/>
      <c r="Q63" s="275"/>
      <c r="R63" s="275"/>
      <c r="S63" s="275"/>
      <c r="T63" s="275"/>
      <c r="U63" s="275"/>
      <c r="V63" s="275"/>
      <c r="W63" s="275"/>
      <c r="X63" s="275"/>
    </row>
    <row r="64" spans="2:24" ht="14.1" hidden="1" customHeight="1">
      <c r="D64" s="615" t="s">
        <v>307</v>
      </c>
      <c r="E64" s="562">
        <v>8.64</v>
      </c>
      <c r="F64" s="562">
        <v>7.88</v>
      </c>
      <c r="G64" s="562">
        <v>79.78</v>
      </c>
      <c r="H64" s="562">
        <v>1.3</v>
      </c>
      <c r="I64" s="562"/>
      <c r="J64" s="562">
        <v>1.61</v>
      </c>
      <c r="K64" s="282"/>
      <c r="L64" s="280"/>
      <c r="M64" s="275"/>
      <c r="N64" s="275"/>
      <c r="O64" s="275"/>
      <c r="P64" s="275"/>
      <c r="Q64" s="275"/>
      <c r="R64" s="275"/>
      <c r="S64" s="275"/>
      <c r="T64" s="275"/>
      <c r="U64" s="275"/>
      <c r="V64" s="275"/>
      <c r="W64" s="275"/>
      <c r="X64" s="275"/>
    </row>
    <row r="65" spans="4:24" ht="12.9" hidden="1" customHeight="1">
      <c r="D65" s="615" t="s">
        <v>308</v>
      </c>
      <c r="E65" s="562">
        <v>8.7799999999999994</v>
      </c>
      <c r="F65" s="562">
        <v>7.95</v>
      </c>
      <c r="G65" s="562">
        <v>80.94</v>
      </c>
      <c r="H65" s="562">
        <v>1.3</v>
      </c>
      <c r="I65" s="562"/>
      <c r="J65" s="562">
        <v>1.6</v>
      </c>
      <c r="K65" s="282"/>
      <c r="L65" s="280"/>
      <c r="M65" s="275"/>
      <c r="N65" s="275"/>
      <c r="O65" s="275"/>
      <c r="P65" s="275"/>
      <c r="Q65" s="275"/>
      <c r="R65" s="275"/>
      <c r="S65" s="275"/>
      <c r="T65" s="275"/>
      <c r="U65" s="275"/>
      <c r="V65" s="275"/>
      <c r="W65" s="275"/>
      <c r="X65" s="275"/>
    </row>
    <row r="66" spans="4:24" ht="12.9" hidden="1" customHeight="1">
      <c r="D66" s="634" t="s">
        <v>311</v>
      </c>
      <c r="E66" s="635">
        <v>8.48</v>
      </c>
      <c r="F66" s="635">
        <v>7.88</v>
      </c>
      <c r="G66" s="635">
        <v>86.06</v>
      </c>
      <c r="H66" s="635">
        <v>1.319</v>
      </c>
      <c r="I66" s="1491"/>
      <c r="J66" s="635">
        <v>1.62</v>
      </c>
      <c r="K66" s="282"/>
      <c r="L66" s="280"/>
      <c r="M66" s="275"/>
      <c r="N66" s="275"/>
      <c r="O66" s="275"/>
      <c r="P66" s="275"/>
      <c r="Q66" s="275"/>
      <c r="R66" s="275"/>
      <c r="S66" s="275"/>
      <c r="T66" s="275"/>
      <c r="U66" s="275"/>
      <c r="V66" s="275"/>
      <c r="W66" s="275"/>
      <c r="X66" s="275"/>
    </row>
    <row r="67" spans="4:24" ht="12.9" hidden="1" customHeight="1" thickBot="1">
      <c r="D67" s="676"/>
      <c r="E67" s="636"/>
      <c r="F67" s="676"/>
      <c r="G67" s="676"/>
      <c r="H67" s="676"/>
      <c r="I67" s="1492"/>
      <c r="J67" s="676"/>
      <c r="K67" s="282"/>
      <c r="L67" s="280"/>
      <c r="M67" s="275"/>
      <c r="N67" s="275"/>
      <c r="O67" s="275"/>
      <c r="P67" s="275"/>
      <c r="Q67" s="275"/>
      <c r="R67" s="275"/>
      <c r="S67" s="275"/>
      <c r="T67" s="275"/>
      <c r="U67" s="275"/>
      <c r="V67" s="275"/>
      <c r="W67" s="275"/>
      <c r="X67" s="275"/>
    </row>
    <row r="68" spans="4:24" ht="12.9" hidden="1" customHeight="1" thickTop="1">
      <c r="D68" s="676"/>
      <c r="E68" s="162"/>
      <c r="F68" s="676"/>
      <c r="G68" s="676"/>
      <c r="H68" s="676"/>
      <c r="I68" s="1492"/>
      <c r="J68" s="676"/>
      <c r="K68" s="282"/>
      <c r="L68" s="280"/>
      <c r="M68" s="275"/>
      <c r="N68" s="275"/>
      <c r="O68" s="275"/>
      <c r="P68" s="275"/>
      <c r="Q68" s="275"/>
      <c r="R68" s="275"/>
      <c r="S68" s="275"/>
      <c r="T68" s="275"/>
      <c r="U68" s="275"/>
      <c r="V68" s="275"/>
      <c r="W68" s="275"/>
      <c r="X68" s="275"/>
    </row>
    <row r="69" spans="4:24" ht="12.9" hidden="1" customHeight="1">
      <c r="D69" s="676">
        <v>2013</v>
      </c>
      <c r="E69" s="162"/>
      <c r="F69" s="676"/>
      <c r="G69" s="676"/>
      <c r="H69" s="676"/>
      <c r="I69" s="1492"/>
      <c r="J69" s="676"/>
      <c r="K69" s="282"/>
      <c r="L69" s="280"/>
      <c r="M69" s="275"/>
      <c r="N69" s="275"/>
      <c r="O69" s="275"/>
      <c r="P69" s="275"/>
      <c r="Q69" s="275"/>
      <c r="R69" s="275"/>
      <c r="S69" s="275"/>
      <c r="T69" s="275"/>
      <c r="U69" s="275"/>
      <c r="V69" s="275"/>
      <c r="W69" s="275"/>
      <c r="X69" s="275"/>
    </row>
    <row r="70" spans="4:24" ht="15.75" hidden="1" customHeight="1">
      <c r="D70" s="676"/>
      <c r="E70" s="162"/>
      <c r="F70" s="676"/>
      <c r="G70" s="676"/>
      <c r="H70" s="676"/>
      <c r="I70" s="1492"/>
      <c r="J70" s="676"/>
      <c r="K70" s="282"/>
      <c r="L70" s="280"/>
      <c r="M70" s="275"/>
      <c r="N70" s="275"/>
      <c r="O70" s="275"/>
      <c r="P70" s="275"/>
      <c r="Q70" s="275"/>
      <c r="R70" s="275"/>
      <c r="S70" s="275"/>
      <c r="T70" s="275"/>
      <c r="U70" s="275"/>
      <c r="V70" s="275"/>
      <c r="W70" s="275"/>
      <c r="X70" s="275"/>
    </row>
    <row r="71" spans="4:24" ht="15.75" hidden="1" customHeight="1">
      <c r="D71" s="615" t="s">
        <v>298</v>
      </c>
      <c r="E71" s="562">
        <v>9.0299999999999994</v>
      </c>
      <c r="F71" s="562">
        <v>8.0500000000000007</v>
      </c>
      <c r="G71" s="562">
        <v>90.9</v>
      </c>
      <c r="H71" s="562">
        <v>1.36</v>
      </c>
      <c r="I71" s="562"/>
      <c r="J71" s="562">
        <v>1.58</v>
      </c>
      <c r="K71" s="282"/>
      <c r="L71" s="280"/>
      <c r="M71" s="275"/>
      <c r="N71" s="275"/>
      <c r="O71" s="275"/>
      <c r="P71" s="275"/>
      <c r="Q71" s="275"/>
      <c r="R71" s="275"/>
      <c r="S71" s="275"/>
      <c r="T71" s="275"/>
      <c r="U71" s="275"/>
      <c r="V71" s="275"/>
      <c r="W71" s="275"/>
      <c r="X71" s="275"/>
    </row>
    <row r="72" spans="4:24" ht="15.75" hidden="1" customHeight="1">
      <c r="D72" s="615" t="s">
        <v>299</v>
      </c>
      <c r="E72" s="562">
        <v>8.84</v>
      </c>
      <c r="F72" s="562">
        <v>8.0399999999999991</v>
      </c>
      <c r="G72" s="562">
        <v>92.36</v>
      </c>
      <c r="H72" s="562">
        <v>1.31</v>
      </c>
      <c r="I72" s="562"/>
      <c r="J72" s="562">
        <v>1.52</v>
      </c>
      <c r="K72" s="282"/>
      <c r="L72" s="280"/>
      <c r="M72" s="275"/>
      <c r="N72" s="275"/>
      <c r="O72" s="275"/>
      <c r="P72" s="275"/>
      <c r="Q72" s="275"/>
      <c r="R72" s="275"/>
      <c r="S72" s="275"/>
      <c r="T72" s="275"/>
      <c r="U72" s="275"/>
      <c r="V72" s="275"/>
      <c r="W72" s="275"/>
      <c r="X72" s="275"/>
    </row>
    <row r="73" spans="4:24" ht="15.75" hidden="1" customHeight="1">
      <c r="D73" s="615" t="s">
        <v>300</v>
      </c>
      <c r="E73" s="562">
        <v>9.26</v>
      </c>
      <c r="F73" s="562">
        <v>8.3000000000000007</v>
      </c>
      <c r="G73" s="562">
        <v>94.13</v>
      </c>
      <c r="H73" s="562">
        <v>1.28</v>
      </c>
      <c r="I73" s="562"/>
      <c r="J73" s="562">
        <v>1.51</v>
      </c>
      <c r="K73" s="282"/>
      <c r="L73" s="280"/>
      <c r="M73" s="275"/>
      <c r="N73" s="275"/>
      <c r="O73" s="275"/>
      <c r="P73" s="275"/>
      <c r="Q73" s="275"/>
      <c r="R73" s="275"/>
      <c r="S73" s="275"/>
      <c r="T73" s="275"/>
      <c r="U73" s="275"/>
      <c r="V73" s="275"/>
      <c r="W73" s="275"/>
      <c r="X73" s="275"/>
    </row>
    <row r="74" spans="4:24" ht="16.5" hidden="1" customHeight="1" thickBot="1">
      <c r="D74" s="615" t="s">
        <v>301</v>
      </c>
      <c r="E74" s="677">
        <v>9.34</v>
      </c>
      <c r="F74" s="678">
        <v>8.19</v>
      </c>
      <c r="G74" s="678">
        <v>97.78</v>
      </c>
      <c r="H74" s="678">
        <v>1.302</v>
      </c>
      <c r="I74" s="678"/>
      <c r="J74" s="678">
        <v>1.53</v>
      </c>
      <c r="K74" s="283"/>
      <c r="L74" s="281"/>
      <c r="M74" s="277"/>
      <c r="N74" s="277"/>
      <c r="O74" s="277"/>
      <c r="P74" s="751"/>
      <c r="Q74" s="751"/>
      <c r="R74" s="751"/>
      <c r="S74" s="751"/>
      <c r="T74" s="751"/>
      <c r="U74" s="751"/>
      <c r="V74" s="751"/>
      <c r="W74" s="751"/>
      <c r="X74" s="751"/>
    </row>
    <row r="75" spans="4:24" ht="16.5" hidden="1" customHeight="1" thickTop="1">
      <c r="D75" s="615" t="s">
        <v>302</v>
      </c>
      <c r="E75" s="677">
        <v>10.08</v>
      </c>
      <c r="F75" s="678">
        <v>8.6539999999999999</v>
      </c>
      <c r="G75" s="678">
        <v>100.85</v>
      </c>
      <c r="H75" s="678">
        <v>1.3029999999999999</v>
      </c>
      <c r="I75" s="678"/>
      <c r="J75" s="678">
        <v>1.52</v>
      </c>
    </row>
    <row r="76" spans="4:24" ht="15.75" hidden="1" customHeight="1">
      <c r="D76" s="162"/>
    </row>
    <row r="77" spans="4:24" ht="15.75" hidden="1" customHeight="1">
      <c r="D77" s="162"/>
    </row>
    <row r="78" spans="4:24">
      <c r="D78" s="162"/>
    </row>
    <row r="81" spans="2:9" ht="15.75" customHeight="1">
      <c r="B81" s="1882" t="s">
        <v>1737</v>
      </c>
      <c r="C81" s="1882"/>
      <c r="D81" s="1882"/>
      <c r="E81" s="1882"/>
      <c r="F81" s="1882"/>
      <c r="G81" s="1882"/>
      <c r="H81" s="1882"/>
      <c r="I81" s="1485"/>
    </row>
    <row r="82" spans="2:9">
      <c r="B82" s="1493"/>
      <c r="C82" s="1493"/>
      <c r="D82" s="1493"/>
      <c r="E82" s="1493"/>
      <c r="F82" s="1493"/>
      <c r="G82" s="1493"/>
      <c r="H82" s="1493"/>
      <c r="I82" s="1493"/>
    </row>
    <row r="83" spans="2:9">
      <c r="B83" s="900"/>
      <c r="C83" s="900"/>
      <c r="D83" s="900"/>
      <c r="E83" s="900"/>
      <c r="F83" s="900"/>
      <c r="G83" s="900"/>
      <c r="H83" s="900"/>
      <c r="I83" s="900"/>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2" thickBot="1">
      <c r="B86" s="1508"/>
      <c r="C86" s="1502"/>
      <c r="D86" s="1514"/>
      <c r="E86" s="1516"/>
      <c r="F86" s="1502"/>
      <c r="G86" s="1502"/>
      <c r="H86" s="1520"/>
      <c r="I86" s="900"/>
    </row>
    <row r="87" spans="2:9" ht="15" customHeight="1" thickTop="1">
      <c r="B87" s="1509"/>
      <c r="C87" s="1503"/>
      <c r="D87" s="1503"/>
      <c r="E87" s="1509"/>
      <c r="F87" s="1503"/>
      <c r="G87" s="1503"/>
      <c r="H87" s="1521"/>
      <c r="I87" s="941"/>
    </row>
    <row r="88" spans="2:9" ht="15" customHeight="1">
      <c r="B88" s="1510">
        <v>2019</v>
      </c>
      <c r="C88" s="1505"/>
      <c r="D88" s="1503"/>
      <c r="E88" s="1509"/>
      <c r="F88" s="1503"/>
      <c r="G88" s="1503"/>
      <c r="H88" s="1521"/>
      <c r="I88" s="941"/>
    </row>
    <row r="89" spans="2:9" ht="15" customHeight="1">
      <c r="B89" s="1511" t="s">
        <v>335</v>
      </c>
      <c r="C89" s="1503">
        <v>3.012</v>
      </c>
      <c r="D89" s="1503">
        <v>0.20637066234664081</v>
      </c>
      <c r="E89" s="1509">
        <v>0.27889999999999998</v>
      </c>
      <c r="F89" s="1503">
        <v>2.7199671427969151E-2</v>
      </c>
      <c r="G89" s="1503">
        <v>3.3831500000000001</v>
      </c>
      <c r="H89" s="1521">
        <v>3.9363000000000001</v>
      </c>
      <c r="I89" s="941"/>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41"/>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41"/>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41"/>
    </row>
    <row r="93" spans="2:9" ht="15" customHeight="1">
      <c r="B93" s="1511" t="s">
        <v>339</v>
      </c>
      <c r="C93" s="1503">
        <v>9.19</v>
      </c>
      <c r="D93" s="1503">
        <v>0.64935064935064934</v>
      </c>
      <c r="E93" s="1509">
        <v>0.86206896551724144</v>
      </c>
      <c r="F93" s="1503">
        <v>8.4602368866328256E-2</v>
      </c>
      <c r="G93" s="1503">
        <v>10</v>
      </c>
      <c r="H93" s="1521">
        <v>11.111111111111111</v>
      </c>
      <c r="I93" s="941"/>
    </row>
    <row r="94" spans="2:9" ht="15" customHeight="1">
      <c r="B94" s="1511" t="s">
        <v>340</v>
      </c>
      <c r="C94" s="1506">
        <v>10.512</v>
      </c>
      <c r="D94" s="1503">
        <v>0.68330000000000002</v>
      </c>
      <c r="E94" s="1517">
        <v>0.94579999999999997</v>
      </c>
      <c r="F94" s="1506">
        <v>9.4029591112323049E-2</v>
      </c>
      <c r="G94" s="1506">
        <v>11.6288</v>
      </c>
      <c r="H94" s="1513">
        <v>12.8226</v>
      </c>
      <c r="I94" s="901"/>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901"/>
    </row>
    <row r="96" spans="2:9" ht="15" customHeight="1">
      <c r="B96" s="1499"/>
      <c r="C96" s="901"/>
      <c r="D96" s="941"/>
      <c r="E96" s="902"/>
      <c r="F96" s="901"/>
      <c r="G96" s="901"/>
      <c r="H96" s="901"/>
      <c r="I96" s="901"/>
    </row>
    <row r="97" spans="2:9" ht="15" customHeight="1">
      <c r="B97" s="1421" t="s">
        <v>1779</v>
      </c>
      <c r="C97" s="1421"/>
      <c r="D97" s="937"/>
      <c r="E97" s="902"/>
      <c r="F97" s="901"/>
      <c r="G97" s="901"/>
      <c r="H97" s="901"/>
      <c r="I97" s="901" t="s">
        <v>838</v>
      </c>
    </row>
    <row r="98" spans="2:9" ht="15" customHeight="1">
      <c r="B98" s="967"/>
      <c r="C98" s="967"/>
      <c r="D98" s="937"/>
      <c r="E98" s="902"/>
      <c r="F98" s="901"/>
      <c r="G98" s="901"/>
      <c r="H98" s="901"/>
      <c r="I98" s="901"/>
    </row>
    <row r="99" spans="2:9" ht="12.75" customHeight="1">
      <c r="B99" s="1892" t="s">
        <v>1789</v>
      </c>
      <c r="C99" s="1892"/>
      <c r="D99" s="1892"/>
      <c r="E99" s="746"/>
      <c r="F99" s="746"/>
      <c r="G99" s="746"/>
      <c r="H99" s="746"/>
      <c r="I99" s="746"/>
    </row>
    <row r="100" spans="2:9" ht="12.75" customHeight="1">
      <c r="B100" s="1893"/>
      <c r="C100" s="1893"/>
      <c r="D100" s="1893"/>
      <c r="E100" s="913"/>
      <c r="F100" s="746"/>
      <c r="G100" s="913"/>
      <c r="H100" s="746"/>
      <c r="I100" s="746"/>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5" customWidth="1"/>
    <col min="2" max="2" width="22.08984375" style="411" customWidth="1"/>
    <col min="3" max="3" width="20" style="411" bestFit="1" customWidth="1"/>
    <col min="4" max="4" width="9.6328125" style="285" customWidth="1"/>
    <col min="5" max="5" width="19" style="411" bestFit="1" customWidth="1"/>
    <col min="6" max="6" width="20" style="411" bestFit="1" customWidth="1"/>
    <col min="7" max="7" width="17.1796875" style="411" customWidth="1"/>
    <col min="8" max="8" width="9.1796875" style="411" customWidth="1"/>
    <col min="9" max="9" width="20" style="411" bestFit="1" customWidth="1"/>
    <col min="10" max="10" width="13.36328125" style="411" bestFit="1" customWidth="1"/>
    <col min="11" max="11" width="21.08984375" style="411" bestFit="1" customWidth="1"/>
    <col min="12" max="12" width="23.36328125" style="285" customWidth="1"/>
    <col min="13" max="13" width="0.6328125" style="285" customWidth="1"/>
    <col min="14" max="16384" width="8.6328125" style="285"/>
  </cols>
  <sheetData>
    <row r="1" spans="1:16" ht="18" customHeight="1">
      <c r="A1" s="1895" t="s">
        <v>41</v>
      </c>
      <c r="B1" s="1895"/>
      <c r="C1" s="1895"/>
      <c r="D1" s="1895"/>
      <c r="E1" s="1895"/>
      <c r="F1" s="1895"/>
      <c r="G1" s="1895"/>
      <c r="H1" s="1895"/>
      <c r="I1" s="1895"/>
      <c r="J1" s="1895"/>
      <c r="K1" s="1895"/>
      <c r="L1" s="1895"/>
    </row>
    <row r="2" spans="1:16" ht="12.75" customHeight="1">
      <c r="A2" s="368"/>
      <c r="B2" s="369"/>
      <c r="C2" s="369"/>
      <c r="E2" s="369"/>
      <c r="F2" s="369"/>
      <c r="G2" s="369"/>
      <c r="H2" s="369"/>
      <c r="I2" s="369"/>
      <c r="J2" s="369"/>
      <c r="K2" s="369"/>
      <c r="L2" s="284"/>
    </row>
    <row r="3" spans="1:16" ht="15" customHeight="1">
      <c r="A3" s="1896" t="s">
        <v>1039</v>
      </c>
      <c r="B3" s="1896"/>
      <c r="C3" s="1896"/>
      <c r="D3" s="1896"/>
      <c r="E3" s="1896"/>
      <c r="F3" s="1896"/>
      <c r="G3" s="1896"/>
      <c r="H3" s="1896"/>
      <c r="I3" s="1896"/>
      <c r="J3" s="1896"/>
      <c r="K3" s="1896"/>
      <c r="L3" s="1896"/>
    </row>
    <row r="4" spans="1:16" ht="12.75" customHeight="1" thickBot="1">
      <c r="A4" s="284"/>
      <c r="B4" s="369"/>
      <c r="C4" s="369"/>
      <c r="D4" s="284"/>
      <c r="E4" s="369"/>
      <c r="F4" s="369"/>
      <c r="G4" s="369"/>
      <c r="H4" s="369"/>
      <c r="I4" s="369"/>
      <c r="J4" s="369"/>
      <c r="K4" s="369"/>
      <c r="L4" s="284"/>
    </row>
    <row r="5" spans="1:16" ht="12.75" customHeight="1" thickTop="1">
      <c r="A5" s="370"/>
      <c r="B5" s="371"/>
      <c r="C5" s="372"/>
      <c r="D5" s="373"/>
      <c r="E5" s="372"/>
      <c r="F5" s="372"/>
      <c r="G5" s="372"/>
      <c r="H5" s="372"/>
      <c r="I5" s="372"/>
      <c r="J5" s="374"/>
      <c r="K5" s="372"/>
      <c r="L5" s="375"/>
      <c r="M5" s="376"/>
    </row>
    <row r="6" spans="1:16" ht="15" customHeight="1">
      <c r="A6" s="377"/>
      <c r="B6" s="378"/>
      <c r="C6" s="379"/>
      <c r="E6" s="380" t="s">
        <v>42</v>
      </c>
      <c r="F6" s="379"/>
      <c r="G6" s="379"/>
      <c r="H6" s="379"/>
      <c r="I6" s="379"/>
      <c r="J6" s="381"/>
      <c r="K6" s="379"/>
      <c r="L6" s="382"/>
      <c r="M6" s="376"/>
    </row>
    <row r="7" spans="1:16" ht="12.75" customHeight="1" thickBot="1">
      <c r="A7" s="377"/>
      <c r="B7" s="378"/>
      <c r="C7" s="379"/>
      <c r="D7" s="383"/>
      <c r="E7" s="379"/>
      <c r="F7" s="379"/>
      <c r="G7" s="379"/>
      <c r="H7" s="379"/>
      <c r="I7" s="379"/>
      <c r="J7" s="381"/>
      <c r="K7" s="379"/>
      <c r="L7" s="382"/>
      <c r="M7" s="376"/>
    </row>
    <row r="8" spans="1:16" ht="12.75" customHeight="1" thickTop="1">
      <c r="A8" s="370"/>
      <c r="B8" s="371"/>
      <c r="C8" s="371"/>
      <c r="D8" s="370"/>
      <c r="E8" s="371"/>
      <c r="F8" s="371"/>
      <c r="G8" s="371"/>
      <c r="H8" s="371"/>
      <c r="I8" s="371"/>
      <c r="J8" s="371"/>
      <c r="K8" s="384"/>
      <c r="L8" s="385"/>
      <c r="M8" s="376"/>
    </row>
    <row r="9" spans="1:16" ht="16.5" customHeight="1">
      <c r="A9" s="386"/>
      <c r="B9" s="387" t="s">
        <v>43</v>
      </c>
      <c r="C9" s="387"/>
      <c r="D9" s="388" t="s">
        <v>38</v>
      </c>
      <c r="E9" s="387"/>
      <c r="F9" s="387"/>
      <c r="G9" s="387"/>
      <c r="H9" s="387"/>
      <c r="I9" s="387"/>
      <c r="J9" s="387" t="s">
        <v>39</v>
      </c>
      <c r="K9" s="389"/>
      <c r="L9" s="390"/>
      <c r="M9" s="376"/>
    </row>
    <row r="10" spans="1:16" ht="16.5" customHeight="1">
      <c r="A10" s="386"/>
      <c r="B10" s="387" t="s">
        <v>44</v>
      </c>
      <c r="C10" s="387"/>
      <c r="D10" s="388"/>
      <c r="E10" s="387"/>
      <c r="F10" s="387"/>
      <c r="G10" s="387"/>
      <c r="H10" s="387"/>
      <c r="I10" s="387"/>
      <c r="J10" s="387" t="s">
        <v>45</v>
      </c>
      <c r="K10" s="389"/>
      <c r="L10" s="390"/>
      <c r="M10" s="376"/>
    </row>
    <row r="11" spans="1:16" ht="15.75" customHeight="1">
      <c r="A11" s="386"/>
      <c r="B11" s="387" t="s">
        <v>46</v>
      </c>
      <c r="C11" s="387"/>
      <c r="D11" s="388"/>
      <c r="E11" s="387"/>
      <c r="F11" s="387"/>
      <c r="G11" s="387" t="s">
        <v>35</v>
      </c>
      <c r="H11" s="391"/>
      <c r="I11" s="387"/>
      <c r="J11" s="387" t="s">
        <v>47</v>
      </c>
      <c r="K11" s="392"/>
      <c r="L11" s="393"/>
      <c r="M11" s="376"/>
      <c r="P11" s="394"/>
    </row>
    <row r="12" spans="1:16" ht="16.5" customHeight="1">
      <c r="A12" s="388" t="s">
        <v>32</v>
      </c>
      <c r="B12" s="387"/>
      <c r="C12" s="387" t="s">
        <v>48</v>
      </c>
      <c r="D12" s="388" t="s">
        <v>49</v>
      </c>
      <c r="E12" s="387" t="s">
        <v>50</v>
      </c>
      <c r="F12" s="387" t="s">
        <v>37</v>
      </c>
      <c r="G12" s="387" t="s">
        <v>51</v>
      </c>
      <c r="H12" s="387" t="s">
        <v>31</v>
      </c>
      <c r="I12" s="387" t="s">
        <v>37</v>
      </c>
      <c r="J12" s="387" t="s">
        <v>52</v>
      </c>
      <c r="K12" s="387" t="s">
        <v>31</v>
      </c>
      <c r="L12" s="393" t="s">
        <v>287</v>
      </c>
      <c r="M12" s="376"/>
    </row>
    <row r="13" spans="1:16" ht="18.75" customHeight="1">
      <c r="A13" s="377"/>
      <c r="B13" s="387"/>
      <c r="C13" s="387"/>
      <c r="D13" s="388" t="s">
        <v>53</v>
      </c>
      <c r="E13" s="387"/>
      <c r="F13" s="387"/>
      <c r="G13" s="387"/>
      <c r="H13" s="387"/>
      <c r="I13" s="395"/>
      <c r="J13" s="387"/>
      <c r="K13" s="387"/>
      <c r="L13" s="393"/>
      <c r="M13" s="376"/>
    </row>
    <row r="14" spans="1:16" ht="12.75" customHeight="1" thickBot="1">
      <c r="A14" s="396"/>
      <c r="B14" s="397"/>
      <c r="C14" s="397"/>
      <c r="D14" s="398"/>
      <c r="E14" s="397"/>
      <c r="F14" s="397"/>
      <c r="G14" s="397"/>
      <c r="H14" s="397"/>
      <c r="I14" s="397"/>
      <c r="J14" s="397"/>
      <c r="K14" s="397"/>
      <c r="L14" s="399"/>
      <c r="M14" s="376"/>
    </row>
    <row r="15" spans="1:16" ht="12.75" hidden="1" customHeight="1" thickTop="1">
      <c r="A15" s="386"/>
      <c r="B15" s="400"/>
      <c r="C15" s="400"/>
      <c r="D15" s="386"/>
      <c r="E15" s="400"/>
      <c r="F15" s="400"/>
      <c r="G15" s="400"/>
      <c r="H15" s="400"/>
      <c r="I15" s="400"/>
      <c r="J15" s="400"/>
      <c r="K15" s="400"/>
      <c r="L15" s="401"/>
      <c r="M15" s="376"/>
    </row>
    <row r="16" spans="1:16" ht="12.75" hidden="1" customHeight="1">
      <c r="A16" s="402">
        <v>1999</v>
      </c>
      <c r="B16" s="400"/>
      <c r="C16" s="400"/>
      <c r="D16" s="386"/>
      <c r="E16" s="400"/>
      <c r="F16" s="400"/>
      <c r="G16" s="400"/>
      <c r="H16" s="400"/>
      <c r="I16" s="400"/>
      <c r="J16" s="400"/>
      <c r="K16" s="400"/>
      <c r="L16" s="403"/>
      <c r="M16" s="376"/>
    </row>
    <row r="17" spans="1:16" ht="12.75" hidden="1" customHeight="1">
      <c r="A17" s="386"/>
      <c r="B17" s="400"/>
      <c r="C17" s="400"/>
      <c r="D17" s="386"/>
      <c r="E17" s="400"/>
      <c r="F17" s="400"/>
      <c r="G17" s="400"/>
      <c r="H17" s="400"/>
      <c r="I17" s="400"/>
      <c r="J17" s="350"/>
      <c r="K17" s="404"/>
      <c r="L17" s="403"/>
      <c r="M17" s="376"/>
    </row>
    <row r="18" spans="1:16" ht="12.75" hidden="1" customHeight="1">
      <c r="A18" s="386" t="s">
        <v>8</v>
      </c>
      <c r="B18" s="405">
        <v>4.8413999999999993</v>
      </c>
      <c r="C18" s="405">
        <v>4.4146000000000001</v>
      </c>
      <c r="D18" s="350">
        <v>0</v>
      </c>
      <c r="E18" s="394">
        <f>397.5/1000</f>
        <v>0.39750000000000002</v>
      </c>
      <c r="F18" s="394">
        <f t="shared" ref="F18:F29" si="0">SUM(C18:E18)</f>
        <v>4.8121</v>
      </c>
      <c r="G18" s="394">
        <f>21835.6/1000</f>
        <v>21.835599999999999</v>
      </c>
      <c r="H18" s="405">
        <v>3.1100000000000003E-2</v>
      </c>
      <c r="I18" s="394">
        <f t="shared" ref="I18:I29" si="1">SUM(F18:H18,B18)</f>
        <v>31.520199999999999</v>
      </c>
      <c r="J18" s="350">
        <v>8.0000000000000002E-3</v>
      </c>
      <c r="K18" s="405">
        <v>4.8598999999999997</v>
      </c>
      <c r="L18" s="406">
        <f t="shared" ref="L18:L29" si="2">SUM(I18:K18)</f>
        <v>36.388099999999994</v>
      </c>
      <c r="M18" s="376"/>
    </row>
    <row r="19" spans="1:16" ht="12.75" hidden="1" customHeight="1">
      <c r="A19" s="386" t="s">
        <v>9</v>
      </c>
      <c r="B19" s="405">
        <v>4.9478999999999997</v>
      </c>
      <c r="C19" s="405">
        <v>4.7708999999999993</v>
      </c>
      <c r="D19" s="350">
        <v>0</v>
      </c>
      <c r="E19" s="394">
        <v>0.4</v>
      </c>
      <c r="F19" s="394">
        <f t="shared" si="0"/>
        <v>5.1708999999999996</v>
      </c>
      <c r="G19" s="394">
        <v>20.9</v>
      </c>
      <c r="H19" s="350">
        <v>3.6499999999999998E-2</v>
      </c>
      <c r="I19" s="394">
        <f t="shared" si="1"/>
        <v>31.055299999999999</v>
      </c>
      <c r="J19" s="350">
        <v>8.0000000000000002E-3</v>
      </c>
      <c r="K19" s="405">
        <v>4.9556000000000004</v>
      </c>
      <c r="L19" s="406">
        <f t="shared" si="2"/>
        <v>36.018900000000002</v>
      </c>
      <c r="M19" s="376"/>
      <c r="P19" s="394"/>
    </row>
    <row r="20" spans="1:16" ht="12.75" hidden="1" customHeight="1">
      <c r="A20" s="386" t="s">
        <v>10</v>
      </c>
      <c r="B20" s="405">
        <v>5.3470000000000004</v>
      </c>
      <c r="C20" s="394">
        <v>5.3</v>
      </c>
      <c r="D20" s="350">
        <v>0</v>
      </c>
      <c r="E20" s="394">
        <v>0.3</v>
      </c>
      <c r="F20" s="394">
        <f t="shared" si="0"/>
        <v>5.6</v>
      </c>
      <c r="G20" s="350">
        <v>19.867000000000001</v>
      </c>
      <c r="H20" s="407">
        <v>0.38850000000000001</v>
      </c>
      <c r="I20" s="408">
        <f t="shared" si="1"/>
        <v>31.202500000000001</v>
      </c>
      <c r="J20" s="350">
        <v>8.0000000000000002E-3</v>
      </c>
      <c r="K20" s="405">
        <v>3.1314000000000002</v>
      </c>
      <c r="L20" s="406">
        <f t="shared" si="2"/>
        <v>34.341900000000003</v>
      </c>
      <c r="M20" s="376"/>
    </row>
    <row r="21" spans="1:16" ht="12.75" hidden="1" customHeight="1">
      <c r="A21" s="386" t="s">
        <v>11</v>
      </c>
      <c r="B21" s="405">
        <v>5.5987</v>
      </c>
      <c r="C21" s="394">
        <f>5685.5/1000</f>
        <v>5.6855000000000002</v>
      </c>
      <c r="D21" s="350">
        <v>0</v>
      </c>
      <c r="E21" s="394">
        <v>0.3</v>
      </c>
      <c r="F21" s="394">
        <f t="shared" si="0"/>
        <v>5.9855</v>
      </c>
      <c r="G21" s="350">
        <v>18.966200000000001</v>
      </c>
      <c r="H21" s="407">
        <v>0.26530000000000004</v>
      </c>
      <c r="I21" s="408">
        <f t="shared" si="1"/>
        <v>30.815700000000003</v>
      </c>
      <c r="J21" s="350">
        <v>8.0000000000000002E-3</v>
      </c>
      <c r="K21" s="405">
        <v>3.2555000000000001</v>
      </c>
      <c r="L21" s="406">
        <f t="shared" si="2"/>
        <v>34.0792</v>
      </c>
      <c r="M21" s="376"/>
    </row>
    <row r="22" spans="1:16" ht="12.75" hidden="1" customHeight="1">
      <c r="A22" s="386" t="s">
        <v>337</v>
      </c>
      <c r="B22" s="405">
        <v>6.0674999999999999</v>
      </c>
      <c r="C22" s="394">
        <v>5.9</v>
      </c>
      <c r="D22" s="350">
        <v>0</v>
      </c>
      <c r="E22" s="394">
        <v>0.4</v>
      </c>
      <c r="F22" s="394">
        <f t="shared" si="0"/>
        <v>6.3000000000000007</v>
      </c>
      <c r="G22" s="350">
        <v>17.697400000000002</v>
      </c>
      <c r="H22" s="407">
        <v>0.4516</v>
      </c>
      <c r="I22" s="408">
        <f t="shared" si="1"/>
        <v>30.516500000000001</v>
      </c>
      <c r="J22" s="350">
        <v>8.0000000000000002E-3</v>
      </c>
      <c r="K22" s="405">
        <v>3.4879000000000002</v>
      </c>
      <c r="L22" s="406">
        <f t="shared" si="2"/>
        <v>34.0124</v>
      </c>
      <c r="M22" s="376"/>
    </row>
    <row r="23" spans="1:16" ht="12.75" hidden="1" customHeight="1">
      <c r="A23" s="386" t="s">
        <v>346</v>
      </c>
      <c r="B23" s="405">
        <v>6.4773999999999994</v>
      </c>
      <c r="C23" s="394">
        <v>5.4</v>
      </c>
      <c r="D23" s="350">
        <v>0</v>
      </c>
      <c r="E23" s="394">
        <v>0.4</v>
      </c>
      <c r="F23" s="394">
        <f t="shared" si="0"/>
        <v>5.8000000000000007</v>
      </c>
      <c r="G23" s="350">
        <v>16.4604</v>
      </c>
      <c r="H23" s="407">
        <v>0.23849999999999999</v>
      </c>
      <c r="I23" s="408">
        <f t="shared" si="1"/>
        <v>28.976299999999998</v>
      </c>
      <c r="J23" s="350">
        <v>8.0000000000000002E-3</v>
      </c>
      <c r="K23" s="405">
        <v>3.2509999999999999</v>
      </c>
      <c r="L23" s="406">
        <f t="shared" si="2"/>
        <v>32.235299999999995</v>
      </c>
      <c r="M23" s="376"/>
    </row>
    <row r="24" spans="1:16" ht="12.75" hidden="1" customHeight="1">
      <c r="A24" s="386" t="s">
        <v>347</v>
      </c>
      <c r="B24" s="405">
        <v>7.1216999999999997</v>
      </c>
      <c r="C24" s="394">
        <v>8.3000000000000007</v>
      </c>
      <c r="D24" s="350">
        <v>0</v>
      </c>
      <c r="E24" s="394">
        <v>0.4</v>
      </c>
      <c r="F24" s="394">
        <f t="shared" si="0"/>
        <v>8.7000000000000011</v>
      </c>
      <c r="G24" s="350">
        <v>15.3338</v>
      </c>
      <c r="H24" s="407">
        <v>0.24859999999999999</v>
      </c>
      <c r="I24" s="408">
        <f t="shared" si="1"/>
        <v>31.4041</v>
      </c>
      <c r="J24" s="350">
        <v>8.0000000000000002E-3</v>
      </c>
      <c r="K24" s="405">
        <v>3.3433000000000002</v>
      </c>
      <c r="L24" s="406">
        <f t="shared" si="2"/>
        <v>34.755400000000002</v>
      </c>
      <c r="M24" s="376"/>
    </row>
    <row r="25" spans="1:16" ht="12.75" hidden="1" customHeight="1">
      <c r="A25" s="386" t="s">
        <v>12</v>
      </c>
      <c r="B25" s="405">
        <v>7.1195000000000004</v>
      </c>
      <c r="C25" s="394">
        <v>8.4</v>
      </c>
      <c r="D25" s="350">
        <v>0</v>
      </c>
      <c r="E25" s="394">
        <v>0.5</v>
      </c>
      <c r="F25" s="394">
        <f t="shared" si="0"/>
        <v>8.9</v>
      </c>
      <c r="G25" s="350">
        <v>14.7857</v>
      </c>
      <c r="H25" s="407">
        <v>0.23549999999999999</v>
      </c>
      <c r="I25" s="408">
        <f t="shared" si="1"/>
        <v>31.040700000000001</v>
      </c>
      <c r="J25" s="350">
        <v>8.0000000000000002E-3</v>
      </c>
      <c r="K25" s="405">
        <v>3.4363999999999999</v>
      </c>
      <c r="L25" s="406">
        <f t="shared" si="2"/>
        <v>34.485100000000003</v>
      </c>
      <c r="M25" s="376"/>
    </row>
    <row r="26" spans="1:16" ht="12.75" hidden="1" customHeight="1">
      <c r="A26" s="386" t="s">
        <v>13</v>
      </c>
      <c r="B26" s="405">
        <v>6.8248999999999995</v>
      </c>
      <c r="C26" s="394">
        <v>8.6999999999999993</v>
      </c>
      <c r="D26" s="350">
        <v>0</v>
      </c>
      <c r="E26" s="394">
        <v>0.3</v>
      </c>
      <c r="F26" s="394">
        <f t="shared" si="0"/>
        <v>9</v>
      </c>
      <c r="G26" s="350">
        <v>14.6915</v>
      </c>
      <c r="H26" s="407">
        <v>9.4E-2</v>
      </c>
      <c r="I26" s="408">
        <f t="shared" si="1"/>
        <v>30.610399999999998</v>
      </c>
      <c r="J26" s="350">
        <v>8.0000000000000002E-3</v>
      </c>
      <c r="K26" s="405">
        <v>3.3998999999999944</v>
      </c>
      <c r="L26" s="406">
        <f t="shared" si="2"/>
        <v>34.018299999999989</v>
      </c>
      <c r="M26" s="376"/>
    </row>
    <row r="27" spans="1:16" ht="12.75" hidden="1" customHeight="1">
      <c r="A27" s="386" t="s">
        <v>14</v>
      </c>
      <c r="B27" s="405">
        <v>6.8351999999999995</v>
      </c>
      <c r="C27" s="394">
        <f>9975.9/1000</f>
        <v>9.9758999999999993</v>
      </c>
      <c r="D27" s="350">
        <v>0</v>
      </c>
      <c r="E27" s="394">
        <v>0.3</v>
      </c>
      <c r="F27" s="394">
        <f t="shared" si="0"/>
        <v>10.2759</v>
      </c>
      <c r="G27" s="350">
        <v>18.785</v>
      </c>
      <c r="H27" s="407">
        <v>4.4499999999999998E-2</v>
      </c>
      <c r="I27" s="408">
        <f t="shared" si="1"/>
        <v>35.940599999999996</v>
      </c>
      <c r="J27" s="350">
        <v>8.0000000000000002E-3</v>
      </c>
      <c r="K27" s="405">
        <v>2.9494000000000002</v>
      </c>
      <c r="L27" s="406">
        <f t="shared" si="2"/>
        <v>38.897999999999996</v>
      </c>
      <c r="M27" s="376"/>
    </row>
    <row r="28" spans="1:16" ht="12.75" hidden="1" customHeight="1">
      <c r="A28" s="386" t="s">
        <v>15</v>
      </c>
      <c r="B28" s="405">
        <v>7.5463999999999993</v>
      </c>
      <c r="C28" s="394">
        <v>9.4</v>
      </c>
      <c r="D28" s="350">
        <v>0</v>
      </c>
      <c r="E28" s="394">
        <v>0.4</v>
      </c>
      <c r="F28" s="394">
        <f t="shared" si="0"/>
        <v>9.8000000000000007</v>
      </c>
      <c r="G28" s="350">
        <v>17.9621</v>
      </c>
      <c r="H28" s="407">
        <v>3.2799999999999996E-2</v>
      </c>
      <c r="I28" s="408">
        <f t="shared" si="1"/>
        <v>35.341300000000004</v>
      </c>
      <c r="J28" s="350">
        <v>8.0000000000000002E-3</v>
      </c>
      <c r="K28" s="405">
        <v>3.0883999999999943</v>
      </c>
      <c r="L28" s="406">
        <f t="shared" si="2"/>
        <v>38.4377</v>
      </c>
      <c r="M28" s="376"/>
    </row>
    <row r="29" spans="1:16" ht="12.75" hidden="1" customHeight="1">
      <c r="A29" s="386" t="s">
        <v>16</v>
      </c>
      <c r="B29" s="405">
        <v>8.5272999999999985</v>
      </c>
      <c r="C29" s="394">
        <v>8.8000000000000007</v>
      </c>
      <c r="D29" s="350">
        <v>0</v>
      </c>
      <c r="E29" s="394">
        <v>0.4</v>
      </c>
      <c r="F29" s="394">
        <f t="shared" si="0"/>
        <v>9.2000000000000011</v>
      </c>
      <c r="G29" s="350">
        <v>16.4574</v>
      </c>
      <c r="H29" s="409">
        <v>5.6299999999999996E-2</v>
      </c>
      <c r="I29" s="408">
        <f t="shared" si="1"/>
        <v>34.241</v>
      </c>
      <c r="J29" s="350">
        <v>8.0000000000000002E-3</v>
      </c>
      <c r="K29" s="405">
        <v>3.1865000000000001</v>
      </c>
      <c r="L29" s="406">
        <f t="shared" si="2"/>
        <v>37.435500000000005</v>
      </c>
      <c r="M29" s="376"/>
    </row>
    <row r="30" spans="1:16" ht="12.75" hidden="1" customHeight="1">
      <c r="A30" s="386"/>
      <c r="B30" s="394"/>
      <c r="C30" s="394"/>
      <c r="D30" s="350"/>
      <c r="E30" s="394"/>
      <c r="F30" s="394"/>
      <c r="G30" s="394"/>
      <c r="H30" s="394"/>
      <c r="I30" s="394"/>
      <c r="J30" s="405"/>
      <c r="K30" s="394"/>
      <c r="L30" s="406"/>
      <c r="M30" s="376"/>
    </row>
    <row r="31" spans="1:16" ht="12.75" hidden="1" customHeight="1">
      <c r="A31" s="402">
        <v>2000</v>
      </c>
      <c r="B31" s="394"/>
      <c r="C31" s="394"/>
      <c r="D31" s="350"/>
      <c r="E31" s="394"/>
      <c r="F31" s="394"/>
      <c r="G31" s="394"/>
      <c r="H31" s="394"/>
      <c r="I31" s="394"/>
      <c r="J31" s="394"/>
      <c r="K31" s="394"/>
      <c r="L31" s="406"/>
      <c r="M31" s="376"/>
    </row>
    <row r="32" spans="1:16" ht="12.75" hidden="1" customHeight="1">
      <c r="A32" s="386"/>
      <c r="B32" s="394"/>
      <c r="C32" s="394"/>
      <c r="D32" s="350"/>
      <c r="E32" s="394"/>
      <c r="F32" s="394"/>
      <c r="G32" s="394"/>
      <c r="H32" s="394"/>
      <c r="I32" s="394"/>
      <c r="J32" s="394"/>
      <c r="K32" s="408"/>
      <c r="L32" s="406"/>
      <c r="M32" s="376"/>
    </row>
    <row r="33" spans="1:13" ht="12.75" hidden="1" customHeight="1">
      <c r="A33" s="386" t="s">
        <v>8</v>
      </c>
      <c r="B33" s="405">
        <v>7.2164999999999999</v>
      </c>
      <c r="C33" s="405">
        <v>9.9846000000000004</v>
      </c>
      <c r="D33" s="350">
        <v>0</v>
      </c>
      <c r="E33" s="405">
        <v>0.27860000000000001</v>
      </c>
      <c r="F33" s="394">
        <f>SUM(C33:E33)</f>
        <v>10.263200000000001</v>
      </c>
      <c r="G33" s="350">
        <v>15.6836</v>
      </c>
      <c r="H33" s="405">
        <v>2.86E-2</v>
      </c>
      <c r="I33" s="394">
        <f>SUM(F33:H33,B33)</f>
        <v>33.191900000000004</v>
      </c>
      <c r="J33" s="350">
        <v>8.0000000000000002E-3</v>
      </c>
      <c r="K33" s="405">
        <v>3.5583</v>
      </c>
      <c r="L33" s="406">
        <f>SUM(I33:K33)</f>
        <v>36.758200000000009</v>
      </c>
      <c r="M33" s="376"/>
    </row>
    <row r="34" spans="1:13" ht="12.75" hidden="1" customHeight="1">
      <c r="A34" s="386"/>
      <c r="B34" s="405"/>
      <c r="C34" s="394"/>
      <c r="D34" s="350"/>
      <c r="E34" s="394"/>
      <c r="F34" s="394"/>
      <c r="G34" s="394"/>
      <c r="H34" s="408"/>
      <c r="I34" s="394"/>
      <c r="J34" s="394"/>
      <c r="K34" s="408"/>
      <c r="L34" s="406"/>
      <c r="M34" s="376"/>
    </row>
    <row r="35" spans="1:13" ht="12.75" hidden="1" customHeight="1">
      <c r="A35" s="386" t="s">
        <v>9</v>
      </c>
      <c r="B35" s="405">
        <v>7.5415000000000001</v>
      </c>
      <c r="C35" s="405">
        <v>8.9312000000000005</v>
      </c>
      <c r="D35" s="350">
        <v>0</v>
      </c>
      <c r="E35" s="405">
        <v>0.24209999999999998</v>
      </c>
      <c r="F35" s="394">
        <f>SUM(C35:E35)</f>
        <v>9.1733000000000011</v>
      </c>
      <c r="G35" s="350">
        <v>15.146700000000001</v>
      </c>
      <c r="H35" s="405">
        <v>0.13800000000000001</v>
      </c>
      <c r="I35" s="394">
        <f>SUM(F35:H35,B35)</f>
        <v>31.999500000000001</v>
      </c>
      <c r="J35" s="350">
        <v>8.0000000000000002E-3</v>
      </c>
      <c r="K35" s="405">
        <v>4.0762</v>
      </c>
      <c r="L35" s="406">
        <f>SUM(I35:K35)</f>
        <v>36.0837</v>
      </c>
      <c r="M35" s="376"/>
    </row>
    <row r="36" spans="1:13" ht="12.75" hidden="1" customHeight="1">
      <c r="A36" s="386"/>
      <c r="B36" s="405"/>
      <c r="C36" s="394"/>
      <c r="D36" s="350"/>
      <c r="E36" s="394"/>
      <c r="F36" s="394"/>
      <c r="G36" s="394"/>
      <c r="H36" s="408"/>
      <c r="I36" s="394"/>
      <c r="J36" s="394"/>
      <c r="K36" s="408"/>
      <c r="L36" s="406"/>
      <c r="M36" s="376"/>
    </row>
    <row r="37" spans="1:13" ht="12.75" hidden="1" customHeight="1">
      <c r="A37" s="386" t="s">
        <v>10</v>
      </c>
      <c r="B37" s="405">
        <v>7.7412999999999998</v>
      </c>
      <c r="C37" s="405">
        <v>9.126100000000001</v>
      </c>
      <c r="D37" s="350">
        <v>0</v>
      </c>
      <c r="E37" s="405">
        <v>0.30030000000000001</v>
      </c>
      <c r="F37" s="394">
        <f>SUM(C37:E37)</f>
        <v>9.426400000000001</v>
      </c>
      <c r="G37" s="350">
        <v>13.898</v>
      </c>
      <c r="H37" s="405">
        <v>4.3700000000000003E-2</v>
      </c>
      <c r="I37" s="394">
        <f>SUM(F37:H37,B37)</f>
        <v>31.109400000000001</v>
      </c>
      <c r="J37" s="350">
        <v>8.0000000000000002E-3</v>
      </c>
      <c r="K37" s="405">
        <v>4.2694999999999999</v>
      </c>
      <c r="L37" s="406">
        <f>SUM(I37:K37)</f>
        <v>35.386899999999997</v>
      </c>
      <c r="M37" s="376"/>
    </row>
    <row r="38" spans="1:13" ht="12.75" hidden="1" customHeight="1">
      <c r="A38" s="386"/>
      <c r="B38" s="405"/>
      <c r="C38" s="394"/>
      <c r="D38" s="350"/>
      <c r="E38" s="394"/>
      <c r="F38" s="394"/>
      <c r="G38" s="394"/>
      <c r="H38" s="408"/>
      <c r="I38" s="394"/>
      <c r="J38" s="394"/>
      <c r="K38" s="408"/>
      <c r="L38" s="406"/>
      <c r="M38" s="376"/>
    </row>
    <row r="39" spans="1:13" ht="12.75" hidden="1" customHeight="1">
      <c r="A39" s="386" t="s">
        <v>11</v>
      </c>
      <c r="B39" s="405">
        <v>8.1952999999999996</v>
      </c>
      <c r="C39" s="405">
        <v>9.6913999999999998</v>
      </c>
      <c r="D39" s="350">
        <v>0</v>
      </c>
      <c r="E39" s="405">
        <v>0.33400000000000002</v>
      </c>
      <c r="F39" s="394">
        <f>SUM(C39:E39)</f>
        <v>10.025399999999999</v>
      </c>
      <c r="G39" s="350">
        <v>13.153</v>
      </c>
      <c r="H39" s="405">
        <v>4.9399999999999999E-2</v>
      </c>
      <c r="I39" s="394">
        <f>SUM(F39:H39,B39)</f>
        <v>31.423099999999998</v>
      </c>
      <c r="J39" s="350">
        <v>8.0000000000000002E-3</v>
      </c>
      <c r="K39" s="405">
        <v>4.6483999999999996</v>
      </c>
      <c r="L39" s="406">
        <f>SUM(I39:K39)</f>
        <v>36.079499999999996</v>
      </c>
      <c r="M39" s="376"/>
    </row>
    <row r="40" spans="1:13" ht="12.75" hidden="1" customHeight="1">
      <c r="A40" s="386"/>
      <c r="B40" s="405"/>
      <c r="C40" s="394"/>
      <c r="D40" s="350"/>
      <c r="E40" s="394"/>
      <c r="F40" s="394"/>
      <c r="G40" s="394"/>
      <c r="H40" s="408"/>
      <c r="I40" s="394"/>
      <c r="J40" s="394"/>
      <c r="K40" s="408"/>
      <c r="L40" s="406"/>
      <c r="M40" s="376"/>
    </row>
    <row r="41" spans="1:13" ht="12.75" hidden="1" customHeight="1">
      <c r="A41" s="386" t="s">
        <v>337</v>
      </c>
      <c r="B41" s="405">
        <v>8.4272000000000009</v>
      </c>
      <c r="C41" s="405">
        <v>11.381</v>
      </c>
      <c r="D41" s="350">
        <v>0</v>
      </c>
      <c r="E41" s="405">
        <v>0.2999</v>
      </c>
      <c r="F41" s="394">
        <f>SUM(C41:E41)</f>
        <v>11.680899999999999</v>
      </c>
      <c r="G41" s="350">
        <v>12.382</v>
      </c>
      <c r="H41" s="405">
        <v>4.5600000000000002E-2</v>
      </c>
      <c r="I41" s="394">
        <f>SUM(F41:H41,B41)</f>
        <v>32.535699999999999</v>
      </c>
      <c r="J41" s="350">
        <v>8.0000000000000002E-3</v>
      </c>
      <c r="K41" s="405">
        <v>4.8388999999999998</v>
      </c>
      <c r="L41" s="406">
        <f>SUM(I41:K41)</f>
        <v>37.382600000000004</v>
      </c>
      <c r="M41" s="376"/>
    </row>
    <row r="42" spans="1:13" ht="12.75" hidden="1" customHeight="1">
      <c r="A42" s="386"/>
      <c r="B42" s="405"/>
      <c r="C42" s="394"/>
      <c r="D42" s="350"/>
      <c r="E42" s="394"/>
      <c r="F42" s="394"/>
      <c r="G42" s="394"/>
      <c r="H42" s="408"/>
      <c r="I42" s="394"/>
      <c r="J42" s="394"/>
      <c r="K42" s="408"/>
      <c r="L42" s="406"/>
      <c r="M42" s="376"/>
    </row>
    <row r="43" spans="1:13" ht="12.75" hidden="1" customHeight="1">
      <c r="A43" s="386" t="s">
        <v>346</v>
      </c>
      <c r="B43" s="405">
        <v>9.1715999999999998</v>
      </c>
      <c r="C43" s="405">
        <v>12.0878</v>
      </c>
      <c r="D43" s="350">
        <v>0</v>
      </c>
      <c r="E43" s="405">
        <v>0.28310000000000002</v>
      </c>
      <c r="F43" s="394">
        <f>SUM(C43:E43)</f>
        <v>12.370899999999999</v>
      </c>
      <c r="G43" s="350">
        <v>11.5381</v>
      </c>
      <c r="H43" s="405">
        <v>5.11E-2</v>
      </c>
      <c r="I43" s="394">
        <f>SUM(F43:H43,B43)</f>
        <v>33.131700000000002</v>
      </c>
      <c r="J43" s="350">
        <v>8.0000000000000002E-3</v>
      </c>
      <c r="K43" s="405">
        <v>5.4253999999999998</v>
      </c>
      <c r="L43" s="406">
        <f>SUM(I43:K43)</f>
        <v>38.565100000000001</v>
      </c>
      <c r="M43" s="376"/>
    </row>
    <row r="44" spans="1:13" ht="12.75" hidden="1" customHeight="1">
      <c r="A44" s="386"/>
      <c r="B44" s="405"/>
      <c r="C44" s="394"/>
      <c r="D44" s="350"/>
      <c r="E44" s="394"/>
      <c r="F44" s="394"/>
      <c r="G44" s="394"/>
      <c r="H44" s="408"/>
      <c r="I44" s="394"/>
      <c r="J44" s="394"/>
      <c r="K44" s="408"/>
      <c r="L44" s="406"/>
      <c r="M44" s="376"/>
    </row>
    <row r="45" spans="1:13" ht="12.75" hidden="1" customHeight="1">
      <c r="A45" s="386" t="s">
        <v>347</v>
      </c>
      <c r="B45" s="405">
        <v>9.5848999999999993</v>
      </c>
      <c r="C45" s="405">
        <v>10.277700000000001</v>
      </c>
      <c r="D45" s="350">
        <v>0</v>
      </c>
      <c r="E45" s="405">
        <v>0.24640000000000001</v>
      </c>
      <c r="F45" s="394">
        <f>SUM(C45:E45)</f>
        <v>10.524100000000001</v>
      </c>
      <c r="G45" s="350">
        <v>9.9257999999999988</v>
      </c>
      <c r="H45" s="405">
        <v>3.9600000000000003E-2</v>
      </c>
      <c r="I45" s="394">
        <f>SUM(F45:H45,B45)</f>
        <v>30.074399999999997</v>
      </c>
      <c r="J45" s="350">
        <v>8.0000000000000002E-3</v>
      </c>
      <c r="K45" s="405">
        <v>7.2205000000000004</v>
      </c>
      <c r="L45" s="406">
        <f>SUM(I45:K45)</f>
        <v>37.302899999999994</v>
      </c>
      <c r="M45" s="376"/>
    </row>
    <row r="46" spans="1:13" ht="12.75" hidden="1" customHeight="1">
      <c r="A46" s="386"/>
      <c r="B46" s="405"/>
      <c r="C46" s="394"/>
      <c r="D46" s="350"/>
      <c r="E46" s="394"/>
      <c r="F46" s="394"/>
      <c r="G46" s="394"/>
      <c r="H46" s="408"/>
      <c r="I46" s="394"/>
      <c r="J46" s="394"/>
      <c r="K46" s="408"/>
      <c r="L46" s="406"/>
      <c r="M46" s="376"/>
    </row>
    <row r="47" spans="1:13" ht="12.75" hidden="1" customHeight="1">
      <c r="A47" s="386" t="s">
        <v>12</v>
      </c>
      <c r="B47" s="405">
        <v>9.7437999999999985</v>
      </c>
      <c r="C47" s="405">
        <v>12.094799999999999</v>
      </c>
      <c r="D47" s="350">
        <v>0</v>
      </c>
      <c r="E47" s="405">
        <v>0.27829999999999999</v>
      </c>
      <c r="F47" s="394">
        <f>SUM(C47:E47)</f>
        <v>12.373099999999999</v>
      </c>
      <c r="G47" s="350">
        <v>14.9322</v>
      </c>
      <c r="H47" s="405">
        <v>3.9600000000000003E-2</v>
      </c>
      <c r="I47" s="394">
        <f>SUM(F47:H47,B47)</f>
        <v>37.088699999999996</v>
      </c>
      <c r="J47" s="350">
        <v>8.0000000000000002E-3</v>
      </c>
      <c r="K47" s="405">
        <v>5.3250999999999999</v>
      </c>
      <c r="L47" s="406">
        <f>SUM(I47:K47)</f>
        <v>42.421799999999998</v>
      </c>
      <c r="M47" s="376"/>
    </row>
    <row r="48" spans="1:13" ht="12.75" hidden="1" customHeight="1">
      <c r="A48" s="386"/>
      <c r="B48" s="405"/>
      <c r="C48" s="394"/>
      <c r="D48" s="350"/>
      <c r="E48" s="394"/>
      <c r="F48" s="394"/>
      <c r="G48" s="394"/>
      <c r="H48" s="408"/>
      <c r="I48" s="394"/>
      <c r="J48" s="394"/>
      <c r="K48" s="408"/>
      <c r="L48" s="406"/>
      <c r="M48" s="376"/>
    </row>
    <row r="49" spans="1:13" ht="12.75" hidden="1" customHeight="1">
      <c r="A49" s="386" t="s">
        <v>13</v>
      </c>
      <c r="B49" s="405">
        <v>9.4849999999999994</v>
      </c>
      <c r="C49" s="405">
        <v>9.5012999999999987</v>
      </c>
      <c r="D49" s="350">
        <v>0</v>
      </c>
      <c r="E49" s="405">
        <v>0.40799999999999997</v>
      </c>
      <c r="F49" s="394">
        <f>SUM(C49:E49)</f>
        <v>9.9092999999999982</v>
      </c>
      <c r="G49" s="350">
        <v>12.6302</v>
      </c>
      <c r="H49" s="405">
        <v>4.6600000000000003E-2</v>
      </c>
      <c r="I49" s="394">
        <f>SUM(F49:H49,B49)</f>
        <v>32.071100000000001</v>
      </c>
      <c r="J49" s="350">
        <v>8.0000000000000002E-3</v>
      </c>
      <c r="K49" s="405">
        <v>8.5577000000000005</v>
      </c>
      <c r="L49" s="406">
        <f>SUM(I49:K49)</f>
        <v>40.636800000000008</v>
      </c>
      <c r="M49" s="376"/>
    </row>
    <row r="50" spans="1:13" ht="12.75" hidden="1" customHeight="1">
      <c r="A50" s="386"/>
      <c r="B50" s="405"/>
      <c r="C50" s="394"/>
      <c r="D50" s="350"/>
      <c r="E50" s="394"/>
      <c r="F50" s="394"/>
      <c r="G50" s="394"/>
      <c r="H50" s="408"/>
      <c r="I50" s="394"/>
      <c r="J50" s="394"/>
      <c r="K50" s="408"/>
      <c r="L50" s="406"/>
      <c r="M50" s="376"/>
    </row>
    <row r="51" spans="1:13" ht="12.75" hidden="1" customHeight="1">
      <c r="A51" s="386" t="s">
        <v>14</v>
      </c>
      <c r="B51" s="405">
        <v>9.5169999999999995</v>
      </c>
      <c r="C51" s="405">
        <v>9.9141000000000012</v>
      </c>
      <c r="D51" s="350">
        <v>0</v>
      </c>
      <c r="E51" s="405">
        <v>0.3286</v>
      </c>
      <c r="F51" s="394">
        <f>SUM(C51:E51)</f>
        <v>10.242700000000001</v>
      </c>
      <c r="G51" s="350">
        <v>12.325700000000001</v>
      </c>
      <c r="H51" s="405">
        <v>4.3200000000000002E-2</v>
      </c>
      <c r="I51" s="394">
        <f>SUM(F51:H51,B51)</f>
        <v>32.128600000000006</v>
      </c>
      <c r="J51" s="350">
        <v>8.0000000000000002E-3</v>
      </c>
      <c r="K51" s="405">
        <v>8.6518999999999995</v>
      </c>
      <c r="L51" s="406">
        <f>SUM(I51:K51)</f>
        <v>40.788500000000006</v>
      </c>
      <c r="M51" s="376"/>
    </row>
    <row r="52" spans="1:13" ht="12.75" hidden="1" customHeight="1">
      <c r="A52" s="386"/>
      <c r="B52" s="405"/>
      <c r="C52" s="394"/>
      <c r="D52" s="350"/>
      <c r="E52" s="394"/>
      <c r="F52" s="394"/>
      <c r="G52" s="394"/>
      <c r="H52" s="408"/>
      <c r="I52" s="394"/>
      <c r="J52" s="394"/>
      <c r="K52" s="408"/>
      <c r="L52" s="406"/>
      <c r="M52" s="376"/>
    </row>
    <row r="53" spans="1:13" ht="12.75" hidden="1" customHeight="1">
      <c r="A53" s="386" t="s">
        <v>15</v>
      </c>
      <c r="B53" s="405">
        <v>10.8744</v>
      </c>
      <c r="C53" s="405">
        <v>9.8675999999999995</v>
      </c>
      <c r="D53" s="350">
        <v>0</v>
      </c>
      <c r="E53" s="405">
        <v>0.26830000000000004</v>
      </c>
      <c r="F53" s="394">
        <f>SUM(C53:E53)</f>
        <v>10.135899999999999</v>
      </c>
      <c r="G53" s="350">
        <v>12.183299999999999</v>
      </c>
      <c r="H53" s="405">
        <v>0.2069</v>
      </c>
      <c r="I53" s="394">
        <f>SUM(F53:H53,B53)</f>
        <v>33.400500000000001</v>
      </c>
      <c r="J53" s="350">
        <v>8.0000000000000002E-3</v>
      </c>
      <c r="K53" s="405">
        <v>9.039299999999999</v>
      </c>
      <c r="L53" s="406">
        <f>SUM(I53:K53)</f>
        <v>42.447800000000001</v>
      </c>
      <c r="M53" s="376"/>
    </row>
    <row r="54" spans="1:13" ht="12.75" hidden="1" customHeight="1">
      <c r="A54" s="386"/>
      <c r="B54" s="405"/>
      <c r="C54" s="394"/>
      <c r="D54" s="350"/>
      <c r="E54" s="394"/>
      <c r="F54" s="394"/>
      <c r="G54" s="394"/>
      <c r="H54" s="408"/>
      <c r="I54" s="394"/>
      <c r="J54" s="394"/>
      <c r="K54" s="408"/>
      <c r="L54" s="406"/>
      <c r="M54" s="376"/>
    </row>
    <row r="55" spans="1:13" ht="12.75" hidden="1" customHeight="1">
      <c r="A55" s="386" t="s">
        <v>16</v>
      </c>
      <c r="B55" s="405">
        <v>11.641500000000001</v>
      </c>
      <c r="C55" s="405">
        <v>8.7123999999999988</v>
      </c>
      <c r="D55" s="350">
        <v>0</v>
      </c>
      <c r="E55" s="405">
        <v>0.28449999999999998</v>
      </c>
      <c r="F55" s="394">
        <f>SUM(C55:E55)</f>
        <v>8.9968999999999983</v>
      </c>
      <c r="G55" s="350">
        <v>12.0875</v>
      </c>
      <c r="H55" s="405">
        <v>0.1004</v>
      </c>
      <c r="I55" s="394">
        <f>SUM(F55:H55,B55)</f>
        <v>32.826300000000003</v>
      </c>
      <c r="J55" s="350">
        <v>8.0000000000000002E-3</v>
      </c>
      <c r="K55" s="405">
        <v>11.285</v>
      </c>
      <c r="L55" s="406">
        <f>SUM(I55:K55)</f>
        <v>44.11930000000001</v>
      </c>
      <c r="M55" s="376"/>
    </row>
    <row r="56" spans="1:13" ht="12.75" hidden="1" customHeight="1">
      <c r="A56" s="386"/>
      <c r="B56" s="394"/>
      <c r="C56" s="394"/>
      <c r="D56" s="350"/>
      <c r="E56" s="394"/>
      <c r="F56" s="394"/>
      <c r="G56" s="394"/>
      <c r="H56" s="394"/>
      <c r="I56" s="394"/>
      <c r="J56" s="405"/>
      <c r="K56" s="394"/>
      <c r="L56" s="406"/>
      <c r="M56" s="376"/>
    </row>
    <row r="57" spans="1:13" ht="12.75" hidden="1" customHeight="1">
      <c r="A57" s="402">
        <v>2001</v>
      </c>
      <c r="B57" s="394"/>
      <c r="C57" s="394"/>
      <c r="D57" s="350"/>
      <c r="E57" s="394"/>
      <c r="F57" s="394"/>
      <c r="G57" s="394"/>
      <c r="H57" s="394"/>
      <c r="I57" s="394"/>
      <c r="J57" s="394"/>
      <c r="K57" s="394"/>
      <c r="L57" s="406"/>
      <c r="M57" s="376"/>
    </row>
    <row r="58" spans="1:13" ht="12.6" hidden="1" customHeight="1">
      <c r="A58" s="386"/>
      <c r="B58" s="394"/>
      <c r="C58" s="394"/>
      <c r="D58" s="350"/>
      <c r="E58" s="394"/>
      <c r="F58" s="394"/>
      <c r="G58" s="394"/>
      <c r="H58" s="394"/>
      <c r="I58" s="394"/>
      <c r="J58" s="394"/>
      <c r="K58" s="394"/>
      <c r="L58" s="406"/>
      <c r="M58" s="376"/>
    </row>
    <row r="59" spans="1:13" ht="12.75" hidden="1" customHeight="1">
      <c r="A59" s="386" t="s">
        <v>8</v>
      </c>
      <c r="B59" s="394">
        <v>10.0678</v>
      </c>
      <c r="C59" s="394">
        <v>17.839599999999997</v>
      </c>
      <c r="D59" s="350">
        <v>0</v>
      </c>
      <c r="E59" s="394">
        <v>0.3014</v>
      </c>
      <c r="F59" s="394">
        <f>SUM(C59:E59)</f>
        <v>18.140999999999998</v>
      </c>
      <c r="G59" s="394">
        <v>12.0029</v>
      </c>
      <c r="H59" s="394">
        <v>0.2298</v>
      </c>
      <c r="I59" s="394">
        <f>SUM(F59:H59,B59)</f>
        <v>40.441499999999998</v>
      </c>
      <c r="J59" s="394">
        <v>7.9999999999999996E-6</v>
      </c>
      <c r="K59" s="394">
        <v>11.2356</v>
      </c>
      <c r="L59" s="406">
        <f>SUM(I59:K59)</f>
        <v>51.677107999999997</v>
      </c>
      <c r="M59" s="376"/>
    </row>
    <row r="60" spans="1:13" ht="12.75" hidden="1" customHeight="1">
      <c r="A60" s="386"/>
      <c r="B60" s="394"/>
      <c r="C60" s="394"/>
      <c r="D60" s="350"/>
      <c r="E60" s="394"/>
      <c r="F60" s="394"/>
      <c r="G60" s="394"/>
      <c r="H60" s="394"/>
      <c r="I60" s="394"/>
      <c r="J60" s="394"/>
      <c r="K60" s="394"/>
      <c r="L60" s="406"/>
      <c r="M60" s="376"/>
    </row>
    <row r="61" spans="1:13" ht="12.75" hidden="1" customHeight="1">
      <c r="A61" s="386" t="s">
        <v>9</v>
      </c>
      <c r="B61" s="394">
        <v>10.3087</v>
      </c>
      <c r="C61" s="394">
        <v>19.1557</v>
      </c>
      <c r="D61" s="350">
        <v>0</v>
      </c>
      <c r="E61" s="394">
        <v>0.30860000000000004</v>
      </c>
      <c r="F61" s="394">
        <f>SUM(C61:E61)</f>
        <v>19.464299999999998</v>
      </c>
      <c r="G61" s="394">
        <v>12.0029</v>
      </c>
      <c r="H61" s="394">
        <v>5.4899999999999997E-2</v>
      </c>
      <c r="I61" s="394">
        <f>SUM(F61:H61,B61)</f>
        <v>41.830799999999996</v>
      </c>
      <c r="J61" s="394">
        <v>8.0000000000000002E-3</v>
      </c>
      <c r="K61" s="394">
        <v>9.9443999999999999</v>
      </c>
      <c r="L61" s="406">
        <f>SUM(I61:K61)</f>
        <v>51.783200000000001</v>
      </c>
      <c r="M61" s="376"/>
    </row>
    <row r="62" spans="1:13" ht="12.75" hidden="1" customHeight="1">
      <c r="A62" s="386"/>
      <c r="B62" s="394"/>
      <c r="C62" s="394"/>
      <c r="D62" s="350"/>
      <c r="E62" s="394"/>
      <c r="F62" s="394"/>
      <c r="G62" s="394"/>
      <c r="H62" s="394"/>
      <c r="I62" s="394"/>
      <c r="J62" s="394"/>
      <c r="K62" s="394"/>
      <c r="L62" s="406"/>
      <c r="M62" s="376"/>
    </row>
    <row r="63" spans="1:13" ht="12.75" hidden="1" customHeight="1">
      <c r="A63" s="386" t="s">
        <v>9</v>
      </c>
      <c r="B63" s="394">
        <v>10.769</v>
      </c>
      <c r="C63" s="394">
        <v>20.3504</v>
      </c>
      <c r="D63" s="350">
        <v>0</v>
      </c>
      <c r="E63" s="394">
        <v>0.31269999999999998</v>
      </c>
      <c r="F63" s="394">
        <f>SUM(C63:E63)</f>
        <v>20.6631</v>
      </c>
      <c r="G63" s="394">
        <v>11.9945</v>
      </c>
      <c r="H63" s="394">
        <v>5.4899999999999997E-2</v>
      </c>
      <c r="I63" s="394">
        <f>SUM(F63:H63,B63)</f>
        <v>43.481500000000004</v>
      </c>
      <c r="J63" s="394">
        <v>8.0000000000000002E-3</v>
      </c>
      <c r="K63" s="394">
        <v>10.1066</v>
      </c>
      <c r="L63" s="406">
        <f>SUM(I63:K63)</f>
        <v>53.596100000000007</v>
      </c>
      <c r="M63" s="376"/>
    </row>
    <row r="64" spans="1:13" ht="12.75" hidden="1" customHeight="1">
      <c r="A64" s="386"/>
      <c r="B64" s="394"/>
      <c r="C64" s="394"/>
      <c r="D64" s="350"/>
      <c r="E64" s="394"/>
      <c r="F64" s="394"/>
      <c r="G64" s="394"/>
      <c r="H64" s="394"/>
      <c r="I64" s="394"/>
      <c r="J64" s="394"/>
      <c r="K64" s="394"/>
      <c r="L64" s="406"/>
      <c r="M64" s="376"/>
    </row>
    <row r="65" spans="1:13" ht="12.75" hidden="1" customHeight="1">
      <c r="A65" s="386" t="s">
        <v>10</v>
      </c>
      <c r="B65" s="394">
        <v>11.706700000000001</v>
      </c>
      <c r="C65" s="394">
        <v>16.231200000000001</v>
      </c>
      <c r="D65" s="350">
        <v>0</v>
      </c>
      <c r="E65" s="394">
        <v>0.21380000000000002</v>
      </c>
      <c r="F65" s="394">
        <f>SUM(C65:E65)</f>
        <v>16.445</v>
      </c>
      <c r="G65" s="394">
        <v>11.7644</v>
      </c>
      <c r="H65" s="394">
        <v>0.30030000000000001</v>
      </c>
      <c r="I65" s="394">
        <f>SUM(F65:H65,B65)</f>
        <v>40.216400000000007</v>
      </c>
      <c r="J65" s="394">
        <v>8.0000000000000002E-3</v>
      </c>
      <c r="K65" s="394">
        <v>9.8207000000000004</v>
      </c>
      <c r="L65" s="406">
        <f>SUM(I65:K65)</f>
        <v>50.045100000000012</v>
      </c>
      <c r="M65" s="376"/>
    </row>
    <row r="66" spans="1:13" ht="12.75" hidden="1" customHeight="1">
      <c r="A66" s="386"/>
      <c r="B66" s="394"/>
      <c r="C66" s="394"/>
      <c r="D66" s="350"/>
      <c r="E66" s="394"/>
      <c r="F66" s="394"/>
      <c r="G66" s="394"/>
      <c r="H66" s="394"/>
      <c r="I66" s="394"/>
      <c r="J66" s="394"/>
      <c r="K66" s="394"/>
      <c r="L66" s="406"/>
      <c r="M66" s="376"/>
    </row>
    <row r="67" spans="1:13" ht="12.75" hidden="1" customHeight="1">
      <c r="A67" s="386" t="s">
        <v>11</v>
      </c>
      <c r="B67" s="394">
        <v>12.461200000000002</v>
      </c>
      <c r="C67" s="394">
        <v>17.686299999999999</v>
      </c>
      <c r="D67" s="350">
        <v>0</v>
      </c>
      <c r="E67" s="394">
        <v>0.36899999999999999</v>
      </c>
      <c r="F67" s="394">
        <f>SUM(C67:E67)</f>
        <v>18.055299999999999</v>
      </c>
      <c r="G67" s="394">
        <v>11.7897</v>
      </c>
      <c r="H67" s="394">
        <v>0.1303</v>
      </c>
      <c r="I67" s="394">
        <f>SUM(F67:H67,B67)</f>
        <v>42.436499999999995</v>
      </c>
      <c r="J67" s="394">
        <v>8.0000000000000002E-3</v>
      </c>
      <c r="K67" s="394">
        <v>12.174100000000001</v>
      </c>
      <c r="L67" s="406">
        <f>SUM(I67:K67)</f>
        <v>54.618600000000001</v>
      </c>
      <c r="M67" s="376"/>
    </row>
    <row r="68" spans="1:13" ht="12.75" hidden="1" customHeight="1">
      <c r="A68" s="386"/>
      <c r="B68" s="394">
        <v>0</v>
      </c>
      <c r="C68" s="394"/>
      <c r="D68" s="350"/>
      <c r="E68" s="394"/>
      <c r="F68" s="394"/>
      <c r="G68" s="394"/>
      <c r="H68" s="394"/>
      <c r="I68" s="394"/>
      <c r="J68" s="394"/>
      <c r="K68" s="394"/>
      <c r="L68" s="406"/>
      <c r="M68" s="376"/>
    </row>
    <row r="69" spans="1:13" ht="12.75" hidden="1" customHeight="1">
      <c r="A69" s="386" t="s">
        <v>337</v>
      </c>
      <c r="B69" s="394">
        <v>13.881</v>
      </c>
      <c r="C69" s="394">
        <v>16.1084</v>
      </c>
      <c r="D69" s="350">
        <v>0</v>
      </c>
      <c r="E69" s="394">
        <v>0.39779999999999999</v>
      </c>
      <c r="F69" s="394">
        <f>SUM(C69:E69)</f>
        <v>16.5062</v>
      </c>
      <c r="G69" s="394">
        <v>11.5327</v>
      </c>
      <c r="H69" s="394">
        <v>0.1381</v>
      </c>
      <c r="I69" s="394">
        <f>SUM(F69:H69,B69)</f>
        <v>42.058</v>
      </c>
      <c r="J69" s="394">
        <v>8.0000000000000002E-3</v>
      </c>
      <c r="K69" s="394">
        <v>11.934700000000001</v>
      </c>
      <c r="L69" s="406">
        <f>SUM(I69:K69)</f>
        <v>54.000700000000002</v>
      </c>
      <c r="M69" s="376"/>
    </row>
    <row r="70" spans="1:13" ht="12.75" hidden="1" customHeight="1">
      <c r="A70" s="386"/>
      <c r="B70" s="394"/>
      <c r="C70" s="394"/>
      <c r="D70" s="350"/>
      <c r="E70" s="394"/>
      <c r="F70" s="394"/>
      <c r="G70" s="394"/>
      <c r="H70" s="394"/>
      <c r="I70" s="394"/>
      <c r="J70" s="394"/>
      <c r="K70" s="394"/>
      <c r="L70" s="406"/>
      <c r="M70" s="376"/>
    </row>
    <row r="71" spans="1:13" ht="12.75" hidden="1" customHeight="1">
      <c r="A71" s="386" t="s">
        <v>346</v>
      </c>
      <c r="B71" s="394">
        <v>15.3988</v>
      </c>
      <c r="C71" s="394">
        <v>17.7027</v>
      </c>
      <c r="D71" s="350">
        <v>0</v>
      </c>
      <c r="E71" s="394">
        <v>0.58379999999999999</v>
      </c>
      <c r="F71" s="394">
        <f>SUM(C71:E71)</f>
        <v>18.2865</v>
      </c>
      <c r="G71" s="394">
        <v>11.5022</v>
      </c>
      <c r="H71" s="394">
        <v>0.13450000000000001</v>
      </c>
      <c r="I71" s="394">
        <f>SUM(F71:H71,B71)</f>
        <v>45.321999999999996</v>
      </c>
      <c r="J71" s="394">
        <v>8.0000000000000002E-3</v>
      </c>
      <c r="K71" s="394">
        <v>11.038500000000001</v>
      </c>
      <c r="L71" s="406">
        <f>SUM(I71:K71)</f>
        <v>56.368499999999997</v>
      </c>
      <c r="M71" s="376"/>
    </row>
    <row r="72" spans="1:13" ht="12.75" hidden="1" customHeight="1">
      <c r="A72" s="386"/>
      <c r="B72" s="394"/>
      <c r="C72" s="394"/>
      <c r="D72" s="350"/>
      <c r="E72" s="394"/>
      <c r="F72" s="394"/>
      <c r="G72" s="394"/>
      <c r="H72" s="394"/>
      <c r="I72" s="394"/>
      <c r="J72" s="394"/>
      <c r="K72" s="394"/>
      <c r="L72" s="406"/>
      <c r="M72" s="376"/>
    </row>
    <row r="73" spans="1:13" ht="12.75" hidden="1" customHeight="1">
      <c r="A73" s="386" t="s">
        <v>347</v>
      </c>
      <c r="B73" s="394">
        <v>17.391400000000001</v>
      </c>
      <c r="C73" s="394">
        <v>19.290800000000001</v>
      </c>
      <c r="D73" s="350">
        <v>0</v>
      </c>
      <c r="E73" s="394">
        <v>0.44769999999999999</v>
      </c>
      <c r="F73" s="394">
        <f>SUM(C73:E73)</f>
        <v>19.738500000000002</v>
      </c>
      <c r="G73" s="394">
        <v>12.378</v>
      </c>
      <c r="H73" s="394">
        <v>0.1318</v>
      </c>
      <c r="I73" s="394">
        <f>SUM(F73:H73,B73)</f>
        <v>49.639700000000005</v>
      </c>
      <c r="J73" s="394">
        <v>8.0000000000000002E-3</v>
      </c>
      <c r="K73" s="394">
        <v>10.869899999999999</v>
      </c>
      <c r="L73" s="406">
        <f>SUM(I73:K73)</f>
        <v>60.517600000000009</v>
      </c>
      <c r="M73" s="376"/>
    </row>
    <row r="74" spans="1:13" ht="12.75" hidden="1" customHeight="1">
      <c r="A74" s="386"/>
      <c r="B74" s="394"/>
      <c r="C74" s="394"/>
      <c r="D74" s="350"/>
      <c r="E74" s="394"/>
      <c r="F74" s="394"/>
      <c r="G74" s="394"/>
      <c r="H74" s="394"/>
      <c r="I74" s="394"/>
      <c r="J74" s="394"/>
      <c r="K74" s="394"/>
      <c r="L74" s="406"/>
      <c r="M74" s="376"/>
    </row>
    <row r="75" spans="1:13" ht="12.75" hidden="1" customHeight="1">
      <c r="A75" s="386" t="s">
        <v>12</v>
      </c>
      <c r="B75" s="394">
        <v>21.035299999999999</v>
      </c>
      <c r="C75" s="394">
        <v>21.813299999999998</v>
      </c>
      <c r="D75" s="350">
        <v>0</v>
      </c>
      <c r="E75" s="394">
        <v>0.3982</v>
      </c>
      <c r="F75" s="394">
        <f>SUM(C75:E75)</f>
        <v>22.211499999999997</v>
      </c>
      <c r="G75" s="394">
        <v>12.330399999999999</v>
      </c>
      <c r="H75" s="394">
        <v>0.18559999999999999</v>
      </c>
      <c r="I75" s="394">
        <f>SUM(F75:H75,B75)</f>
        <v>55.762799999999999</v>
      </c>
      <c r="J75" s="394">
        <v>8.0000000000000002E-3</v>
      </c>
      <c r="K75" s="394">
        <v>10.5306</v>
      </c>
      <c r="L75" s="406">
        <f>SUM(I75:K75)</f>
        <v>66.301400000000001</v>
      </c>
      <c r="M75" s="376"/>
    </row>
    <row r="76" spans="1:13" ht="12.75" hidden="1" customHeight="1">
      <c r="A76" s="386"/>
      <c r="B76" s="394"/>
      <c r="C76" s="394"/>
      <c r="D76" s="350"/>
      <c r="E76" s="394"/>
      <c r="F76" s="394"/>
      <c r="G76" s="394"/>
      <c r="H76" s="394"/>
      <c r="I76" s="394"/>
      <c r="J76" s="394"/>
      <c r="K76" s="394"/>
      <c r="L76" s="406"/>
      <c r="M76" s="376"/>
    </row>
    <row r="77" spans="1:13" ht="12.75" hidden="1" customHeight="1">
      <c r="A77" s="386" t="s">
        <v>13</v>
      </c>
      <c r="B77" s="394">
        <v>23.0108</v>
      </c>
      <c r="C77" s="394">
        <v>25.1206</v>
      </c>
      <c r="D77" s="350">
        <v>0</v>
      </c>
      <c r="E77" s="394">
        <v>0.3775</v>
      </c>
      <c r="F77" s="394">
        <f>SUM(C77:E77)</f>
        <v>25.498100000000001</v>
      </c>
      <c r="G77" s="394">
        <v>12.3385</v>
      </c>
      <c r="H77" s="394">
        <v>0.2591</v>
      </c>
      <c r="I77" s="394">
        <f>SUM(F77:H77,B77)</f>
        <v>61.106499999999997</v>
      </c>
      <c r="J77" s="394">
        <v>8.0000000000000002E-3</v>
      </c>
      <c r="K77" s="394">
        <v>11.872399999999999</v>
      </c>
      <c r="L77" s="406">
        <f>SUM(I77:K77)</f>
        <v>72.986899999999991</v>
      </c>
      <c r="M77" s="376"/>
    </row>
    <row r="78" spans="1:13" ht="12.75" hidden="1" customHeight="1">
      <c r="A78" s="386"/>
      <c r="B78" s="394"/>
      <c r="C78" s="394"/>
      <c r="D78" s="350"/>
      <c r="E78" s="394"/>
      <c r="F78" s="394"/>
      <c r="G78" s="394"/>
      <c r="H78" s="394"/>
      <c r="I78" s="394"/>
      <c r="J78" s="394"/>
      <c r="K78" s="394"/>
      <c r="L78" s="406"/>
      <c r="M78" s="376"/>
    </row>
    <row r="79" spans="1:13" ht="12.75" hidden="1" customHeight="1">
      <c r="A79" s="386" t="s">
        <v>14</v>
      </c>
      <c r="B79" s="394">
        <v>24.1843</v>
      </c>
      <c r="C79" s="394">
        <v>21.670200000000001</v>
      </c>
      <c r="D79" s="350">
        <v>0</v>
      </c>
      <c r="E79" s="394">
        <v>0.66749999999999998</v>
      </c>
      <c r="F79" s="394">
        <f>SUM(C79:E79)</f>
        <v>22.337700000000002</v>
      </c>
      <c r="G79" s="394">
        <v>12.078100000000001</v>
      </c>
      <c r="H79" s="394">
        <v>0.1646</v>
      </c>
      <c r="I79" s="394">
        <f>SUM(F79:H79,B79)</f>
        <v>58.764700000000005</v>
      </c>
      <c r="J79" s="394">
        <v>8.0000000000000002E-3</v>
      </c>
      <c r="K79" s="394">
        <v>11.9124</v>
      </c>
      <c r="L79" s="406">
        <f>SUM(I79:K79)</f>
        <v>70.685100000000006</v>
      </c>
      <c r="M79" s="376"/>
    </row>
    <row r="80" spans="1:13" ht="12.75" hidden="1" customHeight="1">
      <c r="A80" s="386"/>
      <c r="B80" s="394"/>
      <c r="C80" s="394"/>
      <c r="D80" s="350"/>
      <c r="E80" s="394"/>
      <c r="F80" s="394"/>
      <c r="G80" s="394"/>
      <c r="H80" s="394"/>
      <c r="I80" s="394"/>
      <c r="J80" s="394"/>
      <c r="K80" s="394"/>
      <c r="L80" s="406"/>
      <c r="M80" s="376"/>
    </row>
    <row r="81" spans="1:13" ht="12.75" hidden="1" customHeight="1">
      <c r="A81" s="386" t="s">
        <v>15</v>
      </c>
      <c r="B81" s="394">
        <v>28.148199999999999</v>
      </c>
      <c r="C81" s="394">
        <v>21.490599999999997</v>
      </c>
      <c r="D81" s="350">
        <v>0</v>
      </c>
      <c r="E81" s="394">
        <v>0.42980000000000002</v>
      </c>
      <c r="F81" s="394">
        <f>SUM(C81:E81)</f>
        <v>21.920399999999997</v>
      </c>
      <c r="G81" s="394">
        <v>10.125500000000001</v>
      </c>
      <c r="H81" s="394">
        <v>0.10829999999999999</v>
      </c>
      <c r="I81" s="394">
        <f>SUM(F81:H81,B81)</f>
        <v>60.302399999999992</v>
      </c>
      <c r="J81" s="394">
        <v>8.0000000000000002E-3</v>
      </c>
      <c r="K81" s="394">
        <v>11.404200000000001</v>
      </c>
      <c r="L81" s="406">
        <f>SUM(I81:K81)</f>
        <v>71.71459999999999</v>
      </c>
      <c r="M81" s="376"/>
    </row>
    <row r="82" spans="1:13" ht="12.75" hidden="1" customHeight="1">
      <c r="A82" s="386"/>
      <c r="B82" s="394"/>
      <c r="C82" s="394"/>
      <c r="D82" s="350"/>
      <c r="E82" s="394"/>
      <c r="F82" s="394"/>
      <c r="G82" s="394"/>
      <c r="H82" s="394"/>
      <c r="I82" s="394"/>
      <c r="J82" s="394"/>
      <c r="K82" s="394"/>
      <c r="L82" s="406"/>
      <c r="M82" s="376"/>
    </row>
    <row r="83" spans="1:13" ht="12.75" hidden="1" customHeight="1">
      <c r="A83" s="386" t="s">
        <v>16</v>
      </c>
      <c r="B83" s="394">
        <v>29.792999999999999</v>
      </c>
      <c r="C83" s="394">
        <v>24.426599999999997</v>
      </c>
      <c r="D83" s="350">
        <v>0</v>
      </c>
      <c r="E83" s="394">
        <v>0.4506</v>
      </c>
      <c r="F83" s="394">
        <f>SUM(C83:E83)</f>
        <v>24.877199999999998</v>
      </c>
      <c r="G83" s="394">
        <v>9.5346000000000011</v>
      </c>
      <c r="H83" s="394">
        <v>0.16900000000000001</v>
      </c>
      <c r="I83" s="394">
        <f>SUM(F83:H83,B83)</f>
        <v>64.373799999999989</v>
      </c>
      <c r="J83" s="394">
        <v>8.0000000000000002E-3</v>
      </c>
      <c r="K83" s="394">
        <v>13.0754</v>
      </c>
      <c r="L83" s="406">
        <f>SUM(I83:K83)</f>
        <v>77.457199999999986</v>
      </c>
      <c r="M83" s="376"/>
    </row>
    <row r="84" spans="1:13" ht="12.75" hidden="1" customHeight="1">
      <c r="A84" s="386"/>
      <c r="B84" s="394"/>
      <c r="C84" s="394"/>
      <c r="D84" s="350"/>
      <c r="E84" s="394"/>
      <c r="F84" s="394"/>
      <c r="G84" s="394"/>
      <c r="H84" s="394"/>
      <c r="I84" s="394"/>
      <c r="J84" s="394"/>
      <c r="K84" s="394"/>
      <c r="L84" s="406"/>
      <c r="M84" s="376"/>
    </row>
    <row r="85" spans="1:13" hidden="1">
      <c r="A85" s="410">
        <v>2002</v>
      </c>
      <c r="B85" s="394"/>
      <c r="C85" s="394"/>
      <c r="D85" s="350"/>
      <c r="E85" s="394"/>
      <c r="F85" s="394"/>
      <c r="G85" s="394"/>
      <c r="H85" s="394"/>
      <c r="J85" s="394"/>
      <c r="K85" s="394"/>
      <c r="L85" s="406"/>
      <c r="M85" s="376"/>
    </row>
    <row r="86" spans="1:13" ht="12.75" hidden="1" customHeight="1">
      <c r="A86" s="386"/>
      <c r="B86" s="394"/>
      <c r="C86" s="394"/>
      <c r="D86" s="350"/>
      <c r="E86" s="394"/>
      <c r="F86" s="394"/>
      <c r="G86" s="394"/>
      <c r="H86" s="394"/>
      <c r="I86" s="394"/>
      <c r="J86" s="394"/>
      <c r="K86" s="394"/>
      <c r="L86" s="406"/>
      <c r="M86" s="376"/>
    </row>
    <row r="87" spans="1:13" ht="12.75" hidden="1" customHeight="1">
      <c r="A87" s="386" t="s">
        <v>8</v>
      </c>
      <c r="B87" s="394">
        <v>28.406599999999997</v>
      </c>
      <c r="C87" s="394">
        <v>27.789000000000001</v>
      </c>
      <c r="D87" s="350">
        <v>0</v>
      </c>
      <c r="E87" s="394">
        <v>0.44239999999999996</v>
      </c>
      <c r="F87" s="394">
        <f>SUM(C87:E87)</f>
        <v>28.231400000000001</v>
      </c>
      <c r="G87" s="394">
        <v>10.682</v>
      </c>
      <c r="H87" s="394">
        <v>9.0400000000000008E-2</v>
      </c>
      <c r="I87" s="394">
        <f>SUM(F87:H87,B87)</f>
        <v>67.41040000000001</v>
      </c>
      <c r="J87" s="394">
        <v>8.0000000000000002E-3</v>
      </c>
      <c r="K87" s="394">
        <v>12.8102</v>
      </c>
      <c r="L87" s="406">
        <f>SUM(I87:K87)</f>
        <v>80.2286</v>
      </c>
      <c r="M87" s="376"/>
    </row>
    <row r="88" spans="1:13" ht="12.75" hidden="1" customHeight="1">
      <c r="A88" s="386"/>
      <c r="B88" s="394"/>
      <c r="C88" s="394"/>
      <c r="D88" s="350"/>
      <c r="E88" s="394"/>
      <c r="F88" s="394"/>
      <c r="G88" s="394"/>
      <c r="H88" s="394"/>
      <c r="I88" s="394"/>
      <c r="J88" s="394"/>
      <c r="K88" s="394"/>
      <c r="L88" s="406"/>
      <c r="M88" s="376"/>
    </row>
    <row r="89" spans="1:13" ht="12.75" hidden="1" customHeight="1">
      <c r="A89" s="386" t="s">
        <v>9</v>
      </c>
      <c r="B89" s="394">
        <v>30.6569</v>
      </c>
      <c r="C89" s="394">
        <v>20.460799999999999</v>
      </c>
      <c r="D89" s="350">
        <v>0</v>
      </c>
      <c r="E89" s="394">
        <v>0.44319999999999998</v>
      </c>
      <c r="F89" s="394">
        <f>SUM(C89:E89)</f>
        <v>20.904</v>
      </c>
      <c r="G89" s="394">
        <v>9.7645</v>
      </c>
      <c r="H89" s="394">
        <v>0.1265</v>
      </c>
      <c r="I89" s="394">
        <f>SUM(F89:H89,B89)</f>
        <v>61.451900000000002</v>
      </c>
      <c r="J89" s="394">
        <v>8.0000000000000002E-3</v>
      </c>
      <c r="K89" s="394">
        <v>13.448</v>
      </c>
      <c r="L89" s="406">
        <f>SUM(I89:K89)</f>
        <v>74.907900000000012</v>
      </c>
      <c r="M89" s="376"/>
    </row>
    <row r="90" spans="1:13" ht="12.75" hidden="1" customHeight="1">
      <c r="A90" s="386"/>
      <c r="B90" s="394"/>
      <c r="C90" s="394"/>
      <c r="D90" s="350"/>
      <c r="E90" s="394"/>
      <c r="F90" s="394"/>
      <c r="G90" s="394"/>
      <c r="H90" s="394"/>
      <c r="I90" s="394"/>
      <c r="J90" s="394"/>
      <c r="K90" s="394"/>
      <c r="L90" s="406"/>
      <c r="M90" s="376"/>
    </row>
    <row r="91" spans="1:13" ht="12.75" hidden="1" customHeight="1">
      <c r="A91" s="386" t="s">
        <v>10</v>
      </c>
      <c r="B91" s="394">
        <v>33.690599999999996</v>
      </c>
      <c r="C91" s="394">
        <v>14.6068</v>
      </c>
      <c r="D91" s="350">
        <v>0</v>
      </c>
      <c r="E91" s="394">
        <v>0.75270000000000004</v>
      </c>
      <c r="F91" s="394">
        <f>SUM(C91:E91)</f>
        <v>15.359500000000001</v>
      </c>
      <c r="G91" s="394">
        <v>10.319900000000001</v>
      </c>
      <c r="H91" s="394">
        <v>6.8099999999999994E-2</v>
      </c>
      <c r="I91" s="394">
        <f>SUM(F91:H91,B91)</f>
        <v>59.438099999999999</v>
      </c>
      <c r="J91" s="394">
        <v>8.0000000000000002E-3</v>
      </c>
      <c r="K91" s="394">
        <v>12.998700000000001</v>
      </c>
      <c r="L91" s="406">
        <f>SUM(I91:K91)</f>
        <v>72.444800000000001</v>
      </c>
      <c r="M91" s="376"/>
    </row>
    <row r="92" spans="1:13" ht="12.75" hidden="1" customHeight="1">
      <c r="A92" s="386"/>
      <c r="B92" s="394"/>
      <c r="C92" s="394"/>
      <c r="D92" s="350"/>
      <c r="E92" s="394"/>
      <c r="F92" s="394"/>
      <c r="G92" s="394"/>
      <c r="H92" s="394"/>
      <c r="I92" s="394"/>
      <c r="J92" s="394"/>
      <c r="K92" s="394"/>
      <c r="L92" s="406"/>
      <c r="M92" s="376"/>
    </row>
    <row r="93" spans="1:13" ht="12.75" hidden="1" customHeight="1">
      <c r="A93" s="386" t="s">
        <v>11</v>
      </c>
      <c r="B93" s="394">
        <v>34.630699999999997</v>
      </c>
      <c r="C93" s="394">
        <v>17.686299999999999</v>
      </c>
      <c r="D93" s="350">
        <v>0</v>
      </c>
      <c r="E93" s="394">
        <v>0.74239999999999995</v>
      </c>
      <c r="F93" s="394">
        <f>SUM(C93:E93)</f>
        <v>18.428699999999999</v>
      </c>
      <c r="G93" s="394">
        <v>10.414999999999999</v>
      </c>
      <c r="H93" s="394">
        <v>0.13869999999999999</v>
      </c>
      <c r="I93" s="394">
        <f>SUM(F93:H93,B93)</f>
        <v>63.613099999999996</v>
      </c>
      <c r="J93" s="394">
        <v>8.0000000000000002E-3</v>
      </c>
      <c r="K93" s="394">
        <v>7.9308000000000005</v>
      </c>
      <c r="L93" s="406">
        <f>SUM(I93:K93)</f>
        <v>71.551900000000003</v>
      </c>
      <c r="M93" s="376"/>
    </row>
    <row r="94" spans="1:13" ht="12.75" hidden="1" customHeight="1">
      <c r="A94" s="386"/>
      <c r="B94" s="394"/>
      <c r="C94" s="394"/>
      <c r="D94" s="350"/>
      <c r="E94" s="394"/>
      <c r="F94" s="394"/>
      <c r="G94" s="394"/>
      <c r="H94" s="394"/>
      <c r="I94" s="394"/>
      <c r="J94" s="394"/>
      <c r="K94" s="394"/>
      <c r="L94" s="406"/>
      <c r="M94" s="376"/>
    </row>
    <row r="95" spans="1:13" ht="12.75" hidden="1" customHeight="1">
      <c r="A95" s="386" t="s">
        <v>337</v>
      </c>
      <c r="B95" s="394">
        <v>37.631</v>
      </c>
      <c r="C95" s="394">
        <v>8.1104000000000003</v>
      </c>
      <c r="D95" s="350">
        <v>0</v>
      </c>
      <c r="E95" s="394">
        <v>0.54959999999999998</v>
      </c>
      <c r="F95" s="394">
        <f>SUM(C95:E95)</f>
        <v>8.66</v>
      </c>
      <c r="G95" s="394">
        <v>11.09</v>
      </c>
      <c r="H95" s="394">
        <v>0.1381</v>
      </c>
      <c r="I95" s="394">
        <f>SUM(F95:H95,B95)</f>
        <v>57.519100000000002</v>
      </c>
      <c r="J95" s="394">
        <v>8.0000000000000002E-3</v>
      </c>
      <c r="K95" s="394">
        <v>14.943200000000001</v>
      </c>
      <c r="L95" s="406">
        <f>SUM(I95:K95)</f>
        <v>72.470300000000009</v>
      </c>
      <c r="M95" s="376"/>
    </row>
    <row r="96" spans="1:13" ht="12.75" hidden="1" customHeight="1">
      <c r="A96" s="386"/>
      <c r="B96" s="394"/>
      <c r="C96" s="394"/>
      <c r="D96" s="350"/>
      <c r="E96" s="394"/>
      <c r="F96" s="394"/>
      <c r="G96" s="394"/>
      <c r="H96" s="394"/>
      <c r="I96" s="394"/>
      <c r="J96" s="394"/>
      <c r="K96" s="394"/>
      <c r="L96" s="406"/>
      <c r="M96" s="376"/>
    </row>
    <row r="97" spans="1:13" ht="12.75" hidden="1" customHeight="1">
      <c r="A97" s="386" t="s">
        <v>346</v>
      </c>
      <c r="B97" s="394">
        <v>44.483699999999999</v>
      </c>
      <c r="C97" s="394">
        <v>6.1173999999999999</v>
      </c>
      <c r="D97" s="350">
        <v>0</v>
      </c>
      <c r="E97" s="394">
        <v>0.87179999999999991</v>
      </c>
      <c r="F97" s="394">
        <f>SUM(C97:E97)</f>
        <v>6.9892000000000003</v>
      </c>
      <c r="G97" s="394">
        <v>10.473799999999999</v>
      </c>
      <c r="H97" s="394">
        <v>0.13450000000000001</v>
      </c>
      <c r="I97" s="394">
        <f>SUM(F97:H97,B97)</f>
        <v>62.081199999999995</v>
      </c>
      <c r="J97" s="394">
        <v>8.0000000000000002E-3</v>
      </c>
      <c r="K97" s="394">
        <v>18.0837</v>
      </c>
      <c r="L97" s="406">
        <f>SUM(I97:K97)</f>
        <v>80.172899999999998</v>
      </c>
      <c r="M97" s="376"/>
    </row>
    <row r="98" spans="1:13" ht="12.75" hidden="1" customHeight="1">
      <c r="A98" s="386"/>
      <c r="B98" s="394"/>
      <c r="C98" s="394"/>
      <c r="D98" s="350"/>
      <c r="E98" s="394"/>
      <c r="F98" s="394"/>
      <c r="G98" s="394"/>
      <c r="H98" s="394"/>
      <c r="I98" s="394"/>
      <c r="J98" s="394"/>
      <c r="K98" s="394"/>
      <c r="L98" s="406"/>
      <c r="M98" s="376"/>
    </row>
    <row r="99" spans="1:13" ht="12.75" hidden="1" customHeight="1">
      <c r="A99" s="386" t="s">
        <v>347</v>
      </c>
      <c r="B99" s="394">
        <v>48.9422</v>
      </c>
      <c r="C99" s="394">
        <v>8.3674999999999997</v>
      </c>
      <c r="D99" s="350">
        <v>0</v>
      </c>
      <c r="E99" s="394">
        <v>0.4093</v>
      </c>
      <c r="F99" s="394">
        <f>SUM(C99:E99)</f>
        <v>8.7767999999999997</v>
      </c>
      <c r="G99" s="394">
        <v>10.376799999999999</v>
      </c>
      <c r="H99" s="394">
        <v>-0.33</v>
      </c>
      <c r="I99" s="394">
        <f>SUM(F99:H99,B99)</f>
        <v>67.765799999999999</v>
      </c>
      <c r="J99" s="394">
        <v>8.0000000000000002E-3</v>
      </c>
      <c r="K99" s="394">
        <v>21.393799999999999</v>
      </c>
      <c r="L99" s="406">
        <f>SUM(I99:K99)</f>
        <v>89.167599999999993</v>
      </c>
      <c r="M99" s="376"/>
    </row>
    <row r="100" spans="1:13" ht="12.75" hidden="1" customHeight="1">
      <c r="A100" s="386"/>
      <c r="B100" s="394"/>
      <c r="C100" s="412"/>
      <c r="D100" s="350"/>
      <c r="E100" s="394"/>
      <c r="F100" s="394"/>
      <c r="G100" s="394"/>
      <c r="H100" s="394"/>
      <c r="I100" s="394"/>
      <c r="J100" s="394"/>
      <c r="K100" s="394"/>
      <c r="L100" s="406"/>
      <c r="M100" s="376"/>
    </row>
    <row r="101" spans="1:13" ht="12.75" hidden="1" customHeight="1">
      <c r="A101" s="386" t="s">
        <v>12</v>
      </c>
      <c r="B101" s="394">
        <v>56.207000000000001</v>
      </c>
      <c r="C101" s="394">
        <v>20.170099999999998</v>
      </c>
      <c r="D101" s="350">
        <v>0</v>
      </c>
      <c r="E101" s="394">
        <v>2.581</v>
      </c>
      <c r="F101" s="394">
        <f>SUM(C101:E101)</f>
        <v>22.751099999999997</v>
      </c>
      <c r="G101" s="394">
        <v>10.3614</v>
      </c>
      <c r="H101" s="394">
        <v>0.15240000000000001</v>
      </c>
      <c r="I101" s="394">
        <f>SUM(F101:H101,B101)</f>
        <v>89.471900000000005</v>
      </c>
      <c r="J101" s="394">
        <v>8.0000000000000002E-3</v>
      </c>
      <c r="K101" s="394">
        <v>20.345700000000001</v>
      </c>
      <c r="L101" s="406">
        <f>SUM(I101:K101)</f>
        <v>109.82560000000001</v>
      </c>
      <c r="M101" s="376"/>
    </row>
    <row r="102" spans="1:13" ht="12.75" hidden="1" customHeight="1">
      <c r="A102" s="386"/>
      <c r="B102" s="394"/>
      <c r="C102" s="394"/>
      <c r="D102" s="350"/>
      <c r="E102" s="394"/>
      <c r="F102" s="394"/>
      <c r="G102" s="394"/>
      <c r="H102" s="394"/>
      <c r="I102" s="394"/>
      <c r="J102" s="394"/>
      <c r="K102" s="394"/>
      <c r="L102" s="406"/>
      <c r="M102" s="376"/>
    </row>
    <row r="103" spans="1:13" ht="12.75" hidden="1" customHeight="1">
      <c r="A103" s="386" t="s">
        <v>13</v>
      </c>
      <c r="B103" s="394">
        <v>60.483499999999999</v>
      </c>
      <c r="C103" s="394">
        <v>31.555400000000002</v>
      </c>
      <c r="D103" s="350">
        <v>0</v>
      </c>
      <c r="E103" s="394">
        <v>7.6896000000000004</v>
      </c>
      <c r="F103" s="394">
        <f>SUM(C103:E103)</f>
        <v>39.245000000000005</v>
      </c>
      <c r="G103" s="394">
        <v>10.1386</v>
      </c>
      <c r="H103" s="394">
        <v>9.6000000000000002E-2</v>
      </c>
      <c r="I103" s="394">
        <f>SUM(F103:H103,B103)</f>
        <v>109.9631</v>
      </c>
      <c r="J103" s="394">
        <v>8.0000000000000002E-3</v>
      </c>
      <c r="K103" s="394">
        <v>15.939500000000001</v>
      </c>
      <c r="L103" s="406">
        <f>SUM(I103:K103)</f>
        <v>125.91059999999999</v>
      </c>
      <c r="M103" s="376"/>
    </row>
    <row r="104" spans="1:13" ht="12.75" hidden="1" customHeight="1">
      <c r="A104" s="386"/>
      <c r="B104" s="394"/>
      <c r="C104" s="394"/>
      <c r="D104" s="350"/>
      <c r="E104" s="394"/>
      <c r="F104" s="394"/>
      <c r="G104" s="394"/>
      <c r="H104" s="394"/>
      <c r="I104" s="394"/>
      <c r="J104" s="394"/>
      <c r="K104" s="394"/>
      <c r="L104" s="406"/>
      <c r="M104" s="376"/>
    </row>
    <row r="105" spans="1:13" ht="12.75" hidden="1" customHeight="1">
      <c r="A105" s="386" t="s">
        <v>14</v>
      </c>
      <c r="B105" s="394">
        <v>72.4499</v>
      </c>
      <c r="C105" s="394">
        <v>35.434100000000001</v>
      </c>
      <c r="D105" s="350">
        <v>0</v>
      </c>
      <c r="E105" s="394">
        <v>2.7078000000000002</v>
      </c>
      <c r="F105" s="394">
        <f>SUM(C105:E105)</f>
        <v>38.1419</v>
      </c>
      <c r="G105" s="394">
        <v>10.1919</v>
      </c>
      <c r="H105" s="394">
        <v>0.40560000000000002</v>
      </c>
      <c r="I105" s="394">
        <f>SUM(F105:H105,B105)</f>
        <v>121.1893</v>
      </c>
      <c r="J105" s="394">
        <v>8.0000000000000002E-3</v>
      </c>
      <c r="K105" s="394">
        <v>22.448799999999999</v>
      </c>
      <c r="L105" s="406">
        <f>SUM(I105:K105)</f>
        <v>143.64609999999999</v>
      </c>
      <c r="M105" s="376"/>
    </row>
    <row r="106" spans="1:13" ht="12.75" hidden="1" customHeight="1">
      <c r="A106" s="386"/>
      <c r="B106" s="394"/>
      <c r="C106" s="394"/>
      <c r="D106" s="350"/>
      <c r="E106" s="394"/>
      <c r="F106" s="394"/>
      <c r="G106" s="394"/>
      <c r="H106" s="394"/>
      <c r="I106" s="394"/>
      <c r="J106" s="394"/>
      <c r="K106" s="394"/>
      <c r="L106" s="406"/>
      <c r="M106" s="376"/>
    </row>
    <row r="107" spans="1:13" ht="12.75" hidden="1" customHeight="1">
      <c r="A107" s="386" t="s">
        <v>15</v>
      </c>
      <c r="B107" s="394">
        <v>89.286199999999994</v>
      </c>
      <c r="C107" s="394">
        <v>36.655199999999994</v>
      </c>
      <c r="D107" s="350">
        <v>0</v>
      </c>
      <c r="E107" s="394">
        <v>3.0038</v>
      </c>
      <c r="F107" s="394">
        <f>SUM(C107:E107)</f>
        <v>39.658999999999992</v>
      </c>
      <c r="G107" s="394">
        <v>10.506399999999999</v>
      </c>
      <c r="H107" s="394">
        <v>0.4103</v>
      </c>
      <c r="I107" s="394">
        <f>SUM(F107:H107,B107)</f>
        <v>139.86189999999999</v>
      </c>
      <c r="J107" s="394">
        <v>8.0000000000000002E-3</v>
      </c>
      <c r="K107" s="394">
        <v>22.448700000000002</v>
      </c>
      <c r="L107" s="406">
        <f>SUM(I107:K107)</f>
        <v>162.3186</v>
      </c>
      <c r="M107" s="376"/>
    </row>
    <row r="108" spans="1:13" ht="12.75" hidden="1" customHeight="1">
      <c r="A108" s="386"/>
      <c r="B108" s="394"/>
      <c r="C108" s="394"/>
      <c r="D108" s="350"/>
      <c r="E108" s="394"/>
      <c r="F108" s="394"/>
      <c r="G108" s="394"/>
      <c r="H108" s="394"/>
      <c r="I108" s="394"/>
      <c r="J108" s="394"/>
      <c r="K108" s="394"/>
      <c r="L108" s="406"/>
      <c r="M108" s="376"/>
    </row>
    <row r="109" spans="1:13" ht="12.75" hidden="1" customHeight="1">
      <c r="A109" s="386" t="s">
        <v>16</v>
      </c>
      <c r="B109" s="394">
        <v>95.823800000000006</v>
      </c>
      <c r="C109" s="394">
        <v>50.840300000000006</v>
      </c>
      <c r="D109" s="350">
        <v>0</v>
      </c>
      <c r="E109" s="394">
        <v>1.5832999999999999</v>
      </c>
      <c r="F109" s="394">
        <v>52423.6</v>
      </c>
      <c r="G109" s="394">
        <v>11.132400000000001</v>
      </c>
      <c r="H109" s="394">
        <v>0.16869999999999999</v>
      </c>
      <c r="I109" s="394">
        <v>159548.5</v>
      </c>
      <c r="J109" s="394">
        <v>8.0000000000000002E-3</v>
      </c>
      <c r="K109" s="394">
        <v>23.296700000000001</v>
      </c>
      <c r="L109" s="406">
        <f>SUM(I109:K109)</f>
        <v>159571.80470000001</v>
      </c>
      <c r="M109" s="376"/>
    </row>
    <row r="110" spans="1:13" ht="12.75" hidden="1" customHeight="1">
      <c r="A110" s="386"/>
      <c r="B110" s="394"/>
      <c r="C110" s="394"/>
      <c r="D110" s="350"/>
      <c r="E110" s="394"/>
      <c r="F110" s="394"/>
      <c r="G110" s="394"/>
      <c r="H110" s="394"/>
      <c r="I110" s="394"/>
      <c r="J110" s="394"/>
      <c r="K110" s="394"/>
      <c r="L110" s="406"/>
      <c r="M110" s="376"/>
    </row>
    <row r="111" spans="1:13" hidden="1">
      <c r="A111" s="410">
        <v>2003</v>
      </c>
      <c r="B111" s="394"/>
      <c r="C111" s="394"/>
      <c r="D111" s="350"/>
      <c r="E111" s="394"/>
      <c r="F111" s="394"/>
      <c r="G111" s="394"/>
      <c r="I111" s="394"/>
      <c r="J111" s="394"/>
      <c r="K111" s="394"/>
      <c r="L111" s="406"/>
      <c r="M111" s="376"/>
    </row>
    <row r="112" spans="1:13" ht="12.75" hidden="1" customHeight="1">
      <c r="A112" s="386"/>
      <c r="B112" s="394"/>
      <c r="C112" s="394"/>
      <c r="D112" s="350"/>
      <c r="E112" s="394"/>
      <c r="F112" s="394"/>
      <c r="G112" s="394"/>
      <c r="H112" s="394"/>
      <c r="I112" s="394"/>
      <c r="J112" s="394"/>
      <c r="K112" s="394"/>
      <c r="L112" s="406"/>
      <c r="M112" s="376"/>
    </row>
    <row r="113" spans="1:13" ht="12.75" hidden="1" customHeight="1">
      <c r="A113" s="386" t="s">
        <v>8</v>
      </c>
      <c r="B113" s="394">
        <v>96.147600000000011</v>
      </c>
      <c r="C113" s="394">
        <v>56.907300000000006</v>
      </c>
      <c r="D113" s="394">
        <v>0</v>
      </c>
      <c r="E113" s="394">
        <v>4.2264999999999997</v>
      </c>
      <c r="F113" s="394">
        <f>SUM(C113:E113)</f>
        <v>61.133800000000008</v>
      </c>
      <c r="G113" s="394">
        <v>48.760100000000001</v>
      </c>
      <c r="H113" s="394">
        <v>2.8999999999999998E-3</v>
      </c>
      <c r="I113" s="394">
        <f>SUM(F113:H113,B113)</f>
        <v>206.0444</v>
      </c>
      <c r="J113" s="394">
        <v>8.0000000000000002E-3</v>
      </c>
      <c r="K113" s="394">
        <v>-7.7376000000000005</v>
      </c>
      <c r="L113" s="406">
        <f>SUM(I113:K113)</f>
        <v>198.31479999999999</v>
      </c>
      <c r="M113" s="376"/>
    </row>
    <row r="114" spans="1:13" ht="12.75" hidden="1" customHeight="1">
      <c r="A114" s="386"/>
      <c r="B114" s="394"/>
      <c r="C114" s="394"/>
      <c r="D114" s="350"/>
      <c r="E114" s="394"/>
      <c r="F114" s="394"/>
      <c r="G114" s="394"/>
      <c r="H114" s="394"/>
      <c r="I114" s="394"/>
      <c r="J114" s="394"/>
      <c r="K114" s="394"/>
      <c r="L114" s="406"/>
      <c r="M114" s="376"/>
    </row>
    <row r="115" spans="1:13" ht="12.75" hidden="1" customHeight="1">
      <c r="A115" s="386" t="s">
        <v>9</v>
      </c>
      <c r="B115" s="394">
        <v>101.012</v>
      </c>
      <c r="C115" s="394">
        <v>69.917100000000005</v>
      </c>
      <c r="D115" s="394">
        <v>0</v>
      </c>
      <c r="E115" s="394">
        <v>4.6143999999999998</v>
      </c>
      <c r="F115" s="394">
        <f>SUM(C115:E115)</f>
        <v>74.531500000000008</v>
      </c>
      <c r="G115" s="394">
        <v>48.770499999999998</v>
      </c>
      <c r="H115" s="394">
        <v>0.50719999999999998</v>
      </c>
      <c r="I115" s="394">
        <f>SUM(F115:H115,B115)</f>
        <v>224.8212</v>
      </c>
      <c r="J115" s="394">
        <v>8.0000000000000002E-3</v>
      </c>
      <c r="K115" s="394">
        <v>-1.9312</v>
      </c>
      <c r="L115" s="406">
        <f>SUM(I115:K115)</f>
        <v>222.89800000000002</v>
      </c>
      <c r="M115" s="376"/>
    </row>
    <row r="116" spans="1:13" ht="12.75" hidden="1" customHeight="1">
      <c r="A116" s="386"/>
      <c r="B116" s="394"/>
      <c r="C116" s="394"/>
      <c r="D116" s="350"/>
      <c r="E116" s="394"/>
      <c r="F116" s="394"/>
      <c r="G116" s="394"/>
      <c r="H116" s="394"/>
      <c r="I116" s="394"/>
      <c r="J116" s="394"/>
      <c r="K116" s="394"/>
      <c r="L116" s="406"/>
      <c r="M116" s="376"/>
    </row>
    <row r="117" spans="1:13" ht="12.75" hidden="1" customHeight="1">
      <c r="A117" s="386" t="s">
        <v>10</v>
      </c>
      <c r="B117" s="394">
        <v>107.15</v>
      </c>
      <c r="C117" s="394">
        <v>82.08489999999999</v>
      </c>
      <c r="D117" s="394">
        <v>0</v>
      </c>
      <c r="E117" s="394">
        <v>4.5937000000000001</v>
      </c>
      <c r="F117" s="394">
        <v>86678.6</v>
      </c>
      <c r="G117" s="394">
        <v>59.375800000000005</v>
      </c>
      <c r="H117" s="394">
        <v>0.57740000000000002</v>
      </c>
      <c r="I117" s="394">
        <f>SUM(F117:H117,B117)</f>
        <v>86845.703199999989</v>
      </c>
      <c r="J117" s="394">
        <v>8.0000000000000002E-3</v>
      </c>
      <c r="K117" s="394">
        <v>22.6023</v>
      </c>
      <c r="L117" s="406">
        <f>SUM(I117:K117)</f>
        <v>86868.313499999989</v>
      </c>
      <c r="M117" s="376"/>
    </row>
    <row r="118" spans="1:13" ht="12.75" hidden="1" customHeight="1">
      <c r="A118" s="386"/>
      <c r="B118" s="394"/>
      <c r="C118" s="394"/>
      <c r="D118" s="350"/>
      <c r="E118" s="394"/>
      <c r="F118" s="394"/>
      <c r="G118" s="394"/>
      <c r="H118" s="394"/>
      <c r="I118" s="394"/>
      <c r="J118" s="394"/>
      <c r="K118" s="394"/>
      <c r="L118" s="406"/>
      <c r="M118" s="376"/>
    </row>
    <row r="119" spans="1:13" ht="12.75" hidden="1" customHeight="1">
      <c r="A119" s="386" t="s">
        <v>11</v>
      </c>
      <c r="B119" s="394">
        <v>121.5916</v>
      </c>
      <c r="C119" s="394">
        <v>70.565699999999993</v>
      </c>
      <c r="D119" s="394">
        <v>0</v>
      </c>
      <c r="E119" s="394">
        <v>5.6341000000000001</v>
      </c>
      <c r="F119" s="394">
        <v>76199.8</v>
      </c>
      <c r="G119" s="394">
        <v>201.33179999999999</v>
      </c>
      <c r="H119" s="394">
        <v>0.51719999999999999</v>
      </c>
      <c r="I119" s="394">
        <f>SUM(F119:H119,B119)</f>
        <v>76523.240600000005</v>
      </c>
      <c r="J119" s="394">
        <v>8.0000000000000002E-3</v>
      </c>
      <c r="K119" s="394">
        <v>38.724400000000003</v>
      </c>
      <c r="L119" s="406">
        <f>SUM(I119:K119)</f>
        <v>76561.973000000013</v>
      </c>
      <c r="M119" s="376"/>
    </row>
    <row r="120" spans="1:13" ht="12.75" hidden="1" customHeight="1">
      <c r="A120" s="386"/>
      <c r="B120" s="394"/>
      <c r="C120" s="394">
        <v>0</v>
      </c>
      <c r="D120" s="350"/>
      <c r="E120" s="394"/>
      <c r="F120" s="394"/>
      <c r="G120" s="394"/>
      <c r="H120" s="394"/>
      <c r="I120" s="394"/>
      <c r="J120" s="394"/>
      <c r="K120" s="394"/>
      <c r="L120" s="406"/>
      <c r="M120" s="376"/>
    </row>
    <row r="121" spans="1:13" ht="12.75" hidden="1" customHeight="1">
      <c r="A121" s="386" t="s">
        <v>337</v>
      </c>
      <c r="B121" s="394">
        <v>137.72529999999998</v>
      </c>
      <c r="C121" s="394">
        <v>89.864100000000008</v>
      </c>
      <c r="D121" s="394">
        <v>0</v>
      </c>
      <c r="E121" s="394">
        <v>5.8263999999999996</v>
      </c>
      <c r="F121" s="394">
        <v>95690.5</v>
      </c>
      <c r="G121" s="394">
        <v>183.8818</v>
      </c>
      <c r="H121" s="394">
        <v>1.6531</v>
      </c>
      <c r="I121" s="394">
        <f>SUM(F121:H121,B121)</f>
        <v>96013.760200000004</v>
      </c>
      <c r="J121" s="394">
        <v>8.0000000000000002E-3</v>
      </c>
      <c r="K121" s="394">
        <v>96.194800000000001</v>
      </c>
      <c r="L121" s="406">
        <f>SUM(I121:K121)</f>
        <v>96109.963000000003</v>
      </c>
      <c r="M121" s="376"/>
    </row>
    <row r="122" spans="1:13" ht="12.75" hidden="1" customHeight="1">
      <c r="A122" s="386"/>
      <c r="B122" s="394"/>
      <c r="C122" s="394"/>
      <c r="D122" s="350"/>
      <c r="E122" s="394"/>
      <c r="F122" s="394"/>
      <c r="G122" s="394"/>
      <c r="H122" s="394"/>
      <c r="I122" s="391"/>
      <c r="J122" s="394"/>
      <c r="K122" s="394"/>
      <c r="L122" s="406"/>
      <c r="M122" s="376"/>
    </row>
    <row r="123" spans="1:13" ht="12.75" hidden="1" customHeight="1">
      <c r="A123" s="386" t="s">
        <v>346</v>
      </c>
      <c r="B123" s="394">
        <v>149.68970000000002</v>
      </c>
      <c r="C123" s="394">
        <v>1076.9395</v>
      </c>
      <c r="D123" s="394">
        <v>0</v>
      </c>
      <c r="E123" s="394">
        <v>4.4136999999999995</v>
      </c>
      <c r="F123" s="394">
        <v>112053.2</v>
      </c>
      <c r="G123" s="394">
        <v>178.53790000000001</v>
      </c>
      <c r="H123" s="394">
        <v>3.1300000000000001E-2</v>
      </c>
      <c r="I123" s="394">
        <f>SUM(F123:H123,B123)</f>
        <v>112381.4589</v>
      </c>
      <c r="J123" s="394">
        <v>8.0000000000000002E-3</v>
      </c>
      <c r="K123" s="394">
        <v>128.8528</v>
      </c>
      <c r="L123" s="406">
        <f>SUM(I123:K123)</f>
        <v>112510.31969999999</v>
      </c>
      <c r="M123" s="376"/>
    </row>
    <row r="124" spans="1:13" ht="12.75" hidden="1" customHeight="1">
      <c r="A124" s="386"/>
      <c r="B124" s="394"/>
      <c r="C124" s="394"/>
      <c r="D124" s="350"/>
      <c r="E124" s="394"/>
      <c r="F124" s="394"/>
      <c r="G124" s="394"/>
      <c r="H124" s="394"/>
      <c r="I124" s="394"/>
      <c r="J124" s="394"/>
      <c r="K124" s="394"/>
      <c r="L124" s="406"/>
      <c r="M124" s="376"/>
    </row>
    <row r="125" spans="1:13" ht="12.75" hidden="1" customHeight="1">
      <c r="A125" s="410">
        <v>2003</v>
      </c>
      <c r="B125" s="394"/>
      <c r="C125" s="394"/>
      <c r="D125" s="350"/>
      <c r="E125" s="394"/>
      <c r="F125" s="394"/>
      <c r="G125" s="394"/>
      <c r="H125" s="394"/>
      <c r="I125" s="394"/>
      <c r="J125" s="394"/>
      <c r="K125" s="394"/>
      <c r="L125" s="406"/>
      <c r="M125" s="376"/>
    </row>
    <row r="126" spans="1:13" ht="12.75" hidden="1" customHeight="1">
      <c r="A126" s="386"/>
      <c r="B126" s="394"/>
      <c r="C126" s="394">
        <v>0</v>
      </c>
      <c r="D126" s="350"/>
      <c r="E126" s="394"/>
      <c r="F126" s="394"/>
      <c r="G126" s="394"/>
      <c r="H126" s="394"/>
      <c r="I126" s="394"/>
      <c r="J126" s="394"/>
      <c r="K126" s="394"/>
      <c r="L126" s="406"/>
      <c r="M126" s="376"/>
    </row>
    <row r="127" spans="1:13" hidden="1">
      <c r="A127" s="386" t="s">
        <v>347</v>
      </c>
      <c r="B127" s="394">
        <v>163.92229999999998</v>
      </c>
      <c r="C127" s="394">
        <v>101.7878</v>
      </c>
      <c r="D127" s="394">
        <v>0</v>
      </c>
      <c r="E127" s="394">
        <v>4.9948999999999995</v>
      </c>
      <c r="F127" s="394">
        <v>106782.7</v>
      </c>
      <c r="G127" s="394">
        <v>199.28320000000002</v>
      </c>
      <c r="H127" s="394">
        <v>2.1100000000000001E-2</v>
      </c>
      <c r="I127" s="394">
        <f>SUM(F127:H127,B127)</f>
        <v>107145.92660000001</v>
      </c>
      <c r="J127" s="394">
        <v>8.0000000000000002E-3</v>
      </c>
      <c r="K127" s="394">
        <v>111.0107</v>
      </c>
      <c r="L127" s="406">
        <f>SUM(I127:K127)</f>
        <v>107256.94530000001</v>
      </c>
      <c r="M127" s="376"/>
    </row>
    <row r="128" spans="1:13" hidden="1">
      <c r="A128" s="386"/>
      <c r="B128" s="394"/>
      <c r="C128" s="394"/>
      <c r="D128" s="350"/>
      <c r="E128" s="394"/>
      <c r="F128" s="394"/>
      <c r="G128" s="394"/>
      <c r="H128" s="394"/>
      <c r="I128" s="394"/>
      <c r="J128" s="394">
        <v>0</v>
      </c>
      <c r="K128" s="394">
        <v>0</v>
      </c>
      <c r="L128" s="406"/>
      <c r="M128" s="376"/>
    </row>
    <row r="129" spans="1:13" hidden="1">
      <c r="A129" s="386" t="s">
        <v>12</v>
      </c>
      <c r="B129" s="394">
        <v>189.154</v>
      </c>
      <c r="C129" s="394">
        <v>156.7466</v>
      </c>
      <c r="D129" s="394">
        <v>0</v>
      </c>
      <c r="E129" s="394">
        <v>5.8353999999999999</v>
      </c>
      <c r="F129" s="394">
        <v>162582</v>
      </c>
      <c r="G129" s="394">
        <v>200.8408</v>
      </c>
      <c r="H129" s="394">
        <v>2.9100000000000001E-2</v>
      </c>
      <c r="I129" s="394">
        <f>SUM(F129:H129,B129)</f>
        <v>162972.02390000003</v>
      </c>
      <c r="J129" s="394">
        <v>8.0000000000000002E-3</v>
      </c>
      <c r="K129" s="394">
        <v>105.3918</v>
      </c>
      <c r="L129" s="406">
        <f>SUM(I129:K129)</f>
        <v>163077.42370000004</v>
      </c>
      <c r="M129" s="376"/>
    </row>
    <row r="130" spans="1:13" hidden="1">
      <c r="A130" s="386"/>
      <c r="B130" s="394"/>
      <c r="C130" s="394"/>
      <c r="D130" s="350"/>
      <c r="E130" s="394"/>
      <c r="F130" s="394"/>
      <c r="G130" s="394"/>
      <c r="H130" s="394"/>
      <c r="I130" s="394"/>
      <c r="J130" s="394"/>
      <c r="K130" s="394"/>
      <c r="L130" s="406"/>
      <c r="M130" s="376"/>
    </row>
    <row r="131" spans="1:13" hidden="1">
      <c r="A131" s="386" t="s">
        <v>13</v>
      </c>
      <c r="B131" s="394">
        <v>277.07890000000003</v>
      </c>
      <c r="C131" s="394">
        <v>174.2955</v>
      </c>
      <c r="D131" s="394">
        <v>0</v>
      </c>
      <c r="E131" s="394">
        <v>4.2237999999999998</v>
      </c>
      <c r="F131" s="394">
        <v>178519.3</v>
      </c>
      <c r="G131" s="394">
        <v>211.01839999999999</v>
      </c>
      <c r="H131" s="394">
        <v>3.1199999999999999E-2</v>
      </c>
      <c r="I131" s="394">
        <f>SUM(F131:H131,B131)</f>
        <v>179007.42849999998</v>
      </c>
      <c r="J131" s="394">
        <v>8.0000000000000002E-3</v>
      </c>
      <c r="K131" s="394">
        <v>143.06909999999999</v>
      </c>
      <c r="L131" s="406">
        <f>SUM(I131:K131)</f>
        <v>179150.50559999997</v>
      </c>
      <c r="M131" s="376"/>
    </row>
    <row r="132" spans="1:13" hidden="1">
      <c r="A132" s="386"/>
      <c r="B132" s="394"/>
      <c r="C132" s="394"/>
      <c r="D132" s="350"/>
      <c r="E132" s="394"/>
      <c r="F132" s="394"/>
      <c r="G132" s="394"/>
      <c r="H132" s="394"/>
      <c r="I132" s="394"/>
      <c r="J132" s="394"/>
      <c r="K132" s="394"/>
      <c r="L132" s="406"/>
      <c r="M132" s="376"/>
    </row>
    <row r="133" spans="1:13" hidden="1">
      <c r="A133" s="386" t="s">
        <v>14</v>
      </c>
      <c r="B133" s="394">
        <v>388.87620000000004</v>
      </c>
      <c r="C133" s="394">
        <v>195.38910000000001</v>
      </c>
      <c r="D133" s="394">
        <v>0</v>
      </c>
      <c r="E133" s="394">
        <v>4.6243999999999996</v>
      </c>
      <c r="F133" s="394">
        <v>200013.5</v>
      </c>
      <c r="G133" s="394">
        <v>235.59789999999998</v>
      </c>
      <c r="H133" s="394">
        <v>3.8600000000000002E-2</v>
      </c>
      <c r="I133" s="394">
        <v>824526.2</v>
      </c>
      <c r="J133" s="394">
        <v>8.0000000000000002E-3</v>
      </c>
      <c r="K133" s="394">
        <v>134.19129999999998</v>
      </c>
      <c r="L133" s="406">
        <f>SUM(I133:K133)</f>
        <v>824660.39929999993</v>
      </c>
      <c r="M133" s="376"/>
    </row>
    <row r="134" spans="1:13" hidden="1">
      <c r="A134" s="386"/>
      <c r="B134" s="394"/>
      <c r="C134" s="394"/>
      <c r="D134" s="350"/>
      <c r="E134" s="394"/>
      <c r="F134" s="394"/>
      <c r="G134" s="394"/>
      <c r="H134" s="394"/>
      <c r="I134" s="394"/>
      <c r="J134" s="394"/>
      <c r="K134" s="394"/>
      <c r="L134" s="406"/>
      <c r="M134" s="376"/>
    </row>
    <row r="135" spans="1:13" hidden="1">
      <c r="A135" s="386" t="s">
        <v>15</v>
      </c>
      <c r="B135" s="394">
        <v>541.35350000000005</v>
      </c>
      <c r="C135" s="394">
        <v>169.78270000000001</v>
      </c>
      <c r="D135" s="394">
        <v>0</v>
      </c>
      <c r="E135" s="394">
        <v>6.5423</v>
      </c>
      <c r="F135" s="394">
        <v>176325</v>
      </c>
      <c r="G135" s="394">
        <v>328.13819999999998</v>
      </c>
      <c r="H135" s="394">
        <v>0.4103</v>
      </c>
      <c r="I135" s="394">
        <v>1046227</v>
      </c>
      <c r="J135" s="394">
        <v>8.0000000000000002E-3</v>
      </c>
      <c r="K135" s="394">
        <v>125.5797</v>
      </c>
      <c r="L135" s="406">
        <f>SUM(I135:K135)</f>
        <v>1046352.5877</v>
      </c>
      <c r="M135" s="376"/>
    </row>
    <row r="136" spans="1:13" hidden="1">
      <c r="A136" s="386"/>
      <c r="B136" s="394"/>
      <c r="C136" s="394"/>
      <c r="D136" s="350"/>
      <c r="E136" s="394"/>
      <c r="F136" s="394"/>
      <c r="G136" s="394"/>
      <c r="H136" s="394"/>
      <c r="I136" s="394"/>
      <c r="J136" s="394"/>
      <c r="K136" s="394"/>
      <c r="L136" s="406"/>
      <c r="M136" s="376"/>
    </row>
    <row r="137" spans="1:13" hidden="1">
      <c r="A137" s="386" t="s">
        <v>16</v>
      </c>
      <c r="B137" s="394">
        <v>538.56080000000009</v>
      </c>
      <c r="C137" s="394">
        <v>186.4462</v>
      </c>
      <c r="D137" s="394">
        <v>0</v>
      </c>
      <c r="E137" s="394">
        <v>8.5416000000000007</v>
      </c>
      <c r="F137" s="394">
        <v>194987.8</v>
      </c>
      <c r="G137" s="394">
        <v>241.27289999999999</v>
      </c>
      <c r="H137" s="394">
        <v>4.24E-2</v>
      </c>
      <c r="I137" s="394">
        <v>974863.9</v>
      </c>
      <c r="J137" s="394">
        <v>8.0000000000000002E-3</v>
      </c>
      <c r="K137" s="394">
        <v>216.85900000000001</v>
      </c>
      <c r="L137" s="406">
        <f>SUM(I137:K137)</f>
        <v>975080.76700000011</v>
      </c>
      <c r="M137" s="376"/>
    </row>
    <row r="138" spans="1:13" hidden="1">
      <c r="A138" s="386"/>
      <c r="B138" s="394"/>
      <c r="C138" s="394"/>
      <c r="D138" s="394">
        <v>0</v>
      </c>
      <c r="E138" s="394"/>
      <c r="F138" s="394"/>
      <c r="G138" s="394"/>
      <c r="H138" s="394"/>
      <c r="I138" s="394"/>
      <c r="J138" s="394"/>
      <c r="K138" s="394"/>
      <c r="L138" s="406"/>
      <c r="M138" s="376"/>
    </row>
    <row r="139" spans="1:13" hidden="1">
      <c r="A139" s="410">
        <v>2004</v>
      </c>
      <c r="B139" s="394"/>
      <c r="C139" s="394"/>
      <c r="D139" s="350"/>
      <c r="E139" s="394"/>
      <c r="F139" s="394"/>
      <c r="G139" s="394"/>
      <c r="H139" s="394"/>
      <c r="I139" s="394"/>
      <c r="J139" s="394"/>
      <c r="K139" s="394"/>
      <c r="L139" s="406"/>
      <c r="M139" s="376"/>
    </row>
    <row r="140" spans="1:13" hidden="1">
      <c r="A140" s="386"/>
      <c r="B140" s="394"/>
      <c r="C140" s="394"/>
      <c r="D140" s="350"/>
      <c r="E140" s="394"/>
      <c r="F140" s="394"/>
      <c r="G140" s="394"/>
      <c r="H140" s="394"/>
      <c r="I140" s="394"/>
      <c r="J140" s="394"/>
      <c r="K140" s="394"/>
      <c r="L140" s="406"/>
      <c r="M140" s="376"/>
    </row>
    <row r="141" spans="1:13" hidden="1">
      <c r="A141" s="386" t="s">
        <v>8</v>
      </c>
      <c r="B141" s="394">
        <v>557.67619999999999</v>
      </c>
      <c r="C141" s="394">
        <v>424.4461</v>
      </c>
      <c r="D141" s="394">
        <v>0</v>
      </c>
      <c r="E141" s="394">
        <v>5.1916000000000002</v>
      </c>
      <c r="F141" s="394">
        <v>429637.7</v>
      </c>
      <c r="G141" s="394">
        <v>247.1609</v>
      </c>
      <c r="H141" s="394">
        <v>2.8999999999999998E-3</v>
      </c>
      <c r="I141" s="394">
        <v>1234477.7</v>
      </c>
      <c r="J141" s="394">
        <v>-9.5400000000000013E-2</v>
      </c>
      <c r="K141" s="394">
        <v>806.55230000000006</v>
      </c>
      <c r="L141" s="406">
        <f>SUM(I141:K141)</f>
        <v>1235284.1569000001</v>
      </c>
      <c r="M141" s="376"/>
    </row>
    <row r="142" spans="1:13" hidden="1">
      <c r="A142" s="386"/>
      <c r="B142" s="394"/>
      <c r="C142" s="394"/>
      <c r="D142" s="350"/>
      <c r="E142" s="394"/>
      <c r="F142" s="394"/>
      <c r="G142" s="394"/>
      <c r="H142" s="394"/>
      <c r="I142" s="394"/>
      <c r="J142" s="394"/>
      <c r="K142" s="394"/>
      <c r="L142" s="406"/>
      <c r="M142" s="376"/>
    </row>
    <row r="143" spans="1:13" hidden="1">
      <c r="A143" s="386" t="s">
        <v>9</v>
      </c>
      <c r="B143" s="394">
        <v>608.77260000000001</v>
      </c>
      <c r="C143" s="394">
        <v>304.20100000000002</v>
      </c>
      <c r="D143" s="394">
        <v>0</v>
      </c>
      <c r="E143" s="394">
        <v>3.4276999999999997</v>
      </c>
      <c r="F143" s="394">
        <v>307628.7</v>
      </c>
      <c r="G143" s="394">
        <v>879.54869999999994</v>
      </c>
      <c r="H143" s="394">
        <v>0.50719999999999998</v>
      </c>
      <c r="I143" s="394">
        <v>1796457.2</v>
      </c>
      <c r="J143" s="394">
        <v>8.0000000000000002E-3</v>
      </c>
      <c r="K143" s="394">
        <v>1050.5146000000002</v>
      </c>
      <c r="L143" s="406">
        <f>SUM(I143:K143)</f>
        <v>1797507.7226</v>
      </c>
      <c r="M143" s="376"/>
    </row>
    <row r="144" spans="1:13" hidden="1">
      <c r="A144" s="386"/>
      <c r="B144" s="394"/>
      <c r="C144" s="394"/>
      <c r="D144" s="350"/>
      <c r="E144" s="394"/>
      <c r="F144" s="394"/>
      <c r="G144" s="394"/>
      <c r="H144" s="394"/>
      <c r="I144" s="394"/>
      <c r="J144" s="394"/>
      <c r="K144" s="394"/>
      <c r="L144" s="406"/>
      <c r="M144" s="376"/>
    </row>
    <row r="145" spans="1:13" hidden="1">
      <c r="A145" s="386" t="s">
        <v>10</v>
      </c>
      <c r="B145" s="394">
        <v>661.47259999999994</v>
      </c>
      <c r="C145" s="394">
        <v>373.69819999999999</v>
      </c>
      <c r="D145" s="394">
        <v>0</v>
      </c>
      <c r="E145" s="394">
        <v>22.316599999999998</v>
      </c>
      <c r="F145" s="394">
        <v>396014.8</v>
      </c>
      <c r="G145" s="394">
        <v>1087.4870000000001</v>
      </c>
      <c r="H145" s="394">
        <v>0.57740000000000002</v>
      </c>
      <c r="I145" s="394">
        <v>2145551.7999999998</v>
      </c>
      <c r="J145" s="394">
        <v>8.0000000000000002E-3</v>
      </c>
      <c r="K145" s="394">
        <v>1829.0493999999999</v>
      </c>
      <c r="L145" s="406">
        <f>SUM(I145:K145)</f>
        <v>2147380.8573999996</v>
      </c>
      <c r="M145" s="376"/>
    </row>
    <row r="146" spans="1:13" hidden="1">
      <c r="A146" s="386"/>
      <c r="B146" s="394"/>
      <c r="C146" s="394"/>
      <c r="D146" s="350"/>
      <c r="E146" s="394"/>
      <c r="F146" s="394"/>
      <c r="G146" s="394"/>
      <c r="H146" s="394"/>
      <c r="I146" s="394"/>
      <c r="J146" s="394"/>
      <c r="K146" s="394"/>
      <c r="L146" s="406"/>
      <c r="M146" s="376"/>
    </row>
    <row r="147" spans="1:13" hidden="1">
      <c r="A147" s="386" t="s">
        <v>11</v>
      </c>
      <c r="B147" s="394">
        <v>778.67059999999992</v>
      </c>
      <c r="C147" s="394">
        <v>1059.9114</v>
      </c>
      <c r="D147" s="394">
        <v>0</v>
      </c>
      <c r="E147" s="394">
        <v>28.541799999999999</v>
      </c>
      <c r="F147" s="394">
        <v>1088453.2</v>
      </c>
      <c r="G147" s="394">
        <v>1239.2411999999999</v>
      </c>
      <c r="H147" s="394">
        <v>14.2059</v>
      </c>
      <c r="I147" s="394">
        <f>SUM(F147:H147,B147)</f>
        <v>1090485.3177</v>
      </c>
      <c r="J147" s="394">
        <v>8.0000000000000002E-3</v>
      </c>
      <c r="K147" s="394">
        <v>2140.9639999999999</v>
      </c>
      <c r="L147" s="406">
        <f>SUM(I147:K147)</f>
        <v>1092626.2896999998</v>
      </c>
      <c r="M147" s="376"/>
    </row>
    <row r="148" spans="1:13" hidden="1">
      <c r="A148" s="386"/>
      <c r="B148" s="394"/>
      <c r="C148" s="394"/>
      <c r="D148" s="350"/>
      <c r="E148" s="394"/>
      <c r="F148" s="394"/>
      <c r="G148" s="394"/>
      <c r="H148" s="394"/>
      <c r="I148" s="394"/>
      <c r="J148" s="394"/>
      <c r="K148" s="394"/>
      <c r="L148" s="406"/>
      <c r="M148" s="376"/>
    </row>
    <row r="149" spans="1:13" hidden="1">
      <c r="A149" s="386" t="s">
        <v>337</v>
      </c>
      <c r="B149" s="394">
        <v>970.88260000000002</v>
      </c>
      <c r="C149" s="394">
        <v>1293.2758999999999</v>
      </c>
      <c r="D149" s="394">
        <v>0</v>
      </c>
      <c r="E149" s="394">
        <v>12.0039</v>
      </c>
      <c r="F149" s="394">
        <v>1305279.8</v>
      </c>
      <c r="G149" s="394">
        <v>1346.3733999999999</v>
      </c>
      <c r="H149" s="394">
        <v>27.194500000000001</v>
      </c>
      <c r="I149" s="394">
        <f>SUM(F149:H149,B149)</f>
        <v>1307624.2504999998</v>
      </c>
      <c r="J149" s="394">
        <v>8.0000000000000002E-3</v>
      </c>
      <c r="K149" s="394">
        <v>2041.9486000000002</v>
      </c>
      <c r="L149" s="406">
        <f>SUM(I149:K149)</f>
        <v>1309666.2070999998</v>
      </c>
      <c r="M149" s="376"/>
    </row>
    <row r="150" spans="1:13" hidden="1">
      <c r="A150" s="386"/>
      <c r="B150" s="394"/>
      <c r="C150" s="394"/>
      <c r="D150" s="350"/>
      <c r="E150" s="394"/>
      <c r="F150" s="394"/>
      <c r="G150" s="394"/>
      <c r="H150" s="394"/>
      <c r="I150" s="394"/>
      <c r="J150" s="394"/>
      <c r="K150" s="394"/>
      <c r="L150" s="406"/>
      <c r="M150" s="376"/>
    </row>
    <row r="151" spans="1:13" hidden="1">
      <c r="A151" s="386" t="s">
        <v>346</v>
      </c>
      <c r="B151" s="394">
        <v>1133.3967</v>
      </c>
      <c r="C151" s="394">
        <v>1338.9278999999999</v>
      </c>
      <c r="D151" s="394">
        <v>0</v>
      </c>
      <c r="E151" s="394">
        <v>14.884799999999998</v>
      </c>
      <c r="F151" s="394">
        <v>1353812.7</v>
      </c>
      <c r="G151" s="394">
        <v>1.6062043999999998</v>
      </c>
      <c r="H151" s="394">
        <v>15.3773</v>
      </c>
      <c r="I151" s="394">
        <f>SUM(F151:H151,B151)</f>
        <v>1354963.0802044</v>
      </c>
      <c r="J151" s="394">
        <v>8.0000000000000002E-3</v>
      </c>
      <c r="K151" s="394">
        <v>4057.6602000000003</v>
      </c>
      <c r="L151" s="406">
        <f>SUM(I151:K151)</f>
        <v>1359020.7484044</v>
      </c>
      <c r="M151" s="376"/>
    </row>
    <row r="152" spans="1:13" hidden="1">
      <c r="A152" s="386"/>
      <c r="B152" s="394"/>
      <c r="C152" s="394"/>
      <c r="D152" s="350"/>
      <c r="E152" s="394"/>
      <c r="F152" s="394"/>
      <c r="G152" s="394"/>
      <c r="H152" s="394"/>
      <c r="I152" s="394"/>
      <c r="J152" s="394"/>
      <c r="K152" s="394"/>
      <c r="L152" s="406"/>
      <c r="M152" s="376"/>
    </row>
    <row r="153" spans="1:13" hidden="1">
      <c r="A153" s="386" t="s">
        <v>347</v>
      </c>
      <c r="B153" s="394">
        <v>1269.2045000000001</v>
      </c>
      <c r="C153" s="394">
        <v>270.95949999999999</v>
      </c>
      <c r="D153" s="394">
        <v>0</v>
      </c>
      <c r="E153" s="394">
        <v>7.5013000000000005</v>
      </c>
      <c r="F153" s="394">
        <v>278460.79999999999</v>
      </c>
      <c r="G153" s="394">
        <v>1545.8563999999999</v>
      </c>
      <c r="H153" s="394">
        <v>16.403700000000001</v>
      </c>
      <c r="I153" s="394">
        <f>SUM(F153:H153,B153)</f>
        <v>281292.26459999999</v>
      </c>
      <c r="J153" s="394">
        <v>8.0000000000000002E-3</v>
      </c>
      <c r="K153" s="394">
        <v>2716.1950000000002</v>
      </c>
      <c r="L153" s="406">
        <f>SUM(I153:K153)</f>
        <v>284008.46759999997</v>
      </c>
      <c r="M153" s="376"/>
    </row>
    <row r="154" spans="1:13" hidden="1">
      <c r="A154" s="386"/>
      <c r="B154" s="394"/>
      <c r="C154" s="394"/>
      <c r="D154" s="350"/>
      <c r="E154" s="394"/>
      <c r="F154" s="394"/>
      <c r="G154" s="394"/>
      <c r="H154" s="394"/>
      <c r="I154" s="394"/>
      <c r="J154" s="394"/>
      <c r="K154" s="394"/>
      <c r="L154" s="406"/>
      <c r="M154" s="376"/>
    </row>
    <row r="155" spans="1:13" hidden="1">
      <c r="A155" s="386" t="s">
        <v>12</v>
      </c>
      <c r="B155" s="394">
        <v>1310.6653000000001</v>
      </c>
      <c r="C155" s="394">
        <v>941.10850000000005</v>
      </c>
      <c r="D155" s="394">
        <v>0</v>
      </c>
      <c r="E155" s="394">
        <v>0.31360000000000005</v>
      </c>
      <c r="F155" s="394">
        <v>941422.1</v>
      </c>
      <c r="G155" s="394">
        <v>1707.8023000000001</v>
      </c>
      <c r="H155" s="394">
        <v>17.575900000000001</v>
      </c>
      <c r="I155" s="394">
        <f>SUM(F155:H155,B155)</f>
        <v>944458.14350000001</v>
      </c>
      <c r="J155" s="394">
        <v>8.0000000000000002E-3</v>
      </c>
      <c r="K155" s="394">
        <v>3032.5704000000001</v>
      </c>
      <c r="L155" s="406">
        <f>SUM(I155:K155)</f>
        <v>947490.7219</v>
      </c>
      <c r="M155" s="376"/>
    </row>
    <row r="156" spans="1:13" hidden="1">
      <c r="A156" s="386"/>
      <c r="B156" s="394"/>
      <c r="C156" s="394"/>
      <c r="D156" s="350"/>
      <c r="E156" s="394"/>
      <c r="F156" s="394"/>
      <c r="G156" s="394"/>
      <c r="H156" s="394"/>
      <c r="I156" s="394"/>
      <c r="J156" s="394"/>
      <c r="K156" s="394"/>
      <c r="L156" s="406"/>
      <c r="M156" s="376"/>
    </row>
    <row r="157" spans="1:13" hidden="1">
      <c r="A157" s="386" t="s">
        <v>13</v>
      </c>
      <c r="B157" s="394">
        <v>1378.3018999999999</v>
      </c>
      <c r="C157" s="394">
        <v>825.53980000000001</v>
      </c>
      <c r="D157" s="394">
        <v>0</v>
      </c>
      <c r="E157" s="394">
        <v>56.555300000000003</v>
      </c>
      <c r="F157" s="394">
        <v>882095.1</v>
      </c>
      <c r="G157" s="394">
        <v>1603.1873000000001</v>
      </c>
      <c r="H157" s="394">
        <v>0</v>
      </c>
      <c r="I157" s="394">
        <f>SUM(F157:H157,B157)</f>
        <v>885076.58919999993</v>
      </c>
      <c r="J157" s="394">
        <v>8.0000000000000002E-3</v>
      </c>
      <c r="K157" s="394">
        <v>3735.5666000000001</v>
      </c>
      <c r="L157" s="406">
        <f>SUM(I157:K157)</f>
        <v>888812.16379999998</v>
      </c>
      <c r="M157" s="376"/>
    </row>
    <row r="158" spans="1:13" hidden="1">
      <c r="A158" s="386"/>
      <c r="B158" s="394"/>
      <c r="C158" s="394"/>
      <c r="D158" s="350"/>
      <c r="E158" s="394"/>
      <c r="F158" s="394"/>
      <c r="G158" s="394"/>
      <c r="H158" s="394"/>
      <c r="I158" s="394"/>
      <c r="J158" s="394"/>
      <c r="K158" s="394"/>
      <c r="L158" s="406"/>
      <c r="M158" s="376"/>
    </row>
    <row r="159" spans="1:13" hidden="1">
      <c r="A159" s="386" t="s">
        <v>14</v>
      </c>
      <c r="B159" s="394">
        <v>1448.1588999999999</v>
      </c>
      <c r="C159" s="394">
        <v>189.82839999999999</v>
      </c>
      <c r="D159" s="394">
        <v>0</v>
      </c>
      <c r="E159" s="394">
        <v>67.779800000000009</v>
      </c>
      <c r="F159" s="394">
        <f>+E159+C159</f>
        <v>257.60820000000001</v>
      </c>
      <c r="G159" s="394">
        <v>1459.1268</v>
      </c>
      <c r="H159" s="394">
        <v>0</v>
      </c>
      <c r="I159" s="394">
        <f>SUM(F159:H159,B159)</f>
        <v>3164.8939</v>
      </c>
      <c r="J159" s="394">
        <v>8.0000000000000002E-3</v>
      </c>
      <c r="K159" s="394">
        <v>4598.7089999999998</v>
      </c>
      <c r="L159" s="406">
        <f>SUM(I159:K159)</f>
        <v>7763.6108999999997</v>
      </c>
      <c r="M159" s="376"/>
    </row>
    <row r="160" spans="1:13" hidden="1">
      <c r="A160" s="386"/>
      <c r="B160" s="394"/>
      <c r="C160" s="394"/>
      <c r="D160" s="350"/>
      <c r="E160" s="394"/>
      <c r="F160" s="394"/>
      <c r="G160" s="394"/>
      <c r="H160" s="394"/>
      <c r="I160" s="394"/>
      <c r="J160" s="394"/>
      <c r="K160" s="394"/>
      <c r="L160" s="406"/>
      <c r="M160" s="376"/>
    </row>
    <row r="161" spans="1:13" hidden="1">
      <c r="A161" s="386" t="s">
        <v>15</v>
      </c>
      <c r="B161" s="394">
        <v>1648.0243</v>
      </c>
      <c r="C161" s="394">
        <v>450.3433</v>
      </c>
      <c r="D161" s="394">
        <v>0</v>
      </c>
      <c r="E161" s="394">
        <v>62.014499999999998</v>
      </c>
      <c r="F161" s="394">
        <f>+E161+C161</f>
        <v>512.3578</v>
      </c>
      <c r="G161" s="394">
        <v>1966.9741999999999</v>
      </c>
      <c r="H161" s="394">
        <v>0</v>
      </c>
      <c r="I161" s="394">
        <f>SUM(F161:H161,B161)</f>
        <v>4127.3562999999995</v>
      </c>
      <c r="J161" s="394">
        <v>8.0000000000000002E-3</v>
      </c>
      <c r="K161" s="394">
        <v>6446.7156999999997</v>
      </c>
      <c r="L161" s="406">
        <f>SUM(I161:K161)</f>
        <v>10574.079999999998</v>
      </c>
      <c r="M161" s="376"/>
    </row>
    <row r="162" spans="1:13" hidden="1">
      <c r="A162" s="386"/>
      <c r="B162" s="394"/>
      <c r="C162" s="394"/>
      <c r="D162" s="350"/>
      <c r="E162" s="394"/>
      <c r="F162" s="394"/>
      <c r="G162" s="394"/>
      <c r="H162" s="394"/>
      <c r="I162" s="394"/>
      <c r="J162" s="394"/>
      <c r="K162" s="394"/>
      <c r="L162" s="406"/>
      <c r="M162" s="376"/>
    </row>
    <row r="163" spans="1:13" hidden="1">
      <c r="A163" s="386" t="s">
        <v>16</v>
      </c>
      <c r="B163" s="394">
        <v>1889.3596</v>
      </c>
      <c r="C163" s="394">
        <v>387.6096</v>
      </c>
      <c r="D163" s="394">
        <v>0</v>
      </c>
      <c r="E163" s="394">
        <v>52.5488</v>
      </c>
      <c r="F163" s="394">
        <f>+E163+C163</f>
        <v>440.15840000000003</v>
      </c>
      <c r="G163" s="394">
        <v>2356.5652999999998</v>
      </c>
      <c r="H163" s="394">
        <v>0</v>
      </c>
      <c r="I163" s="394">
        <f>SUM(F163:H163,B163)</f>
        <v>4686.0832999999993</v>
      </c>
      <c r="J163" s="394">
        <v>8.0000000000000002E-3</v>
      </c>
      <c r="K163" s="394">
        <v>6967.1181999999999</v>
      </c>
      <c r="L163" s="406">
        <f>SUM(I163:K163)</f>
        <v>11653.209499999999</v>
      </c>
      <c r="M163" s="376"/>
    </row>
    <row r="164" spans="1:13" hidden="1">
      <c r="A164" s="386"/>
      <c r="B164" s="394"/>
      <c r="C164" s="394"/>
      <c r="D164" s="350"/>
      <c r="E164" s="394"/>
      <c r="F164" s="394"/>
      <c r="G164" s="394"/>
      <c r="H164" s="394"/>
      <c r="I164" s="394"/>
      <c r="J164" s="394"/>
      <c r="K164" s="394"/>
      <c r="L164" s="406"/>
      <c r="M164" s="376"/>
    </row>
    <row r="165" spans="1:13" hidden="1">
      <c r="A165" s="410">
        <v>2005</v>
      </c>
      <c r="B165" s="394"/>
      <c r="C165" s="394"/>
      <c r="D165" s="350"/>
      <c r="E165" s="394"/>
      <c r="F165" s="394"/>
      <c r="G165" s="394"/>
      <c r="H165" s="394"/>
      <c r="I165" s="394"/>
      <c r="J165" s="394"/>
      <c r="K165" s="394"/>
      <c r="L165" s="406"/>
      <c r="M165" s="376"/>
    </row>
    <row r="166" spans="1:13" hidden="1">
      <c r="A166" s="386"/>
      <c r="B166" s="394"/>
      <c r="C166" s="394"/>
      <c r="D166" s="350"/>
      <c r="E166" s="394"/>
      <c r="F166" s="394"/>
      <c r="G166" s="394"/>
      <c r="H166" s="394"/>
      <c r="I166" s="394"/>
      <c r="J166" s="394"/>
      <c r="K166" s="394"/>
      <c r="L166" s="406"/>
      <c r="M166" s="376"/>
    </row>
    <row r="167" spans="1:13" hidden="1">
      <c r="A167" s="386" t="s">
        <v>8</v>
      </c>
      <c r="B167" s="394">
        <v>2029458.2</v>
      </c>
      <c r="C167" s="394">
        <v>362803.7</v>
      </c>
      <c r="D167" s="350">
        <v>0</v>
      </c>
      <c r="E167" s="394">
        <v>50214.8</v>
      </c>
      <c r="F167" s="394">
        <f>+E167+C167</f>
        <v>413018.5</v>
      </c>
      <c r="G167" s="394">
        <v>2371399.2000000002</v>
      </c>
      <c r="H167" s="394">
        <v>0</v>
      </c>
      <c r="I167" s="394">
        <f>SUM(F167:H167,B167)</f>
        <v>4813875.9000000004</v>
      </c>
      <c r="J167" s="394">
        <v>8</v>
      </c>
      <c r="K167" s="394">
        <v>7970826.0999999996</v>
      </c>
      <c r="L167" s="406">
        <f>SUM(I167:K167)</f>
        <v>12784710</v>
      </c>
      <c r="M167" s="376"/>
    </row>
    <row r="168" spans="1:13" hidden="1">
      <c r="A168" s="386"/>
      <c r="B168" s="394"/>
      <c r="C168" s="394"/>
      <c r="D168" s="350"/>
      <c r="E168" s="394"/>
      <c r="F168" s="394"/>
      <c r="G168" s="394"/>
      <c r="H168" s="394"/>
      <c r="I168" s="394"/>
      <c r="J168" s="394"/>
      <c r="K168" s="394"/>
      <c r="L168" s="406"/>
      <c r="M168" s="376"/>
    </row>
    <row r="169" spans="1:13" hidden="1">
      <c r="A169" s="386" t="s">
        <v>9</v>
      </c>
      <c r="B169" s="394">
        <v>2312773.1</v>
      </c>
      <c r="C169" s="394">
        <v>816700</v>
      </c>
      <c r="D169" s="350">
        <v>0</v>
      </c>
      <c r="E169" s="394">
        <v>218230.5</v>
      </c>
      <c r="F169" s="394">
        <f>+E169+C169</f>
        <v>1034930.5</v>
      </c>
      <c r="G169" s="394">
        <v>2293387.4</v>
      </c>
      <c r="H169" s="394">
        <v>0</v>
      </c>
      <c r="I169" s="394">
        <f>SUM(F169:H169,B169)</f>
        <v>5641091</v>
      </c>
      <c r="J169" s="394">
        <v>8</v>
      </c>
      <c r="K169" s="394">
        <v>8439441</v>
      </c>
      <c r="L169" s="406">
        <f>SUM(I169:K169)</f>
        <v>14080540</v>
      </c>
      <c r="M169" s="376"/>
    </row>
    <row r="170" spans="1:13" hidden="1">
      <c r="A170" s="386"/>
      <c r="B170" s="394"/>
      <c r="C170" s="394"/>
      <c r="D170" s="350"/>
      <c r="E170" s="394"/>
      <c r="F170" s="394"/>
      <c r="G170" s="394"/>
      <c r="H170" s="394"/>
      <c r="I170" s="394"/>
      <c r="J170" s="394"/>
      <c r="K170" s="394"/>
      <c r="L170" s="406"/>
      <c r="M170" s="376"/>
    </row>
    <row r="171" spans="1:13" hidden="1">
      <c r="A171" s="386" t="s">
        <v>10</v>
      </c>
      <c r="B171" s="394">
        <v>3220884</v>
      </c>
      <c r="C171" s="394">
        <v>1292449.5</v>
      </c>
      <c r="D171" s="350">
        <v>0</v>
      </c>
      <c r="E171" s="394">
        <v>331348.5</v>
      </c>
      <c r="F171" s="394">
        <f>+E171+C171</f>
        <v>1623798</v>
      </c>
      <c r="G171" s="394">
        <v>2264468.7000000002</v>
      </c>
      <c r="H171" s="394">
        <v>0</v>
      </c>
      <c r="I171" s="394">
        <f>SUM(F171:H171,B171)</f>
        <v>7109150.7000000002</v>
      </c>
      <c r="J171" s="394">
        <v>8</v>
      </c>
      <c r="K171" s="394">
        <v>9156080.8000000007</v>
      </c>
      <c r="L171" s="406">
        <f>SUM(I171:K171)</f>
        <v>16265239.5</v>
      </c>
      <c r="M171" s="376"/>
    </row>
    <row r="172" spans="1:13" hidden="1">
      <c r="A172" s="386"/>
      <c r="B172" s="394"/>
      <c r="C172" s="394"/>
      <c r="D172" s="350"/>
      <c r="E172" s="394"/>
      <c r="F172" s="394"/>
      <c r="G172" s="394"/>
      <c r="H172" s="394"/>
      <c r="I172" s="394"/>
      <c r="J172" s="394"/>
      <c r="K172" s="394"/>
      <c r="L172" s="406"/>
      <c r="M172" s="376"/>
    </row>
    <row r="173" spans="1:13" hidden="1">
      <c r="A173" s="386" t="s">
        <v>11</v>
      </c>
      <c r="B173" s="388">
        <v>3224093.3</v>
      </c>
      <c r="C173" s="394">
        <v>1833178.4</v>
      </c>
      <c r="D173" s="350">
        <v>0</v>
      </c>
      <c r="E173" s="394">
        <v>292008.7</v>
      </c>
      <c r="F173" s="394">
        <f>+E173+C173</f>
        <v>2125187.1</v>
      </c>
      <c r="G173" s="394">
        <v>1880269.2</v>
      </c>
      <c r="H173" s="394">
        <v>0</v>
      </c>
      <c r="I173" s="394">
        <f>SUM(F173:H173,B173)</f>
        <v>7229549.5999999996</v>
      </c>
      <c r="J173" s="394">
        <v>8</v>
      </c>
      <c r="K173" s="394">
        <v>8491129.5</v>
      </c>
      <c r="L173" s="406">
        <f>SUM(I173:K173)</f>
        <v>15720687.1</v>
      </c>
      <c r="M173" s="376"/>
    </row>
    <row r="174" spans="1:13" hidden="1">
      <c r="A174" s="386"/>
      <c r="B174" s="388"/>
      <c r="C174" s="394"/>
      <c r="D174" s="350"/>
      <c r="E174" s="394"/>
      <c r="F174" s="394"/>
      <c r="G174" s="394"/>
      <c r="H174" s="394"/>
      <c r="I174" s="394"/>
      <c r="J174" s="394"/>
      <c r="K174" s="394"/>
      <c r="L174" s="406"/>
      <c r="M174" s="376"/>
    </row>
    <row r="175" spans="1:13" hidden="1">
      <c r="A175" s="386" t="s">
        <v>337</v>
      </c>
      <c r="B175" s="388">
        <v>3772181.1</v>
      </c>
      <c r="C175" s="394">
        <v>2317927.7999999998</v>
      </c>
      <c r="D175" s="350">
        <v>0</v>
      </c>
      <c r="E175" s="394">
        <v>57708.1</v>
      </c>
      <c r="F175" s="394">
        <f>+E175+C175</f>
        <v>2375635.9</v>
      </c>
      <c r="G175" s="394">
        <v>3043296.1</v>
      </c>
      <c r="H175" s="394">
        <v>0</v>
      </c>
      <c r="I175" s="394">
        <v>9191113.0999999996</v>
      </c>
      <c r="J175" s="394">
        <v>8</v>
      </c>
      <c r="K175" s="394">
        <v>8502263.5999999996</v>
      </c>
      <c r="L175" s="406">
        <f>SUM(I175:K175)</f>
        <v>17693384.699999999</v>
      </c>
      <c r="M175" s="376"/>
    </row>
    <row r="176" spans="1:13" hidden="1">
      <c r="A176" s="386"/>
      <c r="B176" s="388"/>
      <c r="C176" s="394"/>
      <c r="D176" s="350"/>
      <c r="E176" s="394"/>
      <c r="F176" s="394"/>
      <c r="G176" s="394"/>
      <c r="H176" s="394"/>
      <c r="I176" s="394"/>
      <c r="J176" s="394"/>
      <c r="K176" s="394"/>
      <c r="L176" s="406"/>
      <c r="M176" s="376"/>
    </row>
    <row r="177" spans="1:13" hidden="1">
      <c r="A177" s="386" t="s">
        <v>346</v>
      </c>
      <c r="B177" s="394">
        <v>1133.3967</v>
      </c>
      <c r="C177" s="394">
        <v>26.3447</v>
      </c>
      <c r="D177" s="394">
        <v>0</v>
      </c>
      <c r="E177" s="394">
        <v>14.884799999999998</v>
      </c>
      <c r="F177" s="394">
        <f>+E177+C177</f>
        <v>41.229500000000002</v>
      </c>
      <c r="G177" s="394">
        <v>1606.2043999999999</v>
      </c>
      <c r="H177" s="394">
        <v>15.3773</v>
      </c>
      <c r="I177" s="394">
        <v>2796207.9</v>
      </c>
      <c r="J177" s="394">
        <v>8.0000000000000002E-3</v>
      </c>
      <c r="K177" s="394">
        <v>2751.6136000000001</v>
      </c>
      <c r="L177" s="406">
        <f>SUM(I177:K177)</f>
        <v>2798959.5215999996</v>
      </c>
      <c r="M177" s="376"/>
    </row>
    <row r="178" spans="1:13" hidden="1">
      <c r="A178" s="386"/>
      <c r="B178" s="388"/>
      <c r="C178" s="394"/>
      <c r="D178" s="350"/>
      <c r="E178" s="394"/>
      <c r="F178" s="394"/>
      <c r="G178" s="394"/>
      <c r="H178" s="394"/>
      <c r="I178" s="394"/>
      <c r="J178" s="394"/>
      <c r="K178" s="394"/>
      <c r="L178" s="406"/>
      <c r="M178" s="376"/>
    </row>
    <row r="179" spans="1:13" hidden="1">
      <c r="A179" s="386" t="s">
        <v>347</v>
      </c>
      <c r="B179" s="394">
        <v>4806.3474000000006</v>
      </c>
      <c r="C179" s="394">
        <v>1432.1888000000001</v>
      </c>
      <c r="D179" s="394">
        <v>0</v>
      </c>
      <c r="E179" s="394">
        <v>113.5425</v>
      </c>
      <c r="F179" s="394">
        <f>+E179+C179</f>
        <v>1545.7313000000001</v>
      </c>
      <c r="G179" s="394">
        <v>9099.9071999999996</v>
      </c>
      <c r="H179" s="394">
        <v>16.403700000000001</v>
      </c>
      <c r="I179" s="394">
        <f>SUM(F179:H179,B179)</f>
        <v>15468.3896</v>
      </c>
      <c r="J179" s="394">
        <v>8.0000000000000002E-3</v>
      </c>
      <c r="K179" s="394">
        <v>-7222.4105999999992</v>
      </c>
      <c r="L179" s="406">
        <f>SUM(I179:K179)</f>
        <v>8245.987000000001</v>
      </c>
      <c r="M179" s="376"/>
    </row>
    <row r="180" spans="1:13" hidden="1">
      <c r="A180" s="386"/>
      <c r="B180" s="388"/>
      <c r="C180" s="394"/>
      <c r="D180" s="350"/>
      <c r="E180" s="394"/>
      <c r="F180" s="394"/>
      <c r="G180" s="394"/>
      <c r="H180" s="394"/>
      <c r="I180" s="394"/>
      <c r="J180" s="394"/>
      <c r="K180" s="394"/>
      <c r="L180" s="406"/>
      <c r="M180" s="376"/>
    </row>
    <row r="181" spans="1:13" hidden="1">
      <c r="A181" s="386" t="s">
        <v>12</v>
      </c>
      <c r="B181" s="394">
        <v>5495.3704000000007</v>
      </c>
      <c r="C181" s="394">
        <v>819.80419999999992</v>
      </c>
      <c r="D181" s="394">
        <v>0</v>
      </c>
      <c r="E181" s="394">
        <v>496.49279999999999</v>
      </c>
      <c r="F181" s="394">
        <f>+E181+C181</f>
        <v>1316.297</v>
      </c>
      <c r="G181" s="394">
        <v>13110.9697</v>
      </c>
      <c r="H181" s="394">
        <v>17.575900000000001</v>
      </c>
      <c r="I181" s="394">
        <f>SUM(F181:H181,B181)</f>
        <v>19940.213</v>
      </c>
      <c r="J181" s="394">
        <v>8.0000000000000002E-3</v>
      </c>
      <c r="K181" s="394">
        <v>-7075.3615</v>
      </c>
      <c r="L181" s="406">
        <f>SUM(I181:K181)</f>
        <v>12864.859500000002</v>
      </c>
      <c r="M181" s="376"/>
    </row>
    <row r="182" spans="1:13" hidden="1">
      <c r="A182" s="386"/>
      <c r="B182" s="388"/>
      <c r="C182" s="394"/>
      <c r="D182" s="350"/>
      <c r="E182" s="394"/>
      <c r="F182" s="394"/>
      <c r="G182" s="394"/>
      <c r="H182" s="394"/>
      <c r="I182" s="394"/>
      <c r="J182" s="394"/>
      <c r="K182" s="394"/>
      <c r="L182" s="406"/>
      <c r="M182" s="376"/>
    </row>
    <row r="183" spans="1:13" hidden="1">
      <c r="A183" s="386" t="s">
        <v>13</v>
      </c>
      <c r="B183" s="394">
        <v>6516.6179000000002</v>
      </c>
      <c r="C183" s="394">
        <v>185.75470000000001</v>
      </c>
      <c r="D183" s="394">
        <v>0</v>
      </c>
      <c r="E183" s="394">
        <v>555.38199999999995</v>
      </c>
      <c r="F183" s="394">
        <f>+E183+C183</f>
        <v>741.13670000000002</v>
      </c>
      <c r="G183" s="394">
        <v>10616.5219</v>
      </c>
      <c r="H183" s="394">
        <v>0</v>
      </c>
      <c r="I183" s="394">
        <f>SUM(F183:H183,B183)</f>
        <v>17874.2765</v>
      </c>
      <c r="J183" s="394">
        <v>8.0000000000000002E-3</v>
      </c>
      <c r="K183" s="394">
        <v>-7695.7177999999994</v>
      </c>
      <c r="L183" s="406">
        <f>SUM(I183:K183)</f>
        <v>10178.566700000003</v>
      </c>
      <c r="M183" s="376"/>
    </row>
    <row r="184" spans="1:13" hidden="1">
      <c r="A184" s="386"/>
      <c r="B184" s="388"/>
      <c r="C184" s="394"/>
      <c r="D184" s="350"/>
      <c r="E184" s="394"/>
      <c r="F184" s="394"/>
      <c r="G184" s="394"/>
      <c r="H184" s="394"/>
      <c r="I184" s="394"/>
      <c r="J184" s="394"/>
      <c r="K184" s="394"/>
      <c r="L184" s="406"/>
      <c r="M184" s="376"/>
    </row>
    <row r="185" spans="1:13" hidden="1">
      <c r="A185" s="386" t="s">
        <v>14</v>
      </c>
      <c r="B185" s="394">
        <v>7635.3326999999999</v>
      </c>
      <c r="C185" s="394">
        <v>170.38900000000001</v>
      </c>
      <c r="D185" s="394">
        <v>0</v>
      </c>
      <c r="E185" s="394">
        <v>512.91650000000004</v>
      </c>
      <c r="F185" s="394">
        <f>+E185+C185</f>
        <v>683.30550000000005</v>
      </c>
      <c r="G185" s="394">
        <v>25600.937600000001</v>
      </c>
      <c r="H185" s="394">
        <v>0</v>
      </c>
      <c r="I185" s="394">
        <f>SUM(F185:H185,B185)</f>
        <v>33919.575799999999</v>
      </c>
      <c r="J185" s="394">
        <v>8.0000000000000002E-3</v>
      </c>
      <c r="K185" s="394">
        <v>-16829.991100000003</v>
      </c>
      <c r="L185" s="406">
        <f>SUM(I185:K185)</f>
        <v>17089.592699999997</v>
      </c>
      <c r="M185" s="376"/>
    </row>
    <row r="186" spans="1:13" hidden="1">
      <c r="A186" s="386"/>
      <c r="B186" s="388"/>
      <c r="C186" s="394"/>
      <c r="D186" s="350"/>
      <c r="E186" s="394"/>
      <c r="F186" s="394"/>
      <c r="G186" s="394"/>
      <c r="H186" s="394"/>
      <c r="I186" s="394"/>
      <c r="J186" s="394"/>
      <c r="K186" s="394"/>
      <c r="L186" s="406"/>
      <c r="M186" s="376"/>
    </row>
    <row r="187" spans="1:13" hidden="1">
      <c r="A187" s="386" t="s">
        <v>15</v>
      </c>
      <c r="B187" s="394">
        <v>9407.1626999999989</v>
      </c>
      <c r="C187" s="394">
        <v>450.34320000000002</v>
      </c>
      <c r="D187" s="394">
        <v>0</v>
      </c>
      <c r="E187" s="394">
        <v>62.014499999999998</v>
      </c>
      <c r="F187" s="394">
        <f>+E187+C187</f>
        <v>512.35770000000002</v>
      </c>
      <c r="G187" s="394">
        <v>15746.2814</v>
      </c>
      <c r="H187" s="394">
        <v>0</v>
      </c>
      <c r="I187" s="394">
        <f>SUM(F187:H187,B187)</f>
        <v>25665.801800000001</v>
      </c>
      <c r="J187" s="394">
        <v>8.0000000000000002E-3</v>
      </c>
      <c r="K187" s="394">
        <v>37216.5815</v>
      </c>
      <c r="L187" s="406">
        <f>SUM(I187:K187)</f>
        <v>62882.391300000003</v>
      </c>
      <c r="M187" s="376"/>
    </row>
    <row r="188" spans="1:13" hidden="1">
      <c r="A188" s="386"/>
      <c r="B188" s="388"/>
      <c r="C188" s="394"/>
      <c r="D188" s="350"/>
      <c r="E188" s="394"/>
      <c r="F188" s="394"/>
      <c r="G188" s="394"/>
      <c r="H188" s="394"/>
      <c r="I188" s="394"/>
      <c r="J188" s="394"/>
      <c r="K188" s="394"/>
      <c r="L188" s="406"/>
      <c r="M188" s="376"/>
    </row>
    <row r="189" spans="1:13" hidden="1">
      <c r="A189" s="386" t="s">
        <v>16</v>
      </c>
      <c r="B189" s="394">
        <v>11578.051800000001</v>
      </c>
      <c r="C189" s="394">
        <v>186.4462</v>
      </c>
      <c r="D189" s="394">
        <v>0</v>
      </c>
      <c r="E189" s="394">
        <v>8.5416000000000007</v>
      </c>
      <c r="F189" s="394">
        <f>+E189+C189</f>
        <v>194.98779999999999</v>
      </c>
      <c r="G189" s="394">
        <v>19319.9362</v>
      </c>
      <c r="H189" s="394">
        <v>0</v>
      </c>
      <c r="I189" s="394">
        <f>SUM(F189:H189,B189)</f>
        <v>31092.9758</v>
      </c>
      <c r="J189" s="394">
        <v>8.0000000000000002E-3</v>
      </c>
      <c r="K189" s="394">
        <v>42676.312399999995</v>
      </c>
      <c r="L189" s="406">
        <f>SUM(I189:K189)</f>
        <v>73769.296199999997</v>
      </c>
      <c r="M189" s="376"/>
    </row>
    <row r="190" spans="1:13" hidden="1">
      <c r="A190" s="386"/>
      <c r="B190" s="388"/>
      <c r="C190" s="394"/>
      <c r="D190" s="350"/>
      <c r="E190" s="394"/>
      <c r="F190" s="394"/>
      <c r="G190" s="394"/>
      <c r="H190" s="394"/>
      <c r="I190" s="394"/>
      <c r="J190" s="394"/>
      <c r="K190" s="394"/>
      <c r="L190" s="406"/>
      <c r="M190" s="376"/>
    </row>
    <row r="191" spans="1:13" hidden="1">
      <c r="A191" s="410">
        <v>2006</v>
      </c>
      <c r="B191" s="388"/>
      <c r="C191" s="394"/>
      <c r="D191" s="350"/>
      <c r="E191" s="394"/>
      <c r="F191" s="394"/>
      <c r="G191" s="394"/>
      <c r="H191" s="394"/>
      <c r="I191" s="394"/>
      <c r="J191" s="394"/>
      <c r="K191" s="394"/>
      <c r="L191" s="406"/>
      <c r="M191" s="376"/>
    </row>
    <row r="192" spans="1:13" hidden="1">
      <c r="A192" s="386"/>
      <c r="B192" s="388"/>
      <c r="C192" s="394"/>
      <c r="D192" s="350"/>
      <c r="E192" s="394"/>
      <c r="F192" s="394"/>
      <c r="G192" s="394"/>
      <c r="H192" s="394"/>
      <c r="I192" s="394"/>
      <c r="J192" s="394"/>
      <c r="K192" s="394"/>
      <c r="L192" s="406"/>
      <c r="M192" s="376"/>
    </row>
    <row r="193" spans="1:13" hidden="1">
      <c r="A193" s="386" t="s">
        <v>8</v>
      </c>
      <c r="B193" s="394">
        <v>12762.766599999999</v>
      </c>
      <c r="C193" s="394">
        <v>478.62520000000001</v>
      </c>
      <c r="D193" s="394">
        <v>0</v>
      </c>
      <c r="E193" s="394">
        <v>707.62909999999999</v>
      </c>
      <c r="F193" s="394">
        <f>+E193+C193</f>
        <v>1186.2543000000001</v>
      </c>
      <c r="G193" s="394">
        <v>32041.712899999999</v>
      </c>
      <c r="H193" s="394">
        <v>0</v>
      </c>
      <c r="I193" s="394">
        <f>SUM(F193:H193,B193)</f>
        <v>45990.733800000002</v>
      </c>
      <c r="J193" s="394">
        <v>8.0000000000000002E-3</v>
      </c>
      <c r="K193" s="394">
        <v>67523.52459999999</v>
      </c>
      <c r="L193" s="406">
        <f>SUM(I193:K193)</f>
        <v>113514.26639999999</v>
      </c>
      <c r="M193" s="376"/>
    </row>
    <row r="194" spans="1:13" hidden="1">
      <c r="A194" s="386"/>
      <c r="B194" s="388"/>
      <c r="C194" s="394"/>
      <c r="D194" s="350"/>
      <c r="E194" s="394"/>
      <c r="F194" s="394"/>
      <c r="G194" s="394">
        <v>0</v>
      </c>
      <c r="H194" s="394">
        <v>0</v>
      </c>
      <c r="I194" s="394"/>
      <c r="J194" s="394"/>
      <c r="K194" s="394"/>
      <c r="L194" s="406"/>
      <c r="M194" s="376"/>
    </row>
    <row r="195" spans="1:13" hidden="1">
      <c r="A195" s="386" t="s">
        <v>9</v>
      </c>
      <c r="B195" s="394">
        <v>15572.2075</v>
      </c>
      <c r="C195" s="394">
        <v>3557.6941000000002</v>
      </c>
      <c r="D195" s="394">
        <v>0</v>
      </c>
      <c r="E195" s="394">
        <v>460.5616</v>
      </c>
      <c r="F195" s="394">
        <f>+E195+C195</f>
        <v>4018.2557000000002</v>
      </c>
      <c r="G195" s="394">
        <v>31812.0409</v>
      </c>
      <c r="H195" s="394">
        <v>0</v>
      </c>
      <c r="I195" s="394">
        <f>SUM(F195:H195,B195)</f>
        <v>51402.504100000006</v>
      </c>
      <c r="J195" s="394">
        <v>8.0000000000000002E-3</v>
      </c>
      <c r="K195" s="394">
        <v>80299.262199999997</v>
      </c>
      <c r="L195" s="406">
        <f>SUM(I195:K195)</f>
        <v>131701.77429999999</v>
      </c>
      <c r="M195" s="376"/>
    </row>
    <row r="196" spans="1:13" hidden="1">
      <c r="A196" s="386"/>
      <c r="B196" s="388"/>
      <c r="C196" s="394"/>
      <c r="D196" s="350"/>
      <c r="E196" s="394"/>
      <c r="F196" s="394"/>
      <c r="G196" s="394"/>
      <c r="H196" s="394"/>
      <c r="I196" s="394"/>
      <c r="J196" s="394"/>
      <c r="K196" s="394"/>
      <c r="L196" s="406"/>
      <c r="M196" s="376"/>
    </row>
    <row r="197" spans="1:13" hidden="1">
      <c r="A197" s="386" t="s">
        <v>10</v>
      </c>
      <c r="B197" s="394">
        <v>18374.422500000001</v>
      </c>
      <c r="C197" s="394">
        <v>7476.0174000000006</v>
      </c>
      <c r="D197" s="394">
        <v>0</v>
      </c>
      <c r="E197" s="394">
        <v>493.61240000000004</v>
      </c>
      <c r="F197" s="394">
        <f>+E197+C197</f>
        <v>7969.6298000000006</v>
      </c>
      <c r="G197" s="394">
        <v>38372.680700000004</v>
      </c>
      <c r="H197" s="394">
        <v>0</v>
      </c>
      <c r="I197" s="394">
        <f>SUM(F197:H197,B197)</f>
        <v>64716.733000000007</v>
      </c>
      <c r="J197" s="394">
        <v>6.0000000000000001E-3</v>
      </c>
      <c r="K197" s="394">
        <v>-34768.866200000004</v>
      </c>
      <c r="L197" s="406">
        <f>SUM(I197:K197)</f>
        <v>29947.872800000005</v>
      </c>
      <c r="M197" s="376"/>
    </row>
    <row r="198" spans="1:13" hidden="1">
      <c r="A198" s="386"/>
      <c r="B198" s="388"/>
      <c r="C198" s="394"/>
      <c r="D198" s="350"/>
      <c r="E198" s="394"/>
      <c r="F198" s="394"/>
      <c r="G198" s="394"/>
      <c r="H198" s="394"/>
      <c r="I198" s="394"/>
      <c r="J198" s="394"/>
      <c r="K198" s="394"/>
      <c r="L198" s="406"/>
      <c r="M198" s="376"/>
    </row>
    <row r="199" spans="1:13" hidden="1">
      <c r="A199" s="386" t="s">
        <v>11</v>
      </c>
      <c r="B199" s="394">
        <v>21661.610399999998</v>
      </c>
      <c r="C199" s="394">
        <v>8710.8448000000008</v>
      </c>
      <c r="D199" s="394">
        <v>0</v>
      </c>
      <c r="E199" s="394">
        <v>1006.3281999999999</v>
      </c>
      <c r="F199" s="394">
        <f>+E199+C199</f>
        <v>9717.1730000000007</v>
      </c>
      <c r="G199" s="394">
        <v>40207.423000000003</v>
      </c>
      <c r="H199" s="394">
        <v>0</v>
      </c>
      <c r="I199" s="394">
        <f>SUM(F199:H199,B199)</f>
        <v>71586.206399999995</v>
      </c>
      <c r="J199" s="394">
        <v>6.0000000000000001E-3</v>
      </c>
      <c r="K199" s="394">
        <v>-43782.813200000004</v>
      </c>
      <c r="L199" s="406">
        <f>SUM(I199:K199)</f>
        <v>27803.399199999985</v>
      </c>
      <c r="M199" s="376"/>
    </row>
    <row r="200" spans="1:13" hidden="1">
      <c r="A200" s="386"/>
      <c r="B200" s="388"/>
      <c r="C200" s="394"/>
      <c r="D200" s="350"/>
      <c r="E200" s="394"/>
      <c r="F200" s="394"/>
      <c r="G200" s="394"/>
      <c r="H200" s="394"/>
      <c r="I200" s="394"/>
      <c r="J200" s="394"/>
      <c r="K200" s="394"/>
      <c r="L200" s="406"/>
      <c r="M200" s="376"/>
    </row>
    <row r="201" spans="1:13" hidden="1">
      <c r="A201" s="386" t="s">
        <v>337</v>
      </c>
      <c r="B201" s="394">
        <v>31344.915499999999</v>
      </c>
      <c r="C201" s="394">
        <v>15963.8161</v>
      </c>
      <c r="D201" s="394">
        <v>0</v>
      </c>
      <c r="E201" s="394">
        <v>1086.4586000000002</v>
      </c>
      <c r="F201" s="394">
        <f>+E201+C201</f>
        <v>17050.274700000002</v>
      </c>
      <c r="G201" s="394">
        <v>39471.119500000001</v>
      </c>
      <c r="H201" s="394">
        <v>0</v>
      </c>
      <c r="I201" s="394">
        <f>SUM(F201:H201,B201)</f>
        <v>87866.309699999998</v>
      </c>
      <c r="J201" s="394">
        <v>6.0000000000000001E-3</v>
      </c>
      <c r="K201" s="394">
        <v>-54910.4061</v>
      </c>
      <c r="L201" s="406">
        <f>SUM(I201:K201)</f>
        <v>32955.909599999992</v>
      </c>
      <c r="M201" s="376"/>
    </row>
    <row r="202" spans="1:13" hidden="1">
      <c r="A202" s="386"/>
      <c r="B202" s="388"/>
      <c r="C202" s="394"/>
      <c r="D202" s="350"/>
      <c r="E202" s="394"/>
      <c r="F202" s="394"/>
      <c r="G202" s="394"/>
      <c r="H202" s="394"/>
      <c r="I202" s="394"/>
      <c r="J202" s="394"/>
      <c r="K202" s="394"/>
      <c r="L202" s="406"/>
      <c r="M202" s="376"/>
    </row>
    <row r="203" spans="1:13" hidden="1">
      <c r="A203" s="386" t="s">
        <v>346</v>
      </c>
      <c r="B203" s="394">
        <v>42009.468200000003</v>
      </c>
      <c r="C203" s="394">
        <v>13946.209699999999</v>
      </c>
      <c r="D203" s="394">
        <v>0</v>
      </c>
      <c r="E203" s="394">
        <v>655.88119999999992</v>
      </c>
      <c r="F203" s="394">
        <f>+E203+C203</f>
        <v>14602.090899999999</v>
      </c>
      <c r="G203" s="394">
        <v>33199.954399999995</v>
      </c>
      <c r="H203" s="394">
        <v>0</v>
      </c>
      <c r="I203" s="394">
        <f>SUM(F203:H203,B203)</f>
        <v>89811.513500000001</v>
      </c>
      <c r="J203" s="394">
        <v>8.0000000000000002E-3</v>
      </c>
      <c r="K203" s="394">
        <v>176427.89330000003</v>
      </c>
      <c r="L203" s="406">
        <f>SUM(I203:K203)</f>
        <v>266239.41480000003</v>
      </c>
      <c r="M203" s="376"/>
    </row>
    <row r="204" spans="1:13" hidden="1">
      <c r="A204" s="386"/>
      <c r="B204" s="388"/>
      <c r="C204" s="394"/>
      <c r="D204" s="350"/>
      <c r="E204" s="394"/>
      <c r="F204" s="394"/>
      <c r="G204" s="394"/>
      <c r="H204" s="394"/>
      <c r="I204" s="394"/>
      <c r="J204" s="394"/>
      <c r="K204" s="394"/>
      <c r="L204" s="406"/>
      <c r="M204" s="376"/>
    </row>
    <row r="205" spans="1:13" hidden="1">
      <c r="A205" s="386" t="s">
        <v>347</v>
      </c>
      <c r="B205" s="394">
        <v>50925.605000000003</v>
      </c>
      <c r="C205" s="394">
        <v>26504.6253</v>
      </c>
      <c r="D205" s="394">
        <v>0</v>
      </c>
      <c r="E205" s="394">
        <v>1275.001</v>
      </c>
      <c r="F205" s="394">
        <f>+E205+C205</f>
        <v>27779.6263</v>
      </c>
      <c r="G205" s="394">
        <v>30397.931499999999</v>
      </c>
      <c r="H205" s="394">
        <v>0</v>
      </c>
      <c r="I205" s="394">
        <f>SUM(F205:H205,B205)</f>
        <v>109103.16279999999</v>
      </c>
      <c r="J205" s="394">
        <v>8.0000000000000002E-3</v>
      </c>
      <c r="K205" s="394">
        <v>229015.864</v>
      </c>
      <c r="L205" s="406">
        <f>SUM(I205:K205)</f>
        <v>338119.03480000002</v>
      </c>
      <c r="M205" s="376"/>
    </row>
    <row r="206" spans="1:13" hidden="1">
      <c r="A206" s="386"/>
      <c r="B206" s="388"/>
      <c r="C206" s="394"/>
      <c r="D206" s="350"/>
      <c r="E206" s="394"/>
      <c r="F206" s="394"/>
      <c r="G206" s="394"/>
      <c r="H206" s="394"/>
      <c r="I206" s="394"/>
      <c r="J206" s="394"/>
      <c r="K206" s="394"/>
      <c r="L206" s="406"/>
      <c r="M206" s="376"/>
    </row>
    <row r="207" spans="1:13" hidden="1">
      <c r="A207" s="386" t="s">
        <v>12</v>
      </c>
      <c r="B207" s="394">
        <v>66172.44279999999</v>
      </c>
      <c r="C207" s="394">
        <v>64514.198499999999</v>
      </c>
      <c r="D207" s="394">
        <v>0</v>
      </c>
      <c r="E207" s="394">
        <v>348.14949999999999</v>
      </c>
      <c r="F207" s="394">
        <f>+E207+C207</f>
        <v>64862.347999999998</v>
      </c>
      <c r="G207" s="394">
        <v>77373.359200000006</v>
      </c>
      <c r="H207" s="394">
        <v>0</v>
      </c>
      <c r="I207" s="394">
        <f>SUM(F207:H207,B207)</f>
        <v>208408.15</v>
      </c>
      <c r="J207" s="394">
        <v>6.0000000000000001E-3</v>
      </c>
      <c r="K207" s="394">
        <v>-124540.32550000001</v>
      </c>
      <c r="L207" s="406">
        <f>SUM(I207:K207)</f>
        <v>83867.830499999982</v>
      </c>
      <c r="M207" s="376"/>
    </row>
    <row r="208" spans="1:13" hidden="1">
      <c r="A208" s="386"/>
      <c r="B208" s="388"/>
      <c r="C208" s="394"/>
      <c r="D208" s="350"/>
      <c r="E208" s="394"/>
      <c r="F208" s="394"/>
      <c r="G208" s="394"/>
      <c r="H208" s="394"/>
      <c r="I208" s="394"/>
      <c r="J208" s="394"/>
      <c r="K208" s="394"/>
      <c r="L208" s="406"/>
      <c r="M208" s="376"/>
    </row>
    <row r="209" spans="1:13" hidden="1">
      <c r="A209" s="386" t="s">
        <v>13</v>
      </c>
      <c r="B209" s="394">
        <v>93841.348700000002</v>
      </c>
      <c r="C209" s="394">
        <v>52383.299899999998</v>
      </c>
      <c r="D209" s="394">
        <v>0</v>
      </c>
      <c r="E209" s="394">
        <v>3760.6261</v>
      </c>
      <c r="F209" s="394">
        <f>56143925.7/1000</f>
        <v>56143.9257</v>
      </c>
      <c r="G209" s="394">
        <v>83883.762599999987</v>
      </c>
      <c r="H209" s="394">
        <v>0</v>
      </c>
      <c r="I209" s="394">
        <f>(SUM(F209:H209,B209))</f>
        <v>233869.03699999998</v>
      </c>
      <c r="J209" s="394">
        <v>8.0000000000000002E-3</v>
      </c>
      <c r="K209" s="394">
        <v>373921.60130000004</v>
      </c>
      <c r="L209" s="406">
        <f>SUM(I209:K209)</f>
        <v>607790.64630000002</v>
      </c>
      <c r="M209" s="376"/>
    </row>
    <row r="210" spans="1:13" hidden="1">
      <c r="A210" s="386"/>
      <c r="B210" s="388"/>
      <c r="C210" s="394"/>
      <c r="D210" s="350"/>
      <c r="E210" s="394"/>
      <c r="F210" s="394"/>
      <c r="G210" s="394"/>
      <c r="H210" s="394"/>
      <c r="I210" s="394"/>
      <c r="J210" s="394"/>
      <c r="K210" s="394"/>
      <c r="L210" s="406"/>
      <c r="M210" s="376"/>
    </row>
    <row r="211" spans="1:13" hidden="1">
      <c r="A211" s="386" t="s">
        <v>14</v>
      </c>
      <c r="B211" s="388">
        <v>123272.9</v>
      </c>
      <c r="C211" s="394">
        <v>54010.7</v>
      </c>
      <c r="D211" s="350">
        <v>0</v>
      </c>
      <c r="E211" s="394">
        <v>13252.9</v>
      </c>
      <c r="F211" s="394">
        <v>67263.600000000006</v>
      </c>
      <c r="G211" s="394">
        <v>83438.399999999994</v>
      </c>
      <c r="H211" s="394">
        <v>0</v>
      </c>
      <c r="I211" s="394">
        <v>273974.90000000002</v>
      </c>
      <c r="J211" s="394">
        <v>0</v>
      </c>
      <c r="K211" s="394">
        <v>498771.9</v>
      </c>
      <c r="L211" s="406">
        <f>SUM(I211:K211)</f>
        <v>772746.8</v>
      </c>
      <c r="M211" s="376"/>
    </row>
    <row r="212" spans="1:13" hidden="1">
      <c r="A212" s="386"/>
      <c r="B212" s="388"/>
      <c r="C212" s="394"/>
      <c r="D212" s="350"/>
      <c r="E212" s="394"/>
      <c r="F212" s="394"/>
      <c r="G212" s="394"/>
      <c r="H212" s="394"/>
      <c r="I212" s="394"/>
      <c r="J212" s="394"/>
      <c r="K212" s="394"/>
      <c r="L212" s="406"/>
      <c r="M212" s="376"/>
    </row>
    <row r="213" spans="1:13" hidden="1">
      <c r="A213" s="386" t="s">
        <v>15</v>
      </c>
      <c r="B213" s="388">
        <v>175364.9</v>
      </c>
      <c r="C213" s="394">
        <v>49874.5</v>
      </c>
      <c r="D213" s="350">
        <v>0</v>
      </c>
      <c r="E213" s="394">
        <v>9062.4</v>
      </c>
      <c r="F213" s="394">
        <v>58936.9</v>
      </c>
      <c r="G213" s="394">
        <v>92995.6</v>
      </c>
      <c r="H213" s="394">
        <v>0</v>
      </c>
      <c r="I213" s="394">
        <v>327297.40000000002</v>
      </c>
      <c r="J213" s="394">
        <v>0</v>
      </c>
      <c r="K213" s="394">
        <v>633404.30000000005</v>
      </c>
      <c r="L213" s="406">
        <v>960701.7</v>
      </c>
      <c r="M213" s="376"/>
    </row>
    <row r="214" spans="1:13" hidden="1">
      <c r="A214" s="386"/>
      <c r="B214" s="388"/>
      <c r="C214" s="394"/>
      <c r="D214" s="350"/>
      <c r="E214" s="394"/>
      <c r="F214" s="394"/>
      <c r="G214" s="394"/>
      <c r="H214" s="394"/>
      <c r="I214" s="394"/>
      <c r="J214" s="394"/>
      <c r="K214" s="394"/>
      <c r="L214" s="406"/>
      <c r="M214" s="376"/>
    </row>
    <row r="215" spans="1:13" hidden="1">
      <c r="A215" s="386" t="s">
        <v>16</v>
      </c>
      <c r="B215" s="388">
        <v>277183.7</v>
      </c>
      <c r="C215" s="394">
        <v>18510.599999999999</v>
      </c>
      <c r="D215" s="350">
        <v>0</v>
      </c>
      <c r="E215" s="394">
        <v>3830</v>
      </c>
      <c r="F215" s="394">
        <v>22340.6</v>
      </c>
      <c r="G215" s="394">
        <v>97927.7</v>
      </c>
      <c r="H215" s="394">
        <v>0</v>
      </c>
      <c r="I215" s="394">
        <f>(SUM(F215:H215,B215))</f>
        <v>397452</v>
      </c>
      <c r="J215" s="394">
        <v>0</v>
      </c>
      <c r="K215" s="394">
        <v>751538.2</v>
      </c>
      <c r="L215" s="406">
        <f>SUM(I215:K215)</f>
        <v>1148990.2</v>
      </c>
      <c r="M215" s="376"/>
    </row>
    <row r="216" spans="1:13" hidden="1">
      <c r="A216" s="386"/>
      <c r="B216" s="388"/>
      <c r="C216" s="394"/>
      <c r="D216" s="350"/>
      <c r="E216" s="394"/>
      <c r="F216" s="394"/>
      <c r="G216" s="394"/>
      <c r="H216" s="394"/>
      <c r="I216" s="394"/>
      <c r="J216" s="394"/>
      <c r="K216" s="394"/>
      <c r="L216" s="406"/>
      <c r="M216" s="376"/>
    </row>
    <row r="217" spans="1:13" hidden="1">
      <c r="A217" s="410">
        <v>2007</v>
      </c>
      <c r="B217" s="388"/>
      <c r="C217" s="394"/>
      <c r="D217" s="350"/>
      <c r="E217" s="394"/>
      <c r="F217" s="394"/>
      <c r="G217" s="394"/>
      <c r="H217" s="394"/>
      <c r="I217" s="394"/>
      <c r="J217" s="394"/>
      <c r="K217" s="394"/>
      <c r="L217" s="406"/>
      <c r="M217" s="376"/>
    </row>
    <row r="218" spans="1:13" hidden="1">
      <c r="A218" s="386"/>
      <c r="B218" s="388"/>
      <c r="C218" s="394"/>
      <c r="D218" s="350"/>
      <c r="E218" s="394"/>
      <c r="F218" s="394"/>
      <c r="G218" s="394"/>
      <c r="H218" s="394"/>
      <c r="I218" s="394"/>
      <c r="J218" s="394"/>
      <c r="K218" s="394"/>
      <c r="L218" s="406"/>
      <c r="M218" s="376"/>
    </row>
    <row r="219" spans="1:13" hidden="1">
      <c r="A219" s="386" t="s">
        <v>8</v>
      </c>
      <c r="B219" s="388">
        <v>324411.59999999998</v>
      </c>
      <c r="C219" s="394">
        <v>46227.7</v>
      </c>
      <c r="D219" s="350">
        <v>0</v>
      </c>
      <c r="E219" s="394">
        <v>3078.1</v>
      </c>
      <c r="F219" s="394">
        <v>49305.8</v>
      </c>
      <c r="G219" s="394">
        <v>101633.60000000001</v>
      </c>
      <c r="H219" s="394">
        <v>0</v>
      </c>
      <c r="I219" s="394">
        <v>475351</v>
      </c>
      <c r="J219" s="394">
        <v>0</v>
      </c>
      <c r="K219" s="394">
        <v>1115910.7</v>
      </c>
      <c r="L219" s="406">
        <f>SUM(I219:K219)</f>
        <v>1591261.7</v>
      </c>
      <c r="M219" s="376"/>
    </row>
    <row r="220" spans="1:13" hidden="1">
      <c r="A220" s="386"/>
      <c r="B220" s="388"/>
      <c r="C220" s="394"/>
      <c r="D220" s="350"/>
      <c r="E220" s="394"/>
      <c r="F220" s="394"/>
      <c r="G220" s="394"/>
      <c r="H220" s="394"/>
      <c r="I220" s="394"/>
      <c r="J220" s="394"/>
      <c r="K220" s="394"/>
      <c r="L220" s="406"/>
      <c r="M220" s="376"/>
    </row>
    <row r="221" spans="1:13" hidden="1">
      <c r="A221" s="386" t="s">
        <v>9</v>
      </c>
      <c r="B221" s="388">
        <v>472036.6</v>
      </c>
      <c r="C221" s="394">
        <v>107665</v>
      </c>
      <c r="D221" s="350">
        <v>0</v>
      </c>
      <c r="E221" s="394">
        <v>4079.6</v>
      </c>
      <c r="F221" s="394">
        <v>111744.6</v>
      </c>
      <c r="G221" s="394">
        <v>9064449.1999999993</v>
      </c>
      <c r="H221" s="394">
        <v>0</v>
      </c>
      <c r="I221" s="394">
        <v>9648230.4000000004</v>
      </c>
      <c r="J221" s="394">
        <v>0</v>
      </c>
      <c r="K221" s="394">
        <v>-7604012.9000000004</v>
      </c>
      <c r="L221" s="406">
        <f>SUM(I221:K221)</f>
        <v>2044217.5</v>
      </c>
      <c r="M221" s="376"/>
    </row>
    <row r="222" spans="1:13" hidden="1">
      <c r="A222" s="386"/>
      <c r="B222" s="388"/>
      <c r="C222" s="394"/>
      <c r="D222" s="350"/>
      <c r="E222" s="394"/>
      <c r="F222" s="394"/>
      <c r="G222" s="394"/>
      <c r="H222" s="394"/>
      <c r="I222" s="394"/>
      <c r="J222" s="394"/>
      <c r="K222" s="394"/>
      <c r="L222" s="406"/>
      <c r="M222" s="376"/>
    </row>
    <row r="223" spans="1:13" hidden="1">
      <c r="A223" s="386" t="s">
        <v>10</v>
      </c>
      <c r="B223" s="388">
        <v>890249.4</v>
      </c>
      <c r="C223" s="394">
        <v>233850.2</v>
      </c>
      <c r="D223" s="350">
        <v>0</v>
      </c>
      <c r="E223" s="394">
        <v>4556.8999999999996</v>
      </c>
      <c r="F223" s="394">
        <v>238407.1</v>
      </c>
      <c r="G223" s="394">
        <v>114527.2</v>
      </c>
      <c r="H223" s="394">
        <v>0</v>
      </c>
      <c r="I223" s="394">
        <v>1243183.7</v>
      </c>
      <c r="J223" s="394">
        <v>0</v>
      </c>
      <c r="K223" s="394">
        <v>1691892.9</v>
      </c>
      <c r="L223" s="406">
        <f>SUM(I223:K223)</f>
        <v>2935076.5999999996</v>
      </c>
      <c r="M223" s="376"/>
    </row>
    <row r="224" spans="1:13" hidden="1">
      <c r="A224" s="386"/>
      <c r="B224" s="388"/>
      <c r="C224" s="394"/>
      <c r="D224" s="350"/>
      <c r="E224" s="394"/>
      <c r="F224" s="394"/>
      <c r="G224" s="394"/>
      <c r="H224" s="394"/>
      <c r="I224" s="394"/>
      <c r="J224" s="394"/>
      <c r="K224" s="394"/>
      <c r="L224" s="406"/>
      <c r="M224" s="376"/>
    </row>
    <row r="225" spans="1:13" hidden="1">
      <c r="A225" s="386" t="s">
        <v>11</v>
      </c>
      <c r="B225" s="388">
        <v>1635153.8</v>
      </c>
      <c r="C225" s="394">
        <v>650455.19999999995</v>
      </c>
      <c r="D225" s="350">
        <v>0</v>
      </c>
      <c r="E225" s="394">
        <v>9761.9</v>
      </c>
      <c r="F225" s="394">
        <v>660217.1</v>
      </c>
      <c r="G225" s="394">
        <v>109972.5</v>
      </c>
      <c r="H225" s="394">
        <v>0</v>
      </c>
      <c r="I225" s="394">
        <v>2405343.4</v>
      </c>
      <c r="J225" s="394">
        <v>0</v>
      </c>
      <c r="K225" s="394">
        <v>2185617.7999999998</v>
      </c>
      <c r="L225" s="406">
        <f>SUM(I225:K225)</f>
        <v>4590961.1999999993</v>
      </c>
      <c r="M225" s="376"/>
    </row>
    <row r="226" spans="1:13" hidden="1">
      <c r="A226" s="386"/>
      <c r="B226" s="388"/>
      <c r="C226" s="394"/>
      <c r="D226" s="350"/>
      <c r="E226" s="394"/>
      <c r="F226" s="394"/>
      <c r="G226" s="394"/>
      <c r="H226" s="394"/>
      <c r="I226" s="394"/>
      <c r="J226" s="394"/>
      <c r="K226" s="394"/>
      <c r="L226" s="406"/>
      <c r="M226" s="376"/>
    </row>
    <row r="227" spans="1:13" hidden="1">
      <c r="A227" s="386" t="s">
        <v>337</v>
      </c>
      <c r="B227" s="388">
        <v>3286738.9</v>
      </c>
      <c r="C227" s="394">
        <v>158688.79999999999</v>
      </c>
      <c r="D227" s="350">
        <v>0</v>
      </c>
      <c r="E227" s="394">
        <v>88164.800000000003</v>
      </c>
      <c r="F227" s="394">
        <v>1673853.6</v>
      </c>
      <c r="G227" s="394">
        <v>110755.9</v>
      </c>
      <c r="H227" s="394">
        <v>0</v>
      </c>
      <c r="I227" s="394">
        <v>5071348.4000000004</v>
      </c>
      <c r="J227" s="394">
        <v>0</v>
      </c>
      <c r="K227" s="394">
        <v>4269260.7</v>
      </c>
      <c r="L227" s="406">
        <f>SUM(I227:K227)</f>
        <v>9340609.1000000015</v>
      </c>
      <c r="M227" s="376"/>
    </row>
    <row r="228" spans="1:13" hidden="1">
      <c r="A228" s="386"/>
      <c r="B228" s="388"/>
      <c r="C228" s="394"/>
      <c r="D228" s="350"/>
      <c r="E228" s="394"/>
      <c r="F228" s="394"/>
      <c r="G228" s="394"/>
      <c r="H228" s="394"/>
      <c r="I228" s="394"/>
      <c r="J228" s="394"/>
      <c r="K228" s="394"/>
      <c r="L228" s="406"/>
      <c r="M228" s="376"/>
    </row>
    <row r="229" spans="1:13" hidden="1">
      <c r="A229" s="386" t="s">
        <v>346</v>
      </c>
      <c r="B229" s="388">
        <v>8336200.7999999998</v>
      </c>
      <c r="C229" s="394">
        <v>3690720.3</v>
      </c>
      <c r="D229" s="350">
        <v>0</v>
      </c>
      <c r="E229" s="394">
        <v>81170.100000000006</v>
      </c>
      <c r="F229" s="394">
        <v>3771890.4</v>
      </c>
      <c r="G229" s="394">
        <v>109585.7</v>
      </c>
      <c r="H229" s="394">
        <v>0</v>
      </c>
      <c r="I229" s="394">
        <v>12217676.9</v>
      </c>
      <c r="J229" s="394">
        <v>0</v>
      </c>
      <c r="K229" s="394">
        <v>9343520.9000000004</v>
      </c>
      <c r="L229" s="406">
        <f>SUM(I229:K229)</f>
        <v>21561197.800000001</v>
      </c>
      <c r="M229" s="376"/>
    </row>
    <row r="230" spans="1:13" hidden="1">
      <c r="A230" s="386"/>
      <c r="B230" s="388"/>
      <c r="C230" s="394"/>
      <c r="D230" s="350"/>
      <c r="E230" s="394"/>
      <c r="F230" s="394"/>
      <c r="G230" s="394"/>
      <c r="H230" s="394"/>
      <c r="I230" s="394"/>
      <c r="J230" s="394"/>
      <c r="K230" s="394"/>
      <c r="L230" s="406"/>
      <c r="M230" s="376"/>
    </row>
    <row r="231" spans="1:13" hidden="1">
      <c r="A231" s="386" t="s">
        <v>347</v>
      </c>
      <c r="B231" s="388">
        <v>13984533.199999999</v>
      </c>
      <c r="C231" s="394">
        <v>7166714.2000000002</v>
      </c>
      <c r="D231" s="350">
        <v>0</v>
      </c>
      <c r="E231" s="394">
        <v>158718</v>
      </c>
      <c r="F231" s="394">
        <v>7325432.2000000002</v>
      </c>
      <c r="G231" s="394">
        <v>105964.7</v>
      </c>
      <c r="H231" s="394">
        <v>0</v>
      </c>
      <c r="I231" s="394">
        <v>21415930.100000001</v>
      </c>
      <c r="J231" s="394">
        <v>0</v>
      </c>
      <c r="K231" s="394">
        <v>13747703.1</v>
      </c>
      <c r="L231" s="406">
        <f>SUM(I231:K231)</f>
        <v>35163633.200000003</v>
      </c>
      <c r="M231" s="376"/>
    </row>
    <row r="232" spans="1:13" hidden="1">
      <c r="A232" s="386"/>
      <c r="B232" s="388"/>
      <c r="C232" s="394"/>
      <c r="D232" s="350"/>
      <c r="E232" s="394"/>
      <c r="F232" s="394"/>
      <c r="G232" s="394"/>
      <c r="H232" s="394"/>
      <c r="I232" s="394"/>
      <c r="J232" s="394"/>
      <c r="K232" s="394"/>
      <c r="L232" s="406"/>
      <c r="M232" s="376"/>
    </row>
    <row r="233" spans="1:13" hidden="1">
      <c r="A233" s="386" t="s">
        <v>12</v>
      </c>
      <c r="B233" s="388">
        <v>18100170.300000001</v>
      </c>
      <c r="C233" s="394">
        <v>10273811.699999999</v>
      </c>
      <c r="D233" s="350">
        <v>0</v>
      </c>
      <c r="E233" s="394">
        <v>347376</v>
      </c>
      <c r="F233" s="394">
        <v>10621187.699999999</v>
      </c>
      <c r="G233" s="394">
        <v>102867.4</v>
      </c>
      <c r="H233" s="394">
        <v>0</v>
      </c>
      <c r="I233" s="394">
        <v>28824225.399999999</v>
      </c>
      <c r="J233" s="394">
        <v>0</v>
      </c>
      <c r="K233" s="394">
        <v>20668653.600000001</v>
      </c>
      <c r="L233" s="406">
        <f>SUM(I233:K233)</f>
        <v>49492879</v>
      </c>
      <c r="M233" s="376"/>
    </row>
    <row r="234" spans="1:13" hidden="1">
      <c r="A234" s="386"/>
      <c r="B234" s="388"/>
      <c r="C234" s="394"/>
      <c r="D234" s="350"/>
      <c r="E234" s="394"/>
      <c r="F234" s="394"/>
      <c r="G234" s="394"/>
      <c r="H234" s="394"/>
      <c r="I234" s="394"/>
      <c r="J234" s="394"/>
      <c r="K234" s="394"/>
      <c r="L234" s="406"/>
      <c r="M234" s="376"/>
    </row>
    <row r="235" spans="1:13" hidden="1">
      <c r="A235" s="386" t="s">
        <v>13</v>
      </c>
      <c r="B235" s="388">
        <v>25200030.5</v>
      </c>
      <c r="C235" s="394">
        <v>13361425.6</v>
      </c>
      <c r="D235" s="350">
        <v>0</v>
      </c>
      <c r="E235" s="394">
        <v>524926.9</v>
      </c>
      <c r="F235" s="394">
        <v>13886352.5</v>
      </c>
      <c r="G235" s="394">
        <v>11049889.4</v>
      </c>
      <c r="H235" s="394">
        <v>0</v>
      </c>
      <c r="I235" s="394">
        <v>50136272.399999999</v>
      </c>
      <c r="J235" s="394">
        <v>0</v>
      </c>
      <c r="K235" s="394">
        <v>32128504.300000001</v>
      </c>
      <c r="L235" s="406">
        <f>SUM(I235:K235)</f>
        <v>82264776.700000003</v>
      </c>
      <c r="M235" s="376"/>
    </row>
    <row r="236" spans="1:13" hidden="1">
      <c r="A236" s="386"/>
      <c r="B236" s="388"/>
      <c r="C236" s="394"/>
      <c r="D236" s="350"/>
      <c r="E236" s="394"/>
      <c r="F236" s="394"/>
      <c r="G236" s="394"/>
      <c r="H236" s="394"/>
      <c r="I236" s="394"/>
      <c r="J236" s="394"/>
      <c r="K236" s="394"/>
      <c r="L236" s="406"/>
      <c r="M236" s="376"/>
    </row>
    <row r="237" spans="1:13" hidden="1">
      <c r="A237" s="386" t="s">
        <v>14</v>
      </c>
      <c r="B237" s="388">
        <v>45457816.299999997</v>
      </c>
      <c r="C237" s="394">
        <v>18205120.899999999</v>
      </c>
      <c r="D237" s="350">
        <v>0</v>
      </c>
      <c r="E237" s="394">
        <v>724599.2</v>
      </c>
      <c r="F237" s="394">
        <v>18929720.100000001</v>
      </c>
      <c r="G237" s="394">
        <v>15262957.5</v>
      </c>
      <c r="H237" s="394">
        <v>0</v>
      </c>
      <c r="I237" s="394">
        <v>79650493.900000006</v>
      </c>
      <c r="J237" s="394">
        <v>0</v>
      </c>
      <c r="K237" s="394">
        <v>102469697.90000001</v>
      </c>
      <c r="L237" s="406">
        <f>SUM(I237:K237)</f>
        <v>182120191.80000001</v>
      </c>
      <c r="M237" s="376"/>
    </row>
    <row r="238" spans="1:13" hidden="1">
      <c r="A238" s="386"/>
      <c r="B238" s="388"/>
      <c r="C238" s="394"/>
      <c r="D238" s="350"/>
      <c r="E238" s="394"/>
      <c r="F238" s="394"/>
      <c r="G238" s="394"/>
      <c r="H238" s="394"/>
      <c r="I238" s="394"/>
      <c r="J238" s="394"/>
      <c r="K238" s="394"/>
      <c r="L238" s="406"/>
      <c r="M238" s="376"/>
    </row>
    <row r="239" spans="1:13" hidden="1">
      <c r="A239" s="386" t="s">
        <v>15</v>
      </c>
      <c r="B239" s="388">
        <v>63821686.899999999</v>
      </c>
      <c r="C239" s="394">
        <v>22970817.899999999</v>
      </c>
      <c r="D239" s="350">
        <v>0</v>
      </c>
      <c r="E239" s="394">
        <v>4620930.5999999996</v>
      </c>
      <c r="F239" s="394">
        <v>27591748.5</v>
      </c>
      <c r="G239" s="394">
        <v>15268602.199999999</v>
      </c>
      <c r="H239" s="394">
        <v>0</v>
      </c>
      <c r="I239" s="394">
        <v>106682037.59999999</v>
      </c>
      <c r="J239" s="394">
        <v>0</v>
      </c>
      <c r="K239" s="394">
        <v>282383617.39999998</v>
      </c>
      <c r="L239" s="406">
        <f>SUM(I239:K239)</f>
        <v>389065655</v>
      </c>
      <c r="M239" s="376"/>
    </row>
    <row r="240" spans="1:13" hidden="1">
      <c r="A240" s="386"/>
      <c r="B240" s="388"/>
      <c r="C240" s="394"/>
      <c r="D240" s="350"/>
      <c r="E240" s="394"/>
      <c r="F240" s="394"/>
      <c r="G240" s="394"/>
      <c r="H240" s="394"/>
      <c r="I240" s="394"/>
      <c r="J240" s="394"/>
      <c r="K240" s="394"/>
      <c r="L240" s="406"/>
      <c r="M240" s="376"/>
    </row>
    <row r="241" spans="1:16" hidden="1">
      <c r="A241" s="386" t="s">
        <v>16</v>
      </c>
      <c r="B241" s="388">
        <v>92008668.700000003</v>
      </c>
      <c r="C241" s="394">
        <v>113394052.59999999</v>
      </c>
      <c r="D241" s="350">
        <v>0</v>
      </c>
      <c r="E241" s="394">
        <v>1371737.9</v>
      </c>
      <c r="F241" s="394">
        <v>114765790.5</v>
      </c>
      <c r="G241" s="394">
        <v>16005062</v>
      </c>
      <c r="H241" s="394">
        <v>0</v>
      </c>
      <c r="I241" s="394">
        <v>222779521.19999999</v>
      </c>
      <c r="J241" s="394">
        <v>0</v>
      </c>
      <c r="K241" s="394">
        <v>519835339.10000002</v>
      </c>
      <c r="L241" s="406">
        <f>SUM(I241:K241)</f>
        <v>742614860.29999995</v>
      </c>
      <c r="M241" s="376"/>
    </row>
    <row r="242" spans="1:16" hidden="1">
      <c r="A242" s="386"/>
      <c r="B242" s="388"/>
      <c r="C242" s="394"/>
      <c r="D242" s="350"/>
      <c r="E242" s="394"/>
      <c r="F242" s="394"/>
      <c r="G242" s="394"/>
      <c r="H242" s="394"/>
      <c r="I242" s="394"/>
      <c r="J242" s="394"/>
      <c r="K242" s="394"/>
      <c r="L242" s="406"/>
      <c r="M242" s="376"/>
    </row>
    <row r="243" spans="1:16" hidden="1">
      <c r="A243" s="410">
        <v>2008</v>
      </c>
      <c r="B243" s="388"/>
      <c r="C243" s="394"/>
      <c r="D243" s="350"/>
      <c r="E243" s="394"/>
      <c r="F243" s="394"/>
      <c r="G243" s="394"/>
      <c r="H243" s="394"/>
      <c r="I243" s="394"/>
      <c r="J243" s="394"/>
      <c r="K243" s="394"/>
      <c r="L243" s="406"/>
      <c r="M243" s="376"/>
    </row>
    <row r="244" spans="1:16" hidden="1">
      <c r="A244" s="413"/>
      <c r="B244" s="388"/>
      <c r="C244" s="394"/>
      <c r="D244" s="350"/>
      <c r="E244" s="394"/>
      <c r="F244" s="394"/>
      <c r="G244" s="394"/>
      <c r="H244" s="394"/>
      <c r="I244" s="394"/>
      <c r="J244" s="394"/>
      <c r="K244" s="394"/>
      <c r="L244" s="406"/>
      <c r="M244" s="376"/>
    </row>
    <row r="245" spans="1:16" hidden="1">
      <c r="A245" s="386" t="s">
        <v>8</v>
      </c>
      <c r="B245" s="350">
        <v>3.3983193360000004E-2</v>
      </c>
      <c r="C245" s="394">
        <v>1.084924078E-2</v>
      </c>
      <c r="D245" s="350">
        <v>0</v>
      </c>
      <c r="E245" s="394">
        <v>1.084924078E-2</v>
      </c>
      <c r="F245" s="394">
        <v>2.169848156E-2</v>
      </c>
      <c r="G245" s="394">
        <v>1.6712414100000001E-3</v>
      </c>
      <c r="H245" s="394">
        <v>0</v>
      </c>
      <c r="I245" s="394">
        <v>5.7352916329999996E-2</v>
      </c>
      <c r="J245" s="394">
        <v>0</v>
      </c>
      <c r="K245" s="394">
        <v>6.0988757160000004E-2</v>
      </c>
      <c r="L245" s="406">
        <f>SUM(I245:K245)</f>
        <v>0.11834167348999999</v>
      </c>
      <c r="M245" s="376"/>
    </row>
    <row r="246" spans="1:16" hidden="1">
      <c r="A246" s="386"/>
      <c r="B246" s="388"/>
      <c r="C246" s="394"/>
      <c r="D246" s="350"/>
      <c r="E246" s="394"/>
      <c r="F246" s="394"/>
      <c r="G246" s="394"/>
      <c r="H246" s="394"/>
      <c r="I246" s="394"/>
      <c r="J246" s="394"/>
      <c r="K246" s="394"/>
      <c r="L246" s="406"/>
      <c r="M246" s="376"/>
    </row>
    <row r="247" spans="1:16" hidden="1">
      <c r="A247" s="386" t="s">
        <v>9</v>
      </c>
      <c r="B247" s="350">
        <v>8.5787640579999991E-2</v>
      </c>
      <c r="C247" s="394">
        <v>8.9884265370000008E-2</v>
      </c>
      <c r="D247" s="350">
        <v>0</v>
      </c>
      <c r="E247" s="394">
        <v>2.9971173699999999E-3</v>
      </c>
      <c r="F247" s="394">
        <v>9.2881382740000004E-2</v>
      </c>
      <c r="G247" s="394">
        <v>1.7230592600000001E-3</v>
      </c>
      <c r="H247" s="394">
        <v>0</v>
      </c>
      <c r="I247" s="394">
        <v>0.18039208258</v>
      </c>
      <c r="J247" s="394">
        <v>0</v>
      </c>
      <c r="K247" s="394">
        <v>6.4047474430000001E-2</v>
      </c>
      <c r="L247" s="406">
        <f>SUM(I247:K247)</f>
        <v>0.24443955701</v>
      </c>
      <c r="M247" s="376"/>
    </row>
    <row r="248" spans="1:16" hidden="1">
      <c r="A248" s="386"/>
      <c r="B248" s="388"/>
      <c r="C248" s="394"/>
      <c r="D248" s="350"/>
      <c r="E248" s="394"/>
      <c r="F248" s="394"/>
      <c r="G248" s="394"/>
      <c r="H248" s="394"/>
      <c r="I248" s="394"/>
      <c r="J248" s="394"/>
      <c r="K248" s="394"/>
      <c r="L248" s="406"/>
      <c r="M248" s="376"/>
    </row>
    <row r="249" spans="1:16" hidden="1">
      <c r="A249" s="386" t="s">
        <v>10</v>
      </c>
      <c r="B249" s="350">
        <v>0.25989410237999999</v>
      </c>
      <c r="C249" s="394">
        <v>0.21518529743000001</v>
      </c>
      <c r="D249" s="350">
        <v>0</v>
      </c>
      <c r="E249" s="394">
        <v>9.1133587499999998E-3</v>
      </c>
      <c r="F249" s="394">
        <v>0.22429865618000003</v>
      </c>
      <c r="G249" s="394">
        <v>1.9133399699999998E-3</v>
      </c>
      <c r="H249" s="394">
        <v>0</v>
      </c>
      <c r="I249" s="394">
        <v>0.48610609853000003</v>
      </c>
      <c r="J249" s="394">
        <v>0</v>
      </c>
      <c r="K249" s="394">
        <v>0.37825077981999999</v>
      </c>
      <c r="L249" s="406">
        <f>SUM(I249:K249)</f>
        <v>0.86435687834999997</v>
      </c>
      <c r="M249" s="376"/>
    </row>
    <row r="250" spans="1:16" hidden="1">
      <c r="A250" s="386"/>
      <c r="B250" s="388"/>
      <c r="C250" s="394"/>
      <c r="D250" s="350"/>
      <c r="E250" s="394"/>
      <c r="F250" s="394"/>
      <c r="G250" s="394"/>
      <c r="H250" s="394"/>
      <c r="I250" s="394"/>
      <c r="J250" s="394"/>
      <c r="K250" s="394"/>
      <c r="L250" s="406"/>
      <c r="M250" s="376"/>
    </row>
    <row r="251" spans="1:16" hidden="1">
      <c r="A251" s="386" t="s">
        <v>11</v>
      </c>
      <c r="B251" s="350">
        <v>0.64874141338000002</v>
      </c>
      <c r="C251" s="394">
        <v>0.51101982866999995</v>
      </c>
      <c r="D251" s="350">
        <v>0</v>
      </c>
      <c r="E251" s="394">
        <v>4.8410720060000002E-2</v>
      </c>
      <c r="F251" s="394">
        <v>0.55943054872999998</v>
      </c>
      <c r="G251" s="394">
        <v>1.8864865699999998E-3</v>
      </c>
      <c r="H251" s="394">
        <v>0</v>
      </c>
      <c r="I251" s="394">
        <v>1.2100584486799999</v>
      </c>
      <c r="J251" s="394">
        <v>0</v>
      </c>
      <c r="K251" s="394">
        <v>0.47101246958000004</v>
      </c>
      <c r="L251" s="406">
        <f>SUM(I251:K251)</f>
        <v>1.6810709182599999</v>
      </c>
      <c r="M251" s="376"/>
    </row>
    <row r="252" spans="1:16" hidden="1">
      <c r="A252" s="386"/>
      <c r="B252" s="388"/>
      <c r="C252" s="394"/>
      <c r="D252" s="350"/>
      <c r="E252" s="394"/>
      <c r="F252" s="394"/>
      <c r="G252" s="394"/>
      <c r="H252" s="394"/>
      <c r="I252" s="394"/>
      <c r="J252" s="394"/>
      <c r="K252" s="394"/>
      <c r="L252" s="406"/>
      <c r="M252" s="376"/>
      <c r="P252" s="285">
        <v>10000000000</v>
      </c>
    </row>
    <row r="253" spans="1:16" hidden="1">
      <c r="A253" s="386" t="s">
        <v>337</v>
      </c>
      <c r="B253" s="350">
        <v>3.9516147852599999</v>
      </c>
      <c r="C253" s="394">
        <v>1.5031089372200002</v>
      </c>
      <c r="D253" s="350">
        <v>0</v>
      </c>
      <c r="E253" s="394">
        <v>5.2120505019999999E-2</v>
      </c>
      <c r="F253" s="394">
        <v>1.5552294422399999</v>
      </c>
      <c r="G253" s="394">
        <v>36.724826000520004</v>
      </c>
      <c r="H253" s="394">
        <v>0</v>
      </c>
      <c r="I253" s="394">
        <v>42.23167022802</v>
      </c>
      <c r="J253" s="394">
        <v>0</v>
      </c>
      <c r="K253" s="394">
        <v>3.2833088636200003</v>
      </c>
      <c r="L253" s="406">
        <f>SUM(I253:K253)</f>
        <v>45.514979091640001</v>
      </c>
      <c r="M253" s="376"/>
    </row>
    <row r="254" spans="1:16" hidden="1">
      <c r="A254" s="386"/>
      <c r="B254" s="388"/>
      <c r="C254" s="394"/>
      <c r="D254" s="350"/>
      <c r="E254" s="394"/>
      <c r="F254" s="394"/>
      <c r="G254" s="394"/>
      <c r="H254" s="394"/>
      <c r="I254" s="394"/>
      <c r="J254" s="394"/>
      <c r="K254" s="394"/>
      <c r="L254" s="406"/>
      <c r="M254" s="376"/>
    </row>
    <row r="255" spans="1:16" hidden="1">
      <c r="A255" s="386" t="s">
        <v>346</v>
      </c>
      <c r="B255" s="414">
        <v>56.896558005269995</v>
      </c>
      <c r="C255" s="415">
        <v>26.81412575997</v>
      </c>
      <c r="D255" s="414">
        <v>0</v>
      </c>
      <c r="E255" s="415">
        <v>0.54809505820000004</v>
      </c>
      <c r="F255" s="415">
        <v>27.362220818170002</v>
      </c>
      <c r="G255" s="415">
        <v>1353.7904091903099</v>
      </c>
      <c r="H255" s="415">
        <v>0</v>
      </c>
      <c r="I255" s="415">
        <v>1438.0491880137499</v>
      </c>
      <c r="J255" s="415">
        <v>0</v>
      </c>
      <c r="K255" s="415">
        <v>614.05971051186998</v>
      </c>
      <c r="L255" s="416">
        <f>SUM(I255:K255)</f>
        <v>2052.1088985256201</v>
      </c>
      <c r="M255" s="376"/>
    </row>
    <row r="256" spans="1:16" hidden="1">
      <c r="A256" s="386"/>
      <c r="B256" s="388"/>
      <c r="C256" s="394"/>
      <c r="D256" s="350"/>
      <c r="E256" s="394"/>
      <c r="F256" s="394"/>
      <c r="G256" s="394"/>
      <c r="H256" s="394"/>
      <c r="I256" s="394"/>
      <c r="J256" s="394"/>
      <c r="K256" s="394"/>
      <c r="L256" s="406"/>
      <c r="M256" s="376"/>
    </row>
    <row r="257" spans="1:13" hidden="1">
      <c r="A257" s="386" t="s">
        <v>347</v>
      </c>
      <c r="B257" s="414">
        <v>401.19142959835</v>
      </c>
      <c r="C257" s="415">
        <v>716.06883607244004</v>
      </c>
      <c r="D257" s="414">
        <v>0</v>
      </c>
      <c r="E257" s="415">
        <v>16.55972573699</v>
      </c>
      <c r="F257" s="415">
        <v>732.62856180942993</v>
      </c>
      <c r="G257" s="415">
        <v>13739.1438144201</v>
      </c>
      <c r="H257" s="415">
        <v>0</v>
      </c>
      <c r="I257" s="415">
        <v>14872.9638058279</v>
      </c>
      <c r="J257" s="415">
        <v>0</v>
      </c>
      <c r="K257" s="415">
        <v>-2616.2652236440199</v>
      </c>
      <c r="L257" s="416">
        <f>SUM(I257:K257)</f>
        <v>12256.698582183879</v>
      </c>
      <c r="M257" s="376"/>
    </row>
    <row r="258" spans="1:13" hidden="1">
      <c r="A258" s="386"/>
      <c r="B258" s="350"/>
      <c r="C258" s="394"/>
      <c r="D258" s="350"/>
      <c r="E258" s="394"/>
      <c r="F258" s="394"/>
      <c r="G258" s="394"/>
      <c r="H258" s="394"/>
      <c r="I258" s="394"/>
      <c r="J258" s="394"/>
      <c r="K258" s="394"/>
      <c r="L258" s="406"/>
      <c r="M258" s="376"/>
    </row>
    <row r="259" spans="1:13" hidden="1">
      <c r="A259" s="386" t="s">
        <v>12</v>
      </c>
      <c r="B259" s="414">
        <v>6098.2</v>
      </c>
      <c r="C259" s="415">
        <v>5102.8</v>
      </c>
      <c r="D259" s="414">
        <v>0</v>
      </c>
      <c r="E259" s="415">
        <v>114.9</v>
      </c>
      <c r="F259" s="415">
        <v>5217.7</v>
      </c>
      <c r="G259" s="415">
        <v>23074</v>
      </c>
      <c r="H259" s="415">
        <v>0</v>
      </c>
      <c r="I259" s="415">
        <v>34389</v>
      </c>
      <c r="J259" s="415">
        <v>0</v>
      </c>
      <c r="K259" s="415">
        <v>281185</v>
      </c>
      <c r="L259" s="416">
        <f>SUM(I259:K259)</f>
        <v>315574</v>
      </c>
      <c r="M259" s="376"/>
    </row>
    <row r="260" spans="1:13" hidden="1">
      <c r="A260" s="386"/>
      <c r="B260" s="350"/>
      <c r="C260" s="394"/>
      <c r="D260" s="350"/>
      <c r="E260" s="394"/>
      <c r="F260" s="394"/>
      <c r="G260" s="394"/>
      <c r="H260" s="394"/>
      <c r="I260" s="394"/>
      <c r="J260" s="394"/>
      <c r="K260" s="394"/>
      <c r="L260" s="406"/>
      <c r="M260" s="376"/>
    </row>
    <row r="261" spans="1:13" hidden="1">
      <c r="A261" s="386" t="s">
        <v>13</v>
      </c>
      <c r="B261" s="414">
        <v>78870</v>
      </c>
      <c r="C261" s="415">
        <v>17694575.800000001</v>
      </c>
      <c r="D261" s="414">
        <v>0</v>
      </c>
      <c r="E261" s="415">
        <v>988044.4</v>
      </c>
      <c r="F261" s="415">
        <v>18682620.199999999</v>
      </c>
      <c r="G261" s="415">
        <v>87126.3</v>
      </c>
      <c r="H261" s="415">
        <v>0</v>
      </c>
      <c r="I261" s="415">
        <v>18848616.5</v>
      </c>
      <c r="J261" s="415">
        <v>0</v>
      </c>
      <c r="K261" s="415">
        <v>31543124</v>
      </c>
      <c r="L261" s="416">
        <f>SUM(I261:K261)</f>
        <v>50391740.5</v>
      </c>
      <c r="M261" s="376"/>
    </row>
    <row r="262" spans="1:13" hidden="1">
      <c r="A262" s="386"/>
      <c r="B262" s="350"/>
      <c r="C262" s="394"/>
      <c r="D262" s="350"/>
      <c r="E262" s="394"/>
      <c r="F262" s="394"/>
      <c r="G262" s="394"/>
      <c r="H262" s="394"/>
      <c r="I262" s="394"/>
      <c r="J262" s="394"/>
      <c r="K262" s="394"/>
      <c r="L262" s="406"/>
      <c r="M262" s="376"/>
    </row>
    <row r="263" spans="1:13" hidden="1">
      <c r="A263" s="386" t="s">
        <v>14</v>
      </c>
      <c r="B263" s="350">
        <v>1678419.7</v>
      </c>
      <c r="C263" s="394">
        <v>1989449785459.3</v>
      </c>
      <c r="D263" s="350">
        <v>0</v>
      </c>
      <c r="E263" s="394">
        <v>170833741508.10001</v>
      </c>
      <c r="F263" s="394">
        <v>2160283526967.3999</v>
      </c>
      <c r="G263" s="394">
        <v>446085.8</v>
      </c>
      <c r="H263" s="394">
        <v>0</v>
      </c>
      <c r="I263" s="394">
        <v>2160285651472.8999</v>
      </c>
      <c r="J263" s="394">
        <v>0</v>
      </c>
      <c r="K263" s="394">
        <v>8206620175901.7002</v>
      </c>
      <c r="L263" s="416">
        <f>SUM(I263:K263)</f>
        <v>10366905827374.6</v>
      </c>
      <c r="M263" s="376"/>
    </row>
    <row r="264" spans="1:13" hidden="1">
      <c r="A264" s="386"/>
      <c r="B264" s="350"/>
      <c r="C264" s="394"/>
      <c r="D264" s="350"/>
      <c r="E264" s="394"/>
      <c r="F264" s="394"/>
      <c r="G264" s="394"/>
      <c r="H264" s="394"/>
      <c r="I264" s="394"/>
      <c r="J264" s="394"/>
      <c r="K264" s="394"/>
      <c r="L264" s="406"/>
      <c r="M264" s="376"/>
    </row>
    <row r="265" spans="1:13" hidden="1">
      <c r="A265" s="386" t="s">
        <v>15</v>
      </c>
      <c r="B265" s="350">
        <v>19312142.300000001</v>
      </c>
      <c r="C265" s="394">
        <v>3.19590054728179E+16</v>
      </c>
      <c r="D265" s="350">
        <v>0</v>
      </c>
      <c r="E265" s="394">
        <v>132217287737661</v>
      </c>
      <c r="F265" s="394">
        <v>3.20912227605556E+16</v>
      </c>
      <c r="G265" s="394">
        <v>45970473.700000003</v>
      </c>
      <c r="H265" s="394">
        <v>0</v>
      </c>
      <c r="I265" s="394">
        <v>3.20912228258382E+16</v>
      </c>
      <c r="J265" s="394">
        <v>0</v>
      </c>
      <c r="K265" s="394">
        <v>5.5920914313035098E+17</v>
      </c>
      <c r="L265" s="416">
        <f>SUM(I265:K265)</f>
        <v>5.9130036595618918E+17</v>
      </c>
      <c r="M265" s="376"/>
    </row>
    <row r="266" spans="1:13" hidden="1">
      <c r="A266" s="386"/>
      <c r="B266" s="350"/>
      <c r="C266" s="394"/>
      <c r="D266" s="350"/>
      <c r="E266" s="394"/>
      <c r="F266" s="394"/>
      <c r="G266" s="394"/>
      <c r="H266" s="394"/>
      <c r="I266" s="394"/>
      <c r="J266" s="394"/>
      <c r="K266" s="394"/>
      <c r="L266" s="406"/>
      <c r="M266" s="376"/>
    </row>
    <row r="267" spans="1:13" hidden="1">
      <c r="A267" s="386" t="s">
        <v>16</v>
      </c>
      <c r="B267" s="350">
        <v>22548076389.400002</v>
      </c>
      <c r="C267" s="394">
        <v>2.26112718297856E+17</v>
      </c>
      <c r="D267" s="350">
        <v>0</v>
      </c>
      <c r="E267" s="394">
        <v>1.2473092392009E+16</v>
      </c>
      <c r="F267" s="394">
        <v>2.3858581068986499E+17</v>
      </c>
      <c r="G267" s="394">
        <v>5116231814.6999998</v>
      </c>
      <c r="H267" s="394">
        <v>0</v>
      </c>
      <c r="I267" s="394">
        <v>2.3858583835417299E+17</v>
      </c>
      <c r="J267" s="394">
        <v>0</v>
      </c>
      <c r="K267" s="394">
        <v>5.4589357950692004E+18</v>
      </c>
      <c r="L267" s="416">
        <f>SUM(I267:K267)</f>
        <v>5.6975216334233733E+18</v>
      </c>
      <c r="M267" s="376"/>
    </row>
    <row r="268" spans="1:13" ht="18.75" hidden="1" customHeight="1" thickBot="1">
      <c r="A268" s="355"/>
      <c r="B268" s="417"/>
      <c r="C268" s="417"/>
      <c r="D268" s="418"/>
      <c r="E268" s="417"/>
      <c r="F268" s="417"/>
      <c r="G268" s="417"/>
      <c r="H268" s="417"/>
      <c r="I268" s="417"/>
      <c r="J268" s="417"/>
      <c r="K268" s="417"/>
      <c r="L268" s="419"/>
      <c r="M268" s="376"/>
    </row>
    <row r="269" spans="1:13" ht="12.75" hidden="1" customHeight="1" thickTop="1">
      <c r="A269" s="420"/>
      <c r="B269" s="421"/>
      <c r="C269" s="421"/>
      <c r="D269" s="309"/>
      <c r="E269" s="421"/>
      <c r="G269" s="421"/>
      <c r="H269" s="421"/>
      <c r="I269" s="421"/>
      <c r="J269" s="421"/>
      <c r="K269" s="421"/>
      <c r="L269" s="309"/>
    </row>
    <row r="270" spans="1:13" ht="15.75" hidden="1" customHeight="1">
      <c r="A270" s="284" t="s">
        <v>54</v>
      </c>
    </row>
    <row r="271" spans="1:13" ht="18" hidden="1" customHeight="1">
      <c r="A271" s="284" t="s">
        <v>55</v>
      </c>
    </row>
    <row r="272" spans="1:13" ht="12.75" hidden="1" customHeight="1">
      <c r="A272" s="284"/>
    </row>
    <row r="273" spans="1:13" ht="20.25" hidden="1" customHeight="1">
      <c r="A273" s="368"/>
    </row>
    <row r="274" spans="1:13" ht="12.75" hidden="1" customHeight="1">
      <c r="A274" s="284"/>
    </row>
    <row r="275" spans="1:13" ht="18" hidden="1" customHeight="1">
      <c r="A275" s="420"/>
      <c r="B275" s="421"/>
      <c r="C275" s="311"/>
      <c r="D275" s="309"/>
      <c r="E275" s="421"/>
      <c r="F275" s="421"/>
      <c r="G275" s="421"/>
      <c r="H275" s="421"/>
      <c r="I275" s="421"/>
      <c r="J275" s="421"/>
      <c r="K275" s="421"/>
      <c r="L275" s="309"/>
    </row>
    <row r="276" spans="1:13" ht="12.75" hidden="1" customHeight="1">
      <c r="A276" s="284"/>
    </row>
    <row r="277" spans="1:13" ht="12.75" hidden="1" customHeight="1">
      <c r="A277" s="284"/>
      <c r="B277" s="422"/>
      <c r="C277" s="422"/>
      <c r="D277" s="405"/>
      <c r="E277" s="422"/>
      <c r="F277" s="422"/>
      <c r="G277" s="422"/>
      <c r="H277" s="422"/>
      <c r="I277" s="422"/>
      <c r="J277" s="422"/>
      <c r="K277" s="422"/>
      <c r="L277" s="405"/>
      <c r="M277" s="376"/>
    </row>
    <row r="278" spans="1:13" ht="16.5" hidden="1" customHeight="1">
      <c r="A278" s="284"/>
      <c r="B278" s="1894"/>
      <c r="C278" s="1894"/>
      <c r="D278" s="1894"/>
      <c r="E278" s="423"/>
      <c r="F278" s="422"/>
      <c r="G278" s="422"/>
      <c r="H278" s="422"/>
      <c r="I278" s="422"/>
      <c r="J278" s="422"/>
      <c r="K278" s="422"/>
      <c r="L278" s="405"/>
      <c r="M278" s="376"/>
    </row>
    <row r="279" spans="1:13" ht="12.75" hidden="1" customHeight="1">
      <c r="A279" s="284"/>
      <c r="B279" s="422"/>
      <c r="C279" s="422"/>
      <c r="D279" s="405"/>
      <c r="E279" s="422"/>
      <c r="F279" s="422"/>
      <c r="G279" s="422"/>
      <c r="H279" s="422"/>
      <c r="I279" s="422"/>
      <c r="J279" s="422"/>
      <c r="K279" s="422"/>
      <c r="L279" s="405"/>
      <c r="M279" s="376"/>
    </row>
    <row r="280" spans="1:13" ht="12.75" hidden="1" customHeight="1">
      <c r="A280" s="284"/>
      <c r="B280" s="422"/>
      <c r="C280" s="422"/>
      <c r="D280" s="405"/>
      <c r="E280" s="422"/>
      <c r="F280" s="422"/>
      <c r="G280" s="422"/>
      <c r="H280" s="422"/>
      <c r="I280" s="422"/>
      <c r="J280" s="422"/>
      <c r="K280" s="422"/>
      <c r="L280" s="405"/>
      <c r="M280" s="376"/>
    </row>
    <row r="281" spans="1:13" ht="19.5" hidden="1" customHeight="1">
      <c r="A281" s="383"/>
      <c r="B281" s="422"/>
      <c r="C281" s="422"/>
      <c r="D281" s="405"/>
      <c r="E281" s="422"/>
      <c r="F281" s="422"/>
      <c r="G281" s="422"/>
      <c r="H281" s="422"/>
      <c r="I281" s="422"/>
      <c r="J281" s="422"/>
      <c r="K281" s="422"/>
      <c r="L281" s="405"/>
      <c r="M281" s="376"/>
    </row>
    <row r="282" spans="1:13" ht="18" hidden="1" customHeight="1">
      <c r="A282" s="383"/>
      <c r="B282" s="422"/>
      <c r="C282" s="422"/>
      <c r="D282" s="405"/>
      <c r="E282" s="422"/>
      <c r="F282" s="422"/>
      <c r="G282" s="422"/>
      <c r="H282" s="422"/>
      <c r="I282" s="422"/>
      <c r="J282" s="422"/>
      <c r="K282" s="422"/>
      <c r="L282" s="405"/>
      <c r="M282" s="376"/>
    </row>
    <row r="283" spans="1:13" ht="12.75" hidden="1" customHeight="1" thickBot="1">
      <c r="A283" s="420"/>
      <c r="B283" s="422"/>
      <c r="C283" s="422"/>
      <c r="D283" s="405"/>
      <c r="E283" s="422"/>
      <c r="F283" s="422"/>
      <c r="G283" s="422"/>
      <c r="H283" s="422"/>
      <c r="I283" s="422"/>
      <c r="J283" s="422"/>
      <c r="K283" s="422"/>
      <c r="L283" s="405"/>
      <c r="M283" s="376"/>
    </row>
    <row r="284" spans="1:13" ht="12.75" customHeight="1" thickTop="1">
      <c r="A284" s="370"/>
      <c r="B284" s="424"/>
      <c r="C284" s="425"/>
      <c r="D284" s="426"/>
      <c r="E284" s="425"/>
      <c r="F284" s="425"/>
      <c r="G284" s="425"/>
      <c r="H284" s="425"/>
      <c r="I284" s="425"/>
      <c r="J284" s="427"/>
      <c r="K284" s="424"/>
      <c r="L284" s="426"/>
      <c r="M284" s="376"/>
    </row>
    <row r="285" spans="1:13" ht="12.75" hidden="1" customHeight="1">
      <c r="A285" s="402"/>
      <c r="B285" s="428"/>
      <c r="C285" s="429"/>
      <c r="D285" s="430"/>
      <c r="E285" s="429"/>
      <c r="F285" s="429"/>
      <c r="G285" s="429"/>
      <c r="H285" s="429"/>
      <c r="I285" s="429"/>
      <c r="J285" s="408"/>
      <c r="K285" s="428"/>
      <c r="L285" s="430"/>
      <c r="M285" s="376"/>
    </row>
    <row r="286" spans="1:13" ht="12.75" hidden="1" customHeight="1">
      <c r="A286" s="377"/>
      <c r="B286" s="428"/>
      <c r="C286" s="429"/>
      <c r="D286" s="430"/>
      <c r="E286" s="429"/>
      <c r="F286" s="429"/>
      <c r="G286" s="429"/>
      <c r="H286" s="429"/>
      <c r="I286" s="429"/>
      <c r="J286" s="408"/>
      <c r="K286" s="428"/>
      <c r="L286" s="430"/>
      <c r="M286" s="376"/>
    </row>
    <row r="287" spans="1:13" ht="12.75" hidden="1" customHeight="1">
      <c r="A287" s="386"/>
      <c r="B287" s="394"/>
      <c r="C287" s="394"/>
      <c r="D287" s="394"/>
      <c r="E287" s="394"/>
      <c r="F287" s="394"/>
      <c r="G287" s="394"/>
      <c r="H287" s="394"/>
      <c r="I287" s="394"/>
      <c r="J287" s="394"/>
      <c r="K287" s="394"/>
      <c r="L287" s="430"/>
      <c r="M287" s="376"/>
    </row>
    <row r="288" spans="1:13" ht="12.75" hidden="1" customHeight="1">
      <c r="A288" s="386"/>
      <c r="B288" s="394"/>
      <c r="C288" s="394"/>
      <c r="D288" s="394"/>
      <c r="E288" s="394"/>
      <c r="F288" s="394"/>
      <c r="G288" s="394"/>
      <c r="H288" s="394"/>
      <c r="I288" s="394"/>
      <c r="J288" s="394"/>
      <c r="K288" s="394"/>
      <c r="L288" s="430"/>
      <c r="M288" s="376"/>
    </row>
    <row r="289" spans="1:13" ht="12.75" hidden="1" customHeight="1">
      <c r="A289" s="386"/>
      <c r="B289" s="394"/>
      <c r="C289" s="394"/>
      <c r="D289" s="394"/>
      <c r="E289" s="394"/>
      <c r="F289" s="394"/>
      <c r="G289" s="394"/>
      <c r="H289" s="394"/>
      <c r="I289" s="394"/>
      <c r="J289" s="394"/>
      <c r="K289" s="394"/>
      <c r="L289" s="430"/>
      <c r="M289" s="376"/>
    </row>
    <row r="290" spans="1:13" ht="12.75" hidden="1" customHeight="1">
      <c r="A290" s="386"/>
      <c r="B290" s="394"/>
      <c r="C290" s="394"/>
      <c r="D290" s="394"/>
      <c r="E290" s="394"/>
      <c r="F290" s="394"/>
      <c r="G290" s="394"/>
      <c r="H290" s="394"/>
      <c r="I290" s="394"/>
      <c r="J290" s="394"/>
      <c r="K290" s="394"/>
      <c r="L290" s="430"/>
      <c r="M290" s="376"/>
    </row>
    <row r="291" spans="1:13" ht="12.75" hidden="1" customHeight="1">
      <c r="A291" s="386"/>
      <c r="B291" s="394"/>
      <c r="C291" s="394"/>
      <c r="D291" s="394"/>
      <c r="E291" s="394"/>
      <c r="F291" s="394"/>
      <c r="G291" s="394"/>
      <c r="H291" s="394"/>
      <c r="I291" s="394"/>
      <c r="J291" s="394"/>
      <c r="K291" s="394"/>
      <c r="L291" s="430"/>
      <c r="M291" s="376"/>
    </row>
    <row r="292" spans="1:13" ht="12.75" hidden="1" customHeight="1">
      <c r="A292" s="386"/>
      <c r="B292" s="394"/>
      <c r="C292" s="394"/>
      <c r="D292" s="394"/>
      <c r="E292" s="394"/>
      <c r="F292" s="394"/>
      <c r="G292" s="394"/>
      <c r="H292" s="394"/>
      <c r="I292" s="394"/>
      <c r="J292" s="394"/>
      <c r="K292" s="394"/>
      <c r="L292" s="430"/>
      <c r="M292" s="376"/>
    </row>
    <row r="293" spans="1:13" ht="12.75" hidden="1" customHeight="1">
      <c r="A293" s="386"/>
      <c r="B293" s="394"/>
      <c r="C293" s="394"/>
      <c r="D293" s="394"/>
      <c r="E293" s="394"/>
      <c r="F293" s="394"/>
      <c r="G293" s="394"/>
      <c r="H293" s="394"/>
      <c r="I293" s="394"/>
      <c r="J293" s="394"/>
      <c r="K293" s="394"/>
      <c r="L293" s="430"/>
      <c r="M293" s="376"/>
    </row>
    <row r="294" spans="1:13" ht="12.75" hidden="1" customHeight="1">
      <c r="A294" s="386"/>
      <c r="B294" s="394"/>
      <c r="C294" s="394"/>
      <c r="D294" s="394"/>
      <c r="E294" s="394"/>
      <c r="F294" s="394"/>
      <c r="G294" s="394"/>
      <c r="H294" s="394"/>
      <c r="I294" s="394"/>
      <c r="J294" s="394"/>
      <c r="K294" s="394"/>
      <c r="L294" s="430"/>
      <c r="M294" s="376"/>
    </row>
    <row r="295" spans="1:13" ht="12.75" hidden="1" customHeight="1">
      <c r="A295" s="386"/>
      <c r="B295" s="394"/>
      <c r="C295" s="394"/>
      <c r="D295" s="394"/>
      <c r="E295" s="394"/>
      <c r="F295" s="394"/>
      <c r="G295" s="394"/>
      <c r="H295" s="394"/>
      <c r="I295" s="394"/>
      <c r="J295" s="394"/>
      <c r="K295" s="394"/>
      <c r="L295" s="430"/>
      <c r="M295" s="376"/>
    </row>
    <row r="296" spans="1:13" ht="12.75" hidden="1" customHeight="1">
      <c r="A296" s="386"/>
      <c r="B296" s="394"/>
      <c r="C296" s="394"/>
      <c r="D296" s="394"/>
      <c r="E296" s="394"/>
      <c r="F296" s="394"/>
      <c r="G296" s="394"/>
      <c r="H296" s="394"/>
      <c r="I296" s="394"/>
      <c r="J296" s="394"/>
      <c r="K296" s="394"/>
      <c r="L296" s="430"/>
      <c r="M296" s="376"/>
    </row>
    <row r="297" spans="1:13" ht="12.75" hidden="1" customHeight="1">
      <c r="A297" s="386"/>
      <c r="B297" s="394"/>
      <c r="C297" s="394"/>
      <c r="D297" s="394"/>
      <c r="E297" s="394"/>
      <c r="F297" s="394"/>
      <c r="G297" s="394"/>
      <c r="H297" s="394"/>
      <c r="I297" s="394"/>
      <c r="J297" s="394"/>
      <c r="K297" s="394"/>
      <c r="L297" s="430"/>
      <c r="M297" s="376"/>
    </row>
    <row r="298" spans="1:13" ht="12.75" hidden="1" customHeight="1">
      <c r="A298" s="386"/>
      <c r="B298" s="394"/>
      <c r="C298" s="394"/>
      <c r="D298" s="394"/>
      <c r="E298" s="394"/>
      <c r="F298" s="394"/>
      <c r="G298" s="394"/>
      <c r="H298" s="394"/>
      <c r="I298" s="394"/>
      <c r="J298" s="394"/>
      <c r="K298" s="394"/>
      <c r="L298" s="430"/>
      <c r="M298" s="376"/>
    </row>
    <row r="299" spans="1:13" ht="12.75" hidden="1" customHeight="1">
      <c r="A299" s="386"/>
      <c r="B299" s="428"/>
      <c r="C299" s="429"/>
      <c r="D299" s="430"/>
      <c r="E299" s="429"/>
      <c r="F299" s="429"/>
      <c r="G299" s="429"/>
      <c r="H299" s="429"/>
      <c r="I299" s="429"/>
      <c r="J299" s="408"/>
      <c r="K299" s="428"/>
      <c r="L299" s="430"/>
      <c r="M299" s="376"/>
    </row>
    <row r="300" spans="1:13" ht="12.75" hidden="1" customHeight="1">
      <c r="A300" s="402"/>
      <c r="B300" s="428"/>
      <c r="C300" s="429"/>
      <c r="D300" s="430"/>
      <c r="E300" s="429"/>
      <c r="F300" s="429"/>
      <c r="G300" s="429"/>
      <c r="H300" s="429"/>
      <c r="I300" s="429"/>
      <c r="J300" s="408"/>
      <c r="K300" s="428"/>
      <c r="L300" s="430"/>
      <c r="M300" s="376"/>
    </row>
    <row r="301" spans="1:13" ht="12.75" hidden="1" customHeight="1">
      <c r="A301" s="386"/>
      <c r="B301" s="428"/>
      <c r="C301" s="429"/>
      <c r="D301" s="430"/>
      <c r="E301" s="429"/>
      <c r="F301" s="429"/>
      <c r="G301" s="429"/>
      <c r="H301" s="429"/>
      <c r="I301" s="429"/>
      <c r="J301" s="408"/>
      <c r="K301" s="428"/>
      <c r="L301" s="430"/>
      <c r="M301" s="376"/>
    </row>
    <row r="302" spans="1:13" ht="12.75" hidden="1" customHeight="1">
      <c r="A302" s="386"/>
      <c r="B302" s="394"/>
      <c r="C302" s="394"/>
      <c r="D302" s="394"/>
      <c r="E302" s="394"/>
      <c r="F302" s="394"/>
      <c r="G302" s="394"/>
      <c r="H302" s="394"/>
      <c r="I302" s="394"/>
      <c r="J302" s="394"/>
      <c r="K302" s="394"/>
      <c r="L302" s="430"/>
      <c r="M302" s="376"/>
    </row>
    <row r="303" spans="1:13" ht="12.75" hidden="1" customHeight="1">
      <c r="A303" s="386"/>
      <c r="B303" s="428"/>
      <c r="C303" s="429"/>
      <c r="D303" s="430"/>
      <c r="E303" s="429"/>
      <c r="F303" s="429"/>
      <c r="G303" s="429"/>
      <c r="H303" s="429"/>
      <c r="I303" s="429"/>
      <c r="J303" s="408"/>
      <c r="K303" s="428"/>
      <c r="L303" s="430"/>
      <c r="M303" s="376"/>
    </row>
    <row r="304" spans="1:13" ht="12.75" hidden="1" customHeight="1">
      <c r="A304" s="386"/>
      <c r="B304" s="394"/>
      <c r="C304" s="394"/>
      <c r="D304" s="394"/>
      <c r="E304" s="394"/>
      <c r="F304" s="394"/>
      <c r="G304" s="394"/>
      <c r="H304" s="394"/>
      <c r="I304" s="394"/>
      <c r="J304" s="394"/>
      <c r="K304" s="394"/>
      <c r="L304" s="430"/>
      <c r="M304" s="376"/>
    </row>
    <row r="305" spans="1:13" ht="12.75" hidden="1" customHeight="1">
      <c r="A305" s="386"/>
      <c r="B305" s="428"/>
      <c r="C305" s="429"/>
      <c r="D305" s="430"/>
      <c r="E305" s="429"/>
      <c r="F305" s="429"/>
      <c r="G305" s="429"/>
      <c r="H305" s="429"/>
      <c r="I305" s="429"/>
      <c r="J305" s="408"/>
      <c r="K305" s="428"/>
      <c r="L305" s="430"/>
      <c r="M305" s="376"/>
    </row>
    <row r="306" spans="1:13" ht="12.75" hidden="1" customHeight="1">
      <c r="A306" s="386"/>
      <c r="B306" s="394"/>
      <c r="C306" s="394"/>
      <c r="D306" s="394"/>
      <c r="E306" s="394"/>
      <c r="F306" s="394"/>
      <c r="G306" s="394"/>
      <c r="H306" s="394"/>
      <c r="I306" s="394"/>
      <c r="J306" s="394"/>
      <c r="K306" s="394"/>
      <c r="L306" s="430"/>
      <c r="M306" s="376"/>
    </row>
    <row r="307" spans="1:13" ht="12.75" hidden="1" customHeight="1">
      <c r="A307" s="386"/>
      <c r="B307" s="428"/>
      <c r="C307" s="429"/>
      <c r="D307" s="430"/>
      <c r="E307" s="429"/>
      <c r="F307" s="429"/>
      <c r="G307" s="429"/>
      <c r="H307" s="429"/>
      <c r="I307" s="429"/>
      <c r="J307" s="408"/>
      <c r="K307" s="428"/>
      <c r="L307" s="430"/>
      <c r="M307" s="376"/>
    </row>
    <row r="308" spans="1:13" ht="12.75" hidden="1" customHeight="1">
      <c r="A308" s="386"/>
      <c r="B308" s="394"/>
      <c r="C308" s="394"/>
      <c r="D308" s="394"/>
      <c r="E308" s="394"/>
      <c r="F308" s="394"/>
      <c r="G308" s="394"/>
      <c r="H308" s="394"/>
      <c r="I308" s="394"/>
      <c r="J308" s="394"/>
      <c r="K308" s="394"/>
      <c r="L308" s="430"/>
      <c r="M308" s="376"/>
    </row>
    <row r="309" spans="1:13" ht="12.75" hidden="1" customHeight="1">
      <c r="A309" s="386"/>
      <c r="B309" s="428"/>
      <c r="C309" s="429"/>
      <c r="D309" s="430"/>
      <c r="E309" s="429"/>
      <c r="F309" s="429"/>
      <c r="G309" s="429"/>
      <c r="H309" s="429"/>
      <c r="I309" s="429"/>
      <c r="J309" s="408"/>
      <c r="K309" s="428"/>
      <c r="L309" s="430"/>
      <c r="M309" s="376"/>
    </row>
    <row r="310" spans="1:13" ht="12.75" hidden="1" customHeight="1">
      <c r="A310" s="386"/>
      <c r="B310" s="394"/>
      <c r="C310" s="394"/>
      <c r="D310" s="394"/>
      <c r="E310" s="394"/>
      <c r="F310" s="394"/>
      <c r="G310" s="394"/>
      <c r="H310" s="394"/>
      <c r="I310" s="394"/>
      <c r="J310" s="394"/>
      <c r="K310" s="394"/>
      <c r="L310" s="430"/>
      <c r="M310" s="376"/>
    </row>
    <row r="311" spans="1:13" ht="12.75" hidden="1" customHeight="1">
      <c r="A311" s="386"/>
      <c r="B311" s="428"/>
      <c r="C311" s="429"/>
      <c r="D311" s="430"/>
      <c r="E311" s="429"/>
      <c r="F311" s="429"/>
      <c r="G311" s="429"/>
      <c r="H311" s="429"/>
      <c r="I311" s="429"/>
      <c r="J311" s="408"/>
      <c r="K311" s="428"/>
      <c r="L311" s="430"/>
      <c r="M311" s="376"/>
    </row>
    <row r="312" spans="1:13" ht="12.75" hidden="1" customHeight="1">
      <c r="A312" s="386"/>
      <c r="B312" s="394"/>
      <c r="C312" s="394"/>
      <c r="D312" s="394"/>
      <c r="E312" s="394"/>
      <c r="F312" s="394"/>
      <c r="G312" s="394"/>
      <c r="H312" s="394"/>
      <c r="I312" s="394"/>
      <c r="J312" s="394"/>
      <c r="K312" s="394"/>
      <c r="L312" s="430"/>
      <c r="M312" s="376"/>
    </row>
    <row r="313" spans="1:13" ht="12.75" hidden="1" customHeight="1">
      <c r="A313" s="386"/>
      <c r="B313" s="428"/>
      <c r="C313" s="429"/>
      <c r="D313" s="430"/>
      <c r="E313" s="429"/>
      <c r="F313" s="429"/>
      <c r="G313" s="429"/>
      <c r="H313" s="429"/>
      <c r="I313" s="429"/>
      <c r="J313" s="408"/>
      <c r="K313" s="428"/>
      <c r="L313" s="430"/>
      <c r="M313" s="376"/>
    </row>
    <row r="314" spans="1:13" ht="12.75" hidden="1" customHeight="1">
      <c r="A314" s="386"/>
      <c r="B314" s="394"/>
      <c r="C314" s="394"/>
      <c r="D314" s="394"/>
      <c r="E314" s="394"/>
      <c r="F314" s="394"/>
      <c r="G314" s="394"/>
      <c r="H314" s="394"/>
      <c r="I314" s="394"/>
      <c r="J314" s="394"/>
      <c r="K314" s="394"/>
      <c r="L314" s="430"/>
      <c r="M314" s="376"/>
    </row>
    <row r="315" spans="1:13" ht="12.75" hidden="1" customHeight="1">
      <c r="A315" s="386"/>
      <c r="B315" s="428"/>
      <c r="C315" s="429"/>
      <c r="D315" s="430"/>
      <c r="E315" s="429"/>
      <c r="F315" s="429"/>
      <c r="G315" s="429"/>
      <c r="H315" s="429"/>
      <c r="I315" s="429"/>
      <c r="J315" s="408"/>
      <c r="K315" s="428"/>
      <c r="L315" s="430"/>
      <c r="M315" s="376"/>
    </row>
    <row r="316" spans="1:13" ht="12.75" hidden="1" customHeight="1">
      <c r="A316" s="386"/>
      <c r="B316" s="394"/>
      <c r="C316" s="394"/>
      <c r="D316" s="394"/>
      <c r="E316" s="394"/>
      <c r="F316" s="394"/>
      <c r="G316" s="394"/>
      <c r="H316" s="394"/>
      <c r="I316" s="394"/>
      <c r="J316" s="394"/>
      <c r="K316" s="394"/>
      <c r="L316" s="430"/>
      <c r="M316" s="376"/>
    </row>
    <row r="317" spans="1:13" ht="12.75" hidden="1" customHeight="1">
      <c r="A317" s="386"/>
      <c r="B317" s="428"/>
      <c r="C317" s="429"/>
      <c r="D317" s="430"/>
      <c r="E317" s="429"/>
      <c r="F317" s="429"/>
      <c r="G317" s="429"/>
      <c r="H317" s="429"/>
      <c r="I317" s="429"/>
      <c r="J317" s="408"/>
      <c r="K317" s="428"/>
      <c r="L317" s="430"/>
      <c r="M317" s="376"/>
    </row>
    <row r="318" spans="1:13" ht="12.75" hidden="1" customHeight="1">
      <c r="A318" s="386"/>
      <c r="B318" s="394"/>
      <c r="C318" s="394"/>
      <c r="D318" s="394"/>
      <c r="E318" s="394"/>
      <c r="F318" s="394"/>
      <c r="G318" s="394"/>
      <c r="H318" s="394"/>
      <c r="I318" s="394"/>
      <c r="J318" s="394"/>
      <c r="K318" s="394"/>
      <c r="L318" s="430"/>
      <c r="M318" s="376"/>
    </row>
    <row r="319" spans="1:13" ht="12.75" hidden="1" customHeight="1">
      <c r="A319" s="386"/>
      <c r="B319" s="428"/>
      <c r="C319" s="429"/>
      <c r="D319" s="430"/>
      <c r="E319" s="429"/>
      <c r="F319" s="429"/>
      <c r="G319" s="429"/>
      <c r="H319" s="429"/>
      <c r="I319" s="429"/>
      <c r="J319" s="408"/>
      <c r="K319" s="428"/>
      <c r="L319" s="430"/>
      <c r="M319" s="376"/>
    </row>
    <row r="320" spans="1:13" ht="12.75" hidden="1" customHeight="1">
      <c r="A320" s="386"/>
      <c r="B320" s="394"/>
      <c r="C320" s="394"/>
      <c r="D320" s="394"/>
      <c r="E320" s="394"/>
      <c r="F320" s="394"/>
      <c r="G320" s="394"/>
      <c r="H320" s="394"/>
      <c r="I320" s="394"/>
      <c r="J320" s="394"/>
      <c r="K320" s="394"/>
      <c r="L320" s="430"/>
      <c r="M320" s="376"/>
    </row>
    <row r="321" spans="1:13" ht="12.75" hidden="1" customHeight="1">
      <c r="A321" s="386"/>
      <c r="B321" s="428"/>
      <c r="C321" s="429"/>
      <c r="D321" s="430"/>
      <c r="E321" s="429"/>
      <c r="F321" s="429"/>
      <c r="G321" s="429"/>
      <c r="H321" s="429"/>
      <c r="I321" s="429"/>
      <c r="J321" s="408"/>
      <c r="K321" s="428"/>
      <c r="L321" s="430"/>
      <c r="M321" s="376"/>
    </row>
    <row r="322" spans="1:13" ht="12.75" hidden="1" customHeight="1">
      <c r="A322" s="386"/>
      <c r="B322" s="394"/>
      <c r="C322" s="394"/>
      <c r="D322" s="394"/>
      <c r="E322" s="394"/>
      <c r="F322" s="394"/>
      <c r="G322" s="394"/>
      <c r="H322" s="394"/>
      <c r="I322" s="394"/>
      <c r="J322" s="394"/>
      <c r="K322" s="394"/>
      <c r="L322" s="430"/>
      <c r="M322" s="376"/>
    </row>
    <row r="323" spans="1:13" ht="12.75" hidden="1" customHeight="1">
      <c r="A323" s="386"/>
      <c r="B323" s="428"/>
      <c r="C323" s="429"/>
      <c r="D323" s="430"/>
      <c r="E323" s="429"/>
      <c r="F323" s="429"/>
      <c r="G323" s="429"/>
      <c r="H323" s="429"/>
      <c r="I323" s="429"/>
      <c r="J323" s="408"/>
      <c r="K323" s="428"/>
      <c r="L323" s="430"/>
      <c r="M323" s="376"/>
    </row>
    <row r="324" spans="1:13" ht="12.75" hidden="1" customHeight="1">
      <c r="A324" s="386"/>
      <c r="B324" s="394"/>
      <c r="C324" s="394"/>
      <c r="D324" s="394"/>
      <c r="E324" s="394"/>
      <c r="F324" s="394"/>
      <c r="G324" s="394"/>
      <c r="H324" s="394"/>
      <c r="I324" s="394"/>
      <c r="J324" s="394"/>
      <c r="K324" s="394"/>
      <c r="L324" s="430"/>
      <c r="M324" s="376"/>
    </row>
    <row r="325" spans="1:13" ht="12.75" hidden="1" customHeight="1">
      <c r="A325" s="386"/>
      <c r="B325" s="428"/>
      <c r="C325" s="429"/>
      <c r="D325" s="430"/>
      <c r="E325" s="429"/>
      <c r="F325" s="429"/>
      <c r="G325" s="429"/>
      <c r="H325" s="429"/>
      <c r="I325" s="429"/>
      <c r="J325" s="408"/>
      <c r="K325" s="428"/>
      <c r="L325" s="430"/>
      <c r="M325" s="376"/>
    </row>
    <row r="326" spans="1:13" ht="12.75" hidden="1" customHeight="1">
      <c r="A326" s="402"/>
      <c r="B326" s="428"/>
      <c r="C326" s="429"/>
      <c r="D326" s="430"/>
      <c r="E326" s="429"/>
      <c r="F326" s="429"/>
      <c r="G326" s="429"/>
      <c r="H326" s="429"/>
      <c r="I326" s="429"/>
      <c r="J326" s="408"/>
      <c r="K326" s="428"/>
      <c r="L326" s="430"/>
      <c r="M326" s="376"/>
    </row>
    <row r="327" spans="1:13" ht="12.75" hidden="1" customHeight="1">
      <c r="A327" s="386"/>
      <c r="B327" s="428"/>
      <c r="C327" s="429"/>
      <c r="D327" s="430"/>
      <c r="E327" s="429"/>
      <c r="F327" s="429"/>
      <c r="G327" s="429"/>
      <c r="H327" s="429"/>
      <c r="I327" s="429"/>
      <c r="J327" s="408"/>
      <c r="K327" s="428"/>
      <c r="L327" s="430"/>
      <c r="M327" s="376"/>
    </row>
    <row r="328" spans="1:13" ht="12.75" hidden="1" customHeight="1">
      <c r="A328" s="386"/>
      <c r="B328" s="394"/>
      <c r="C328" s="394"/>
      <c r="D328" s="394"/>
      <c r="E328" s="394"/>
      <c r="F328" s="394"/>
      <c r="G328" s="394"/>
      <c r="H328" s="394"/>
      <c r="I328" s="394"/>
      <c r="J328" s="394"/>
      <c r="K328" s="394"/>
      <c r="L328" s="430"/>
      <c r="M328" s="376"/>
    </row>
    <row r="329" spans="1:13" ht="12.75" hidden="1" customHeight="1">
      <c r="A329" s="386"/>
      <c r="B329" s="428"/>
      <c r="C329" s="429"/>
      <c r="D329" s="430"/>
      <c r="E329" s="429"/>
      <c r="F329" s="429"/>
      <c r="G329" s="429"/>
      <c r="H329" s="429"/>
      <c r="I329" s="429"/>
      <c r="J329" s="408"/>
      <c r="K329" s="428"/>
      <c r="L329" s="430"/>
      <c r="M329" s="376"/>
    </row>
    <row r="330" spans="1:13" ht="12.75" hidden="1" customHeight="1">
      <c r="A330" s="386"/>
      <c r="B330" s="394"/>
      <c r="C330" s="394"/>
      <c r="D330" s="394"/>
      <c r="E330" s="394"/>
      <c r="F330" s="394"/>
      <c r="G330" s="394"/>
      <c r="H330" s="394"/>
      <c r="I330" s="394"/>
      <c r="J330" s="394"/>
      <c r="K330" s="394"/>
      <c r="L330" s="430"/>
      <c r="M330" s="376"/>
    </row>
    <row r="331" spans="1:13" ht="12.75" hidden="1" customHeight="1">
      <c r="A331" s="386"/>
      <c r="B331" s="428"/>
      <c r="C331" s="429"/>
      <c r="D331" s="430"/>
      <c r="E331" s="429"/>
      <c r="F331" s="429"/>
      <c r="G331" s="429"/>
      <c r="H331" s="429"/>
      <c r="I331" s="429"/>
      <c r="J331" s="408"/>
      <c r="K331" s="428"/>
      <c r="L331" s="430"/>
      <c r="M331" s="376"/>
    </row>
    <row r="332" spans="1:13" ht="12.75" hidden="1" customHeight="1">
      <c r="A332" s="386"/>
      <c r="B332" s="394"/>
      <c r="C332" s="394"/>
      <c r="D332" s="394"/>
      <c r="E332" s="394"/>
      <c r="F332" s="394"/>
      <c r="G332" s="394"/>
      <c r="H332" s="394"/>
      <c r="I332" s="394"/>
      <c r="J332" s="394"/>
      <c r="K332" s="394"/>
      <c r="L332" s="430"/>
      <c r="M332" s="376"/>
    </row>
    <row r="333" spans="1:13" ht="12.75" hidden="1" customHeight="1">
      <c r="A333" s="386"/>
      <c r="B333" s="428"/>
      <c r="C333" s="429"/>
      <c r="D333" s="430"/>
      <c r="E333" s="429"/>
      <c r="F333" s="429"/>
      <c r="G333" s="429"/>
      <c r="H333" s="429"/>
      <c r="I333" s="429"/>
      <c r="J333" s="408"/>
      <c r="K333" s="428"/>
      <c r="L333" s="430"/>
      <c r="M333" s="376"/>
    </row>
    <row r="334" spans="1:13" ht="12.75" hidden="1" customHeight="1">
      <c r="A334" s="386"/>
      <c r="B334" s="394"/>
      <c r="C334" s="394"/>
      <c r="D334" s="394"/>
      <c r="E334" s="394"/>
      <c r="F334" s="394"/>
      <c r="G334" s="394"/>
      <c r="H334" s="394"/>
      <c r="I334" s="394"/>
      <c r="J334" s="394"/>
      <c r="K334" s="394"/>
      <c r="L334" s="430"/>
      <c r="M334" s="376"/>
    </row>
    <row r="335" spans="1:13" ht="12.75" hidden="1" customHeight="1">
      <c r="A335" s="386"/>
      <c r="B335" s="428"/>
      <c r="C335" s="429"/>
      <c r="D335" s="430"/>
      <c r="E335" s="429"/>
      <c r="F335" s="429"/>
      <c r="G335" s="429"/>
      <c r="H335" s="429"/>
      <c r="I335" s="429"/>
      <c r="J335" s="408"/>
      <c r="K335" s="428"/>
      <c r="L335" s="430"/>
      <c r="M335" s="376"/>
    </row>
    <row r="336" spans="1:13" ht="12.75" hidden="1" customHeight="1">
      <c r="A336" s="386"/>
      <c r="B336" s="394"/>
      <c r="C336" s="394"/>
      <c r="D336" s="394"/>
      <c r="E336" s="394"/>
      <c r="F336" s="394"/>
      <c r="G336" s="394"/>
      <c r="H336" s="394"/>
      <c r="I336" s="394"/>
      <c r="J336" s="394"/>
      <c r="K336" s="394"/>
      <c r="L336" s="430"/>
      <c r="M336" s="376"/>
    </row>
    <row r="337" spans="1:13" ht="12.75" hidden="1" customHeight="1">
      <c r="A337" s="386"/>
      <c r="B337" s="428"/>
      <c r="C337" s="429"/>
      <c r="D337" s="430"/>
      <c r="E337" s="429"/>
      <c r="F337" s="429"/>
      <c r="G337" s="429"/>
      <c r="H337" s="429"/>
      <c r="I337" s="429"/>
      <c r="J337" s="408"/>
      <c r="K337" s="428"/>
      <c r="L337" s="430"/>
      <c r="M337" s="376"/>
    </row>
    <row r="338" spans="1:13" ht="12.75" hidden="1" customHeight="1">
      <c r="A338" s="386"/>
      <c r="B338" s="394"/>
      <c r="C338" s="394"/>
      <c r="D338" s="394"/>
      <c r="E338" s="394"/>
      <c r="F338" s="394"/>
      <c r="G338" s="394"/>
      <c r="H338" s="394"/>
      <c r="I338" s="394"/>
      <c r="J338" s="394"/>
      <c r="K338" s="394"/>
      <c r="L338" s="430"/>
      <c r="M338" s="376"/>
    </row>
    <row r="339" spans="1:13" ht="12.75" hidden="1" customHeight="1">
      <c r="A339" s="386"/>
      <c r="B339" s="428"/>
      <c r="C339" s="429"/>
      <c r="D339" s="430"/>
      <c r="E339" s="429"/>
      <c r="F339" s="429"/>
      <c r="G339" s="429"/>
      <c r="H339" s="429"/>
      <c r="I339" s="429"/>
      <c r="J339" s="408"/>
      <c r="K339" s="428"/>
      <c r="L339" s="430"/>
      <c r="M339" s="376"/>
    </row>
    <row r="340" spans="1:13" ht="12.75" hidden="1" customHeight="1">
      <c r="A340" s="386"/>
      <c r="B340" s="394"/>
      <c r="C340" s="394"/>
      <c r="D340" s="394"/>
      <c r="E340" s="394"/>
      <c r="F340" s="394"/>
      <c r="G340" s="394"/>
      <c r="H340" s="394"/>
      <c r="I340" s="394"/>
      <c r="J340" s="394"/>
      <c r="K340" s="394"/>
      <c r="L340" s="430"/>
      <c r="M340" s="376"/>
    </row>
    <row r="341" spans="1:13" ht="12.75" hidden="1" customHeight="1">
      <c r="A341" s="386"/>
      <c r="B341" s="394"/>
      <c r="C341" s="394"/>
      <c r="D341" s="430"/>
      <c r="E341" s="429"/>
      <c r="F341" s="429"/>
      <c r="G341" s="429"/>
      <c r="H341" s="429"/>
      <c r="I341" s="429"/>
      <c r="J341" s="408"/>
      <c r="K341" s="428"/>
      <c r="L341" s="430"/>
      <c r="M341" s="376"/>
    </row>
    <row r="342" spans="1:13" ht="12.75" hidden="1" customHeight="1">
      <c r="A342" s="386"/>
      <c r="B342" s="394"/>
      <c r="C342" s="394"/>
      <c r="D342" s="394"/>
      <c r="E342" s="394"/>
      <c r="F342" s="394"/>
      <c r="G342" s="394"/>
      <c r="H342" s="394"/>
      <c r="I342" s="394"/>
      <c r="J342" s="394"/>
      <c r="K342" s="394"/>
      <c r="L342" s="430"/>
      <c r="M342" s="376"/>
    </row>
    <row r="343" spans="1:13" ht="12.75" hidden="1" customHeight="1">
      <c r="A343" s="386"/>
      <c r="B343" s="428"/>
      <c r="C343" s="429"/>
      <c r="D343" s="430"/>
      <c r="E343" s="429"/>
      <c r="F343" s="429"/>
      <c r="G343" s="429"/>
      <c r="H343" s="429"/>
      <c r="I343" s="429"/>
      <c r="J343" s="408"/>
      <c r="K343" s="428"/>
      <c r="L343" s="430"/>
      <c r="M343" s="376"/>
    </row>
    <row r="344" spans="1:13" ht="12.75" hidden="1" customHeight="1">
      <c r="A344" s="386"/>
      <c r="B344" s="394"/>
      <c r="C344" s="394"/>
      <c r="D344" s="394"/>
      <c r="E344" s="394"/>
      <c r="F344" s="394"/>
      <c r="G344" s="394"/>
      <c r="H344" s="394"/>
      <c r="I344" s="394"/>
      <c r="J344" s="394"/>
      <c r="K344" s="394"/>
      <c r="L344" s="430"/>
      <c r="M344" s="376"/>
    </row>
    <row r="345" spans="1:13" ht="12.75" hidden="1" customHeight="1">
      <c r="A345" s="386"/>
      <c r="B345" s="428"/>
      <c r="C345" s="429"/>
      <c r="D345" s="430"/>
      <c r="E345" s="429"/>
      <c r="F345" s="429"/>
      <c r="G345" s="429"/>
      <c r="H345" s="429"/>
      <c r="I345" s="429"/>
      <c r="J345" s="408"/>
      <c r="K345" s="428"/>
      <c r="L345" s="430"/>
      <c r="M345" s="376"/>
    </row>
    <row r="346" spans="1:13" ht="12.75" hidden="1" customHeight="1">
      <c r="A346" s="386"/>
      <c r="B346" s="394"/>
      <c r="C346" s="394"/>
      <c r="D346" s="394"/>
      <c r="E346" s="394"/>
      <c r="F346" s="394"/>
      <c r="G346" s="394"/>
      <c r="H346" s="394"/>
      <c r="I346" s="394"/>
      <c r="J346" s="394"/>
      <c r="K346" s="394"/>
      <c r="L346" s="430"/>
      <c r="M346" s="376"/>
    </row>
    <row r="347" spans="1:13" ht="12.75" hidden="1" customHeight="1">
      <c r="A347" s="386"/>
      <c r="B347" s="428"/>
      <c r="C347" s="429"/>
      <c r="D347" s="430"/>
      <c r="E347" s="429"/>
      <c r="F347" s="429"/>
      <c r="G347" s="429"/>
      <c r="H347" s="429"/>
      <c r="I347" s="429"/>
      <c r="J347" s="408"/>
      <c r="K347" s="428"/>
      <c r="L347" s="430"/>
      <c r="M347" s="376"/>
    </row>
    <row r="348" spans="1:13" ht="12.75" hidden="1" customHeight="1">
      <c r="A348" s="386"/>
      <c r="B348" s="394"/>
      <c r="C348" s="394"/>
      <c r="D348" s="394"/>
      <c r="E348" s="394"/>
      <c r="F348" s="394"/>
      <c r="G348" s="394"/>
      <c r="H348" s="394"/>
      <c r="I348" s="394"/>
      <c r="J348" s="394"/>
      <c r="K348" s="394"/>
      <c r="L348" s="430"/>
      <c r="M348" s="376"/>
    </row>
    <row r="349" spans="1:13" ht="12.75" hidden="1" customHeight="1">
      <c r="A349" s="386"/>
      <c r="B349" s="428"/>
      <c r="C349" s="429"/>
      <c r="D349" s="430"/>
      <c r="E349" s="429"/>
      <c r="F349" s="429"/>
      <c r="G349" s="429"/>
      <c r="H349" s="429"/>
      <c r="I349" s="429"/>
      <c r="J349" s="408"/>
      <c r="K349" s="428"/>
      <c r="L349" s="430"/>
      <c r="M349" s="376"/>
    </row>
    <row r="350" spans="1:13" ht="12.75" hidden="1" customHeight="1">
      <c r="A350" s="386"/>
      <c r="B350" s="394"/>
      <c r="C350" s="394"/>
      <c r="D350" s="394"/>
      <c r="E350" s="394"/>
      <c r="F350" s="394"/>
      <c r="G350" s="394"/>
      <c r="H350" s="394"/>
      <c r="I350" s="394"/>
      <c r="J350" s="394"/>
      <c r="K350" s="394"/>
      <c r="L350" s="430"/>
      <c r="M350" s="376"/>
    </row>
    <row r="351" spans="1:13" ht="12.75" hidden="1" customHeight="1">
      <c r="A351" s="386"/>
      <c r="B351" s="428"/>
      <c r="C351" s="429"/>
      <c r="D351" s="430"/>
      <c r="E351" s="429"/>
      <c r="F351" s="429"/>
      <c r="G351" s="429"/>
      <c r="H351" s="429"/>
      <c r="I351" s="429"/>
      <c r="J351" s="408"/>
      <c r="K351" s="428"/>
      <c r="L351" s="430"/>
      <c r="M351" s="376"/>
    </row>
    <row r="352" spans="1:13" ht="12.75" hidden="1" customHeight="1">
      <c r="A352" s="386"/>
      <c r="B352" s="394"/>
      <c r="C352" s="394"/>
      <c r="D352" s="394"/>
      <c r="E352" s="394"/>
      <c r="F352" s="394"/>
      <c r="G352" s="394"/>
      <c r="H352" s="394"/>
      <c r="I352" s="394"/>
      <c r="J352" s="394"/>
      <c r="K352" s="394"/>
      <c r="L352" s="430"/>
      <c r="M352" s="376"/>
    </row>
    <row r="353" spans="1:13" ht="12.75" hidden="1" customHeight="1">
      <c r="A353" s="386"/>
      <c r="B353" s="428"/>
      <c r="C353" s="429"/>
      <c r="D353" s="430"/>
      <c r="E353" s="429"/>
      <c r="F353" s="429"/>
      <c r="G353" s="429"/>
      <c r="H353" s="429"/>
      <c r="I353" s="429"/>
      <c r="J353" s="408"/>
      <c r="K353" s="428"/>
      <c r="L353" s="430"/>
      <c r="M353" s="376"/>
    </row>
    <row r="354" spans="1:13" ht="12.75" hidden="1" customHeight="1">
      <c r="A354" s="410"/>
      <c r="B354" s="428"/>
      <c r="C354" s="429"/>
      <c r="D354" s="430"/>
      <c r="E354" s="429"/>
      <c r="F354" s="429"/>
      <c r="G354" s="429"/>
      <c r="H354" s="429"/>
      <c r="I354" s="429"/>
      <c r="J354" s="408"/>
      <c r="K354" s="428"/>
      <c r="L354" s="430"/>
      <c r="M354" s="376"/>
    </row>
    <row r="355" spans="1:13" ht="12.75" hidden="1" customHeight="1">
      <c r="A355" s="386"/>
      <c r="B355" s="428"/>
      <c r="C355" s="429"/>
      <c r="D355" s="430"/>
      <c r="E355" s="429"/>
      <c r="F355" s="429"/>
      <c r="G355" s="429"/>
      <c r="H355" s="429"/>
      <c r="I355" s="429"/>
      <c r="J355" s="408"/>
      <c r="K355" s="428"/>
      <c r="L355" s="430"/>
      <c r="M355" s="376"/>
    </row>
    <row r="356" spans="1:13" ht="12.75" hidden="1" customHeight="1">
      <c r="A356" s="386"/>
      <c r="B356" s="394"/>
      <c r="C356" s="394"/>
      <c r="D356" s="394"/>
      <c r="E356" s="394"/>
      <c r="F356" s="394"/>
      <c r="G356" s="394"/>
      <c r="H356" s="394"/>
      <c r="I356" s="394"/>
      <c r="J356" s="394"/>
      <c r="K356" s="394"/>
      <c r="L356" s="430"/>
      <c r="M356" s="376"/>
    </row>
    <row r="357" spans="1:13" ht="12.75" hidden="1" customHeight="1">
      <c r="A357" s="386"/>
      <c r="B357" s="428"/>
      <c r="C357" s="429"/>
      <c r="D357" s="430"/>
      <c r="E357" s="429"/>
      <c r="F357" s="429"/>
      <c r="G357" s="429"/>
      <c r="H357" s="429"/>
      <c r="I357" s="429"/>
      <c r="J357" s="408"/>
      <c r="K357" s="428"/>
      <c r="L357" s="430"/>
      <c r="M357" s="376"/>
    </row>
    <row r="358" spans="1:13" ht="12.75" hidden="1" customHeight="1">
      <c r="A358" s="386"/>
      <c r="B358" s="394"/>
      <c r="C358" s="394"/>
      <c r="D358" s="394"/>
      <c r="E358" s="394"/>
      <c r="F358" s="394"/>
      <c r="G358" s="394"/>
      <c r="H358" s="394"/>
      <c r="I358" s="394"/>
      <c r="J358" s="394"/>
      <c r="K358" s="394"/>
      <c r="L358" s="430"/>
      <c r="M358" s="376"/>
    </row>
    <row r="359" spans="1:13" ht="12.75" hidden="1" customHeight="1">
      <c r="A359" s="386"/>
      <c r="B359" s="428"/>
      <c r="C359" s="429"/>
      <c r="D359" s="430"/>
      <c r="E359" s="429"/>
      <c r="F359" s="429"/>
      <c r="G359" s="429"/>
      <c r="H359" s="429"/>
      <c r="I359" s="429"/>
      <c r="J359" s="408"/>
      <c r="K359" s="428"/>
      <c r="L359" s="430"/>
      <c r="M359" s="376"/>
    </row>
    <row r="360" spans="1:13" ht="12.75" hidden="1" customHeight="1">
      <c r="A360" s="386"/>
      <c r="B360" s="394"/>
      <c r="C360" s="394"/>
      <c r="D360" s="394"/>
      <c r="E360" s="394"/>
      <c r="F360" s="394"/>
      <c r="G360" s="394"/>
      <c r="H360" s="394"/>
      <c r="I360" s="394"/>
      <c r="J360" s="394"/>
      <c r="K360" s="394"/>
      <c r="L360" s="430"/>
      <c r="M360" s="376"/>
    </row>
    <row r="361" spans="1:13" ht="12.75" hidden="1" customHeight="1">
      <c r="A361" s="386"/>
      <c r="B361" s="428"/>
      <c r="C361" s="429"/>
      <c r="D361" s="430"/>
      <c r="E361" s="429"/>
      <c r="F361" s="429"/>
      <c r="G361" s="429"/>
      <c r="H361" s="429"/>
      <c r="I361" s="429"/>
      <c r="J361" s="408"/>
      <c r="K361" s="428"/>
      <c r="L361" s="430"/>
      <c r="M361" s="376"/>
    </row>
    <row r="362" spans="1:13" ht="12.75" hidden="1" customHeight="1">
      <c r="A362" s="386"/>
      <c r="B362" s="394"/>
      <c r="C362" s="394"/>
      <c r="D362" s="394"/>
      <c r="E362" s="394"/>
      <c r="F362" s="394"/>
      <c r="G362" s="394"/>
      <c r="H362" s="394"/>
      <c r="I362" s="394"/>
      <c r="J362" s="394"/>
      <c r="K362" s="394"/>
      <c r="L362" s="430"/>
      <c r="M362" s="376"/>
    </row>
    <row r="363" spans="1:13" ht="12.75" hidden="1" customHeight="1">
      <c r="A363" s="386"/>
      <c r="B363" s="428"/>
      <c r="C363" s="429"/>
      <c r="D363" s="430"/>
      <c r="E363" s="429"/>
      <c r="F363" s="429"/>
      <c r="G363" s="429"/>
      <c r="H363" s="429"/>
      <c r="I363" s="429"/>
      <c r="J363" s="408"/>
      <c r="K363" s="428"/>
      <c r="L363" s="430"/>
      <c r="M363" s="376"/>
    </row>
    <row r="364" spans="1:13" ht="12.75" hidden="1" customHeight="1">
      <c r="A364" s="386"/>
      <c r="B364" s="394"/>
      <c r="C364" s="394"/>
      <c r="D364" s="394"/>
      <c r="E364" s="394"/>
      <c r="F364" s="394"/>
      <c r="G364" s="394"/>
      <c r="H364" s="394"/>
      <c r="I364" s="394"/>
      <c r="J364" s="394"/>
      <c r="K364" s="394"/>
      <c r="L364" s="430"/>
      <c r="M364" s="376"/>
    </row>
    <row r="365" spans="1:13" ht="12.75" hidden="1" customHeight="1">
      <c r="A365" s="386"/>
      <c r="B365" s="428"/>
      <c r="C365" s="429"/>
      <c r="D365" s="430"/>
      <c r="E365" s="429"/>
      <c r="F365" s="429"/>
      <c r="G365" s="429"/>
      <c r="H365" s="429"/>
      <c r="I365" s="429"/>
      <c r="J365" s="408"/>
      <c r="K365" s="428"/>
      <c r="L365" s="430"/>
      <c r="M365" s="376"/>
    </row>
    <row r="366" spans="1:13" ht="12.75" hidden="1" customHeight="1">
      <c r="A366" s="386"/>
      <c r="B366" s="394"/>
      <c r="C366" s="394"/>
      <c r="D366" s="394"/>
      <c r="E366" s="394"/>
      <c r="F366" s="394"/>
      <c r="G366" s="394"/>
      <c r="H366" s="394"/>
      <c r="I366" s="394"/>
      <c r="J366" s="394"/>
      <c r="K366" s="394"/>
      <c r="L366" s="430"/>
      <c r="M366" s="376"/>
    </row>
    <row r="367" spans="1:13" ht="12.75" hidden="1" customHeight="1">
      <c r="A367" s="386"/>
      <c r="B367" s="428"/>
      <c r="C367" s="429"/>
      <c r="D367" s="430"/>
      <c r="E367" s="429"/>
      <c r="F367" s="429"/>
      <c r="G367" s="429"/>
      <c r="H367" s="429"/>
      <c r="I367" s="429"/>
      <c r="J367" s="408"/>
      <c r="K367" s="428"/>
      <c r="L367" s="430"/>
      <c r="M367" s="376"/>
    </row>
    <row r="368" spans="1:13" ht="12.75" hidden="1" customHeight="1">
      <c r="A368" s="386"/>
      <c r="B368" s="394"/>
      <c r="C368" s="394"/>
      <c r="D368" s="394"/>
      <c r="E368" s="394"/>
      <c r="F368" s="394"/>
      <c r="G368" s="394"/>
      <c r="H368" s="394"/>
      <c r="I368" s="394"/>
      <c r="J368" s="394"/>
      <c r="K368" s="394"/>
      <c r="L368" s="430"/>
      <c r="M368" s="376"/>
    </row>
    <row r="369" spans="1:13" ht="12.75" hidden="1" customHeight="1">
      <c r="A369" s="386"/>
      <c r="B369" s="428"/>
      <c r="C369" s="429"/>
      <c r="D369" s="430"/>
      <c r="E369" s="429"/>
      <c r="F369" s="429"/>
      <c r="G369" s="429"/>
      <c r="H369" s="429"/>
      <c r="I369" s="429"/>
      <c r="J369" s="408"/>
      <c r="K369" s="428"/>
      <c r="L369" s="430"/>
      <c r="M369" s="376"/>
    </row>
    <row r="370" spans="1:13" ht="12.75" hidden="1" customHeight="1">
      <c r="A370" s="386"/>
      <c r="B370" s="394"/>
      <c r="C370" s="394"/>
      <c r="D370" s="394"/>
      <c r="E370" s="394"/>
      <c r="F370" s="394"/>
      <c r="G370" s="394"/>
      <c r="H370" s="394"/>
      <c r="I370" s="394"/>
      <c r="J370" s="394"/>
      <c r="K370" s="394"/>
      <c r="L370" s="430"/>
      <c r="M370" s="376"/>
    </row>
    <row r="371" spans="1:13" ht="12.75" hidden="1" customHeight="1">
      <c r="A371" s="386"/>
      <c r="B371" s="428"/>
      <c r="C371" s="429"/>
      <c r="D371" s="430"/>
      <c r="E371" s="429"/>
      <c r="F371" s="429"/>
      <c r="G371" s="429"/>
      <c r="H371" s="429"/>
      <c r="I371" s="429"/>
      <c r="J371" s="408"/>
      <c r="K371" s="428"/>
      <c r="L371" s="430"/>
      <c r="M371" s="376"/>
    </row>
    <row r="372" spans="1:13" ht="12.75" hidden="1" customHeight="1">
      <c r="A372" s="386"/>
      <c r="B372" s="394"/>
      <c r="C372" s="394"/>
      <c r="D372" s="394"/>
      <c r="E372" s="394"/>
      <c r="F372" s="394"/>
      <c r="G372" s="394"/>
      <c r="H372" s="394"/>
      <c r="I372" s="394"/>
      <c r="J372" s="394"/>
      <c r="K372" s="394"/>
      <c r="L372" s="430"/>
      <c r="M372" s="376"/>
    </row>
    <row r="373" spans="1:13" ht="12.75" hidden="1" customHeight="1">
      <c r="A373" s="386"/>
      <c r="B373" s="428"/>
      <c r="C373" s="429"/>
      <c r="D373" s="430"/>
      <c r="E373" s="429"/>
      <c r="F373" s="429"/>
      <c r="G373" s="429"/>
      <c r="H373" s="429"/>
      <c r="I373" s="429"/>
      <c r="J373" s="408"/>
      <c r="K373" s="428"/>
      <c r="L373" s="430"/>
      <c r="M373" s="376"/>
    </row>
    <row r="374" spans="1:13" ht="12.75" hidden="1" customHeight="1">
      <c r="A374" s="386"/>
      <c r="B374" s="394"/>
      <c r="C374" s="394"/>
      <c r="D374" s="394"/>
      <c r="E374" s="394"/>
      <c r="F374" s="394"/>
      <c r="G374" s="394"/>
      <c r="H374" s="394"/>
      <c r="I374" s="394"/>
      <c r="J374" s="394"/>
      <c r="K374" s="394"/>
      <c r="L374" s="430"/>
      <c r="M374" s="376"/>
    </row>
    <row r="375" spans="1:13" ht="12.75" hidden="1" customHeight="1">
      <c r="A375" s="386"/>
      <c r="B375" s="428"/>
      <c r="C375" s="429"/>
      <c r="D375" s="430"/>
      <c r="E375" s="429"/>
      <c r="F375" s="429"/>
      <c r="G375" s="429"/>
      <c r="H375" s="429"/>
      <c r="I375" s="429"/>
      <c r="J375" s="408"/>
      <c r="K375" s="428"/>
      <c r="L375" s="430"/>
      <c r="M375" s="376"/>
    </row>
    <row r="376" spans="1:13" ht="12.75" hidden="1" customHeight="1">
      <c r="A376" s="386"/>
      <c r="B376" s="394"/>
      <c r="C376" s="394"/>
      <c r="D376" s="394"/>
      <c r="E376" s="394"/>
      <c r="F376" s="394"/>
      <c r="G376" s="394"/>
      <c r="H376" s="394"/>
      <c r="I376" s="394"/>
      <c r="J376" s="394"/>
      <c r="K376" s="394"/>
      <c r="L376" s="430"/>
      <c r="M376" s="376"/>
    </row>
    <row r="377" spans="1:13" ht="12.75" hidden="1" customHeight="1">
      <c r="A377" s="386"/>
      <c r="B377" s="428"/>
      <c r="C377" s="429"/>
      <c r="D377" s="430"/>
      <c r="E377" s="429"/>
      <c r="F377" s="429"/>
      <c r="G377" s="429"/>
      <c r="H377" s="429"/>
      <c r="I377" s="429"/>
      <c r="J377" s="408"/>
      <c r="K377" s="428"/>
      <c r="L377" s="430"/>
      <c r="M377" s="376"/>
    </row>
    <row r="378" spans="1:13" ht="12.75" hidden="1" customHeight="1">
      <c r="A378" s="386"/>
      <c r="B378" s="394"/>
      <c r="C378" s="394"/>
      <c r="D378" s="394"/>
      <c r="E378" s="394"/>
      <c r="F378" s="394"/>
      <c r="G378" s="394"/>
      <c r="H378" s="394"/>
      <c r="I378" s="394"/>
      <c r="J378" s="394"/>
      <c r="K378" s="394"/>
      <c r="L378" s="430"/>
      <c r="M378" s="376"/>
    </row>
    <row r="379" spans="1:13" ht="12.75" hidden="1" customHeight="1">
      <c r="A379" s="386"/>
      <c r="B379" s="428"/>
      <c r="C379" s="429"/>
      <c r="D379" s="430"/>
      <c r="E379" s="429"/>
      <c r="F379" s="429"/>
      <c r="G379" s="429"/>
      <c r="H379" s="429"/>
      <c r="I379" s="429"/>
      <c r="J379" s="408"/>
      <c r="K379" s="428"/>
      <c r="L379" s="430"/>
      <c r="M379" s="376"/>
    </row>
    <row r="380" spans="1:13" hidden="1">
      <c r="A380" s="410"/>
      <c r="B380" s="428"/>
      <c r="C380" s="429"/>
      <c r="D380" s="430"/>
      <c r="E380" s="429"/>
      <c r="F380" s="429"/>
      <c r="G380" s="429"/>
      <c r="H380" s="429"/>
      <c r="I380" s="429"/>
      <c r="J380" s="408"/>
      <c r="K380" s="428"/>
      <c r="L380" s="430"/>
      <c r="M380" s="376"/>
    </row>
    <row r="381" spans="1:13" ht="12.75" hidden="1" customHeight="1">
      <c r="A381" s="386"/>
      <c r="B381" s="428"/>
      <c r="C381" s="429"/>
      <c r="D381" s="430"/>
      <c r="E381" s="429"/>
      <c r="F381" s="429"/>
      <c r="G381" s="429"/>
      <c r="H381" s="429"/>
      <c r="I381" s="429"/>
      <c r="J381" s="408"/>
      <c r="K381" s="428"/>
      <c r="L381" s="430"/>
      <c r="M381" s="376"/>
    </row>
    <row r="382" spans="1:13" ht="12.75" hidden="1" customHeight="1">
      <c r="A382" s="386"/>
      <c r="B382" s="394"/>
      <c r="C382" s="394"/>
      <c r="D382" s="394"/>
      <c r="E382" s="394"/>
      <c r="F382" s="394"/>
      <c r="G382" s="394"/>
      <c r="H382" s="394"/>
      <c r="I382" s="394"/>
      <c r="J382" s="394"/>
      <c r="K382" s="394"/>
      <c r="L382" s="430"/>
      <c r="M382" s="376"/>
    </row>
    <row r="383" spans="1:13" ht="12.75" hidden="1" customHeight="1">
      <c r="A383" s="386"/>
      <c r="B383" s="428"/>
      <c r="C383" s="429"/>
      <c r="D383" s="430"/>
      <c r="E383" s="429"/>
      <c r="F383" s="429"/>
      <c r="G383" s="429"/>
      <c r="H383" s="429"/>
      <c r="I383" s="429"/>
      <c r="J383" s="408"/>
      <c r="K383" s="428"/>
      <c r="L383" s="430"/>
      <c r="M383" s="376"/>
    </row>
    <row r="384" spans="1:13" ht="12.75" hidden="1" customHeight="1">
      <c r="A384" s="386"/>
      <c r="B384" s="394"/>
      <c r="C384" s="394"/>
      <c r="D384" s="394"/>
      <c r="E384" s="394"/>
      <c r="F384" s="394"/>
      <c r="G384" s="394"/>
      <c r="H384" s="394"/>
      <c r="I384" s="394"/>
      <c r="J384" s="394"/>
      <c r="K384" s="394"/>
      <c r="L384" s="430"/>
      <c r="M384" s="376"/>
    </row>
    <row r="385" spans="1:13" ht="12.75" hidden="1" customHeight="1">
      <c r="A385" s="386"/>
      <c r="B385" s="428"/>
      <c r="C385" s="429"/>
      <c r="D385" s="430"/>
      <c r="E385" s="429"/>
      <c r="F385" s="429"/>
      <c r="G385" s="429"/>
      <c r="H385" s="429"/>
      <c r="I385" s="429"/>
      <c r="J385" s="408"/>
      <c r="K385" s="428"/>
      <c r="L385" s="430"/>
      <c r="M385" s="376"/>
    </row>
    <row r="386" spans="1:13" ht="12.75" hidden="1" customHeight="1">
      <c r="A386" s="386"/>
      <c r="B386" s="394"/>
      <c r="C386" s="394"/>
      <c r="D386" s="394"/>
      <c r="E386" s="394"/>
      <c r="F386" s="394"/>
      <c r="G386" s="394"/>
      <c r="H386" s="394"/>
      <c r="I386" s="394"/>
      <c r="J386" s="394"/>
      <c r="K386" s="394"/>
      <c r="L386" s="430"/>
      <c r="M386" s="376"/>
    </row>
    <row r="387" spans="1:13" ht="12.75" hidden="1" customHeight="1">
      <c r="A387" s="386"/>
      <c r="B387" s="428"/>
      <c r="C387" s="429"/>
      <c r="D387" s="430"/>
      <c r="E387" s="429"/>
      <c r="F387" s="429"/>
      <c r="G387" s="429"/>
      <c r="H387" s="429"/>
      <c r="I387" s="429"/>
      <c r="J387" s="408"/>
      <c r="K387" s="428"/>
      <c r="L387" s="430"/>
      <c r="M387" s="376"/>
    </row>
    <row r="388" spans="1:13" ht="12.75" hidden="1" customHeight="1">
      <c r="A388" s="386"/>
      <c r="B388" s="394"/>
      <c r="C388" s="394"/>
      <c r="D388" s="394"/>
      <c r="E388" s="394"/>
      <c r="F388" s="394"/>
      <c r="G388" s="394"/>
      <c r="H388" s="394"/>
      <c r="I388" s="394"/>
      <c r="J388" s="394"/>
      <c r="K388" s="394"/>
      <c r="L388" s="430"/>
      <c r="M388" s="376"/>
    </row>
    <row r="389" spans="1:13" ht="12.75" hidden="1" customHeight="1">
      <c r="A389" s="386"/>
      <c r="B389" s="428"/>
      <c r="C389" s="429"/>
      <c r="D389" s="430"/>
      <c r="E389" s="429"/>
      <c r="F389" s="429"/>
      <c r="G389" s="429"/>
      <c r="H389" s="429"/>
      <c r="I389" s="429"/>
      <c r="J389" s="408"/>
      <c r="K389" s="428"/>
      <c r="L389" s="430"/>
      <c r="M389" s="376"/>
    </row>
    <row r="390" spans="1:13" ht="12.75" hidden="1" customHeight="1">
      <c r="A390" s="386"/>
      <c r="B390" s="394"/>
      <c r="C390" s="394"/>
      <c r="D390" s="394"/>
      <c r="E390" s="394"/>
      <c r="F390" s="394"/>
      <c r="G390" s="394"/>
      <c r="H390" s="394"/>
      <c r="I390" s="394"/>
      <c r="J390" s="394"/>
      <c r="K390" s="394"/>
      <c r="L390" s="430"/>
      <c r="M390" s="376"/>
    </row>
    <row r="391" spans="1:13" ht="12.75" hidden="1" customHeight="1">
      <c r="A391" s="386"/>
      <c r="B391" s="428"/>
      <c r="C391" s="429"/>
      <c r="D391" s="430"/>
      <c r="E391" s="429"/>
      <c r="F391" s="429"/>
      <c r="G391" s="429"/>
      <c r="H391" s="429"/>
      <c r="I391" s="429"/>
      <c r="J391" s="408"/>
      <c r="K391" s="428"/>
      <c r="L391" s="430"/>
      <c r="M391" s="376"/>
    </row>
    <row r="392" spans="1:13" ht="12.75" hidden="1" customHeight="1">
      <c r="A392" s="386"/>
      <c r="B392" s="394"/>
      <c r="C392" s="394"/>
      <c r="D392" s="394"/>
      <c r="E392" s="394"/>
      <c r="F392" s="394"/>
      <c r="G392" s="394"/>
      <c r="H392" s="394"/>
      <c r="I392" s="394"/>
      <c r="J392" s="394"/>
      <c r="K392" s="394"/>
      <c r="L392" s="430"/>
      <c r="M392" s="376"/>
    </row>
    <row r="393" spans="1:13" ht="12.75" hidden="1" customHeight="1">
      <c r="A393" s="386"/>
      <c r="B393" s="428"/>
      <c r="C393" s="429"/>
      <c r="D393" s="430"/>
      <c r="E393" s="429"/>
      <c r="F393" s="429"/>
      <c r="G393" s="429"/>
      <c r="H393" s="429"/>
      <c r="I393" s="429"/>
      <c r="J393" s="408"/>
      <c r="K393" s="428"/>
      <c r="L393" s="430"/>
      <c r="M393" s="376"/>
    </row>
    <row r="394" spans="1:13" ht="12.75" hidden="1" customHeight="1">
      <c r="A394" s="410"/>
      <c r="B394" s="428"/>
      <c r="C394" s="429"/>
      <c r="D394" s="430"/>
      <c r="E394" s="429"/>
      <c r="F394" s="429"/>
      <c r="G394" s="429"/>
      <c r="H394" s="429"/>
      <c r="I394" s="429"/>
      <c r="J394" s="408"/>
      <c r="K394" s="428"/>
      <c r="L394" s="430"/>
      <c r="M394" s="376"/>
    </row>
    <row r="395" spans="1:13" ht="12.75" hidden="1" customHeight="1">
      <c r="A395" s="386"/>
      <c r="B395" s="428"/>
      <c r="C395" s="429"/>
      <c r="D395" s="430"/>
      <c r="E395" s="429"/>
      <c r="F395" s="429"/>
      <c r="G395" s="429"/>
      <c r="H395" s="429"/>
      <c r="I395" s="429"/>
      <c r="J395" s="408"/>
      <c r="K395" s="428"/>
      <c r="L395" s="430"/>
      <c r="M395" s="376"/>
    </row>
    <row r="396" spans="1:13" hidden="1">
      <c r="A396" s="386"/>
      <c r="B396" s="394"/>
      <c r="C396" s="394"/>
      <c r="D396" s="394"/>
      <c r="E396" s="394"/>
      <c r="F396" s="394"/>
      <c r="G396" s="394"/>
      <c r="H396" s="394"/>
      <c r="I396" s="394"/>
      <c r="J396" s="394"/>
      <c r="K396" s="394"/>
      <c r="L396" s="430"/>
      <c r="M396" s="376"/>
    </row>
    <row r="397" spans="1:13" hidden="1">
      <c r="A397" s="386"/>
      <c r="B397" s="428"/>
      <c r="C397" s="429"/>
      <c r="D397" s="430"/>
      <c r="E397" s="429"/>
      <c r="F397" s="429"/>
      <c r="G397" s="429"/>
      <c r="H397" s="429"/>
      <c r="I397" s="429"/>
      <c r="J397" s="408"/>
      <c r="K397" s="428"/>
      <c r="L397" s="430"/>
      <c r="M397" s="376"/>
    </row>
    <row r="398" spans="1:13" hidden="1">
      <c r="A398" s="386"/>
      <c r="B398" s="394"/>
      <c r="C398" s="394"/>
      <c r="D398" s="394"/>
      <c r="E398" s="394"/>
      <c r="F398" s="394"/>
      <c r="G398" s="394"/>
      <c r="H398" s="394"/>
      <c r="I398" s="394"/>
      <c r="J398" s="394"/>
      <c r="K398" s="394"/>
      <c r="L398" s="430"/>
      <c r="M398" s="376"/>
    </row>
    <row r="399" spans="1:13" hidden="1">
      <c r="A399" s="386"/>
      <c r="B399" s="428"/>
      <c r="C399" s="429"/>
      <c r="D399" s="430"/>
      <c r="E399" s="429"/>
      <c r="F399" s="429"/>
      <c r="G399" s="429"/>
      <c r="H399" s="429"/>
      <c r="I399" s="429"/>
      <c r="J399" s="408"/>
      <c r="K399" s="428"/>
      <c r="L399" s="430"/>
      <c r="M399" s="376"/>
    </row>
    <row r="400" spans="1:13" hidden="1">
      <c r="A400" s="386"/>
      <c r="B400" s="394"/>
      <c r="C400" s="394"/>
      <c r="D400" s="394"/>
      <c r="E400" s="394"/>
      <c r="F400" s="394"/>
      <c r="G400" s="394"/>
      <c r="H400" s="394"/>
      <c r="I400" s="394"/>
      <c r="J400" s="394"/>
      <c r="K400" s="394"/>
      <c r="L400" s="430"/>
      <c r="M400" s="376"/>
    </row>
    <row r="401" spans="1:13" hidden="1">
      <c r="A401" s="386"/>
      <c r="B401" s="428"/>
      <c r="C401" s="429"/>
      <c r="D401" s="430"/>
      <c r="E401" s="429"/>
      <c r="F401" s="429"/>
      <c r="G401" s="429"/>
      <c r="H401" s="429"/>
      <c r="I401" s="429"/>
      <c r="J401" s="408"/>
      <c r="K401" s="428"/>
      <c r="L401" s="430"/>
      <c r="M401" s="376"/>
    </row>
    <row r="402" spans="1:13" hidden="1">
      <c r="A402" s="386"/>
      <c r="B402" s="394"/>
      <c r="C402" s="394"/>
      <c r="D402" s="394"/>
      <c r="E402" s="394"/>
      <c r="F402" s="394"/>
      <c r="G402" s="394"/>
      <c r="H402" s="394"/>
      <c r="I402" s="394"/>
      <c r="J402" s="394"/>
      <c r="K402" s="394"/>
      <c r="L402" s="430"/>
      <c r="M402" s="376"/>
    </row>
    <row r="403" spans="1:13" hidden="1">
      <c r="A403" s="386"/>
      <c r="B403" s="428"/>
      <c r="C403" s="429"/>
      <c r="D403" s="430"/>
      <c r="E403" s="429"/>
      <c r="F403" s="429"/>
      <c r="G403" s="429"/>
      <c r="H403" s="429"/>
      <c r="I403" s="429"/>
      <c r="J403" s="408"/>
      <c r="K403" s="428"/>
      <c r="L403" s="430"/>
      <c r="M403" s="376"/>
    </row>
    <row r="404" spans="1:13" hidden="1">
      <c r="A404" s="386"/>
      <c r="B404" s="394"/>
      <c r="C404" s="394"/>
      <c r="D404" s="394"/>
      <c r="E404" s="394"/>
      <c r="F404" s="394"/>
      <c r="G404" s="394"/>
      <c r="H404" s="394"/>
      <c r="I404" s="394"/>
      <c r="J404" s="394"/>
      <c r="K404" s="394"/>
      <c r="L404" s="430"/>
      <c r="M404" s="376"/>
    </row>
    <row r="405" spans="1:13" hidden="1">
      <c r="A405" s="386"/>
      <c r="B405" s="428"/>
      <c r="C405" s="429"/>
      <c r="D405" s="430"/>
      <c r="E405" s="429"/>
      <c r="F405" s="429"/>
      <c r="G405" s="429"/>
      <c r="H405" s="429"/>
      <c r="I405" s="429"/>
      <c r="J405" s="408"/>
      <c r="K405" s="428"/>
      <c r="L405" s="430"/>
      <c r="M405" s="376"/>
    </row>
    <row r="406" spans="1:13" hidden="1">
      <c r="A406" s="386"/>
      <c r="B406" s="394"/>
      <c r="C406" s="394"/>
      <c r="D406" s="394"/>
      <c r="E406" s="394"/>
      <c r="F406" s="394"/>
      <c r="G406" s="394"/>
      <c r="H406" s="394"/>
      <c r="I406" s="394"/>
      <c r="J406" s="394"/>
      <c r="K406" s="394"/>
      <c r="L406" s="430"/>
      <c r="M406" s="376"/>
    </row>
    <row r="407" spans="1:13" hidden="1">
      <c r="A407" s="386"/>
      <c r="B407" s="428"/>
      <c r="C407" s="429"/>
      <c r="D407" s="430"/>
      <c r="E407" s="429"/>
      <c r="F407" s="429"/>
      <c r="G407" s="429"/>
      <c r="H407" s="429"/>
      <c r="I407" s="429"/>
      <c r="J407" s="408"/>
      <c r="K407" s="428"/>
      <c r="L407" s="430"/>
      <c r="M407" s="376"/>
    </row>
    <row r="408" spans="1:13" hidden="1">
      <c r="A408" s="410"/>
      <c r="B408" s="428"/>
      <c r="C408" s="429"/>
      <c r="D408" s="430"/>
      <c r="E408" s="429"/>
      <c r="F408" s="429"/>
      <c r="G408" s="429"/>
      <c r="H408" s="429"/>
      <c r="I408" s="429"/>
      <c r="J408" s="408"/>
      <c r="K408" s="428"/>
      <c r="L408" s="430"/>
      <c r="M408" s="376"/>
    </row>
    <row r="409" spans="1:13" hidden="1">
      <c r="A409" s="386"/>
      <c r="B409" s="394"/>
      <c r="C409" s="394"/>
      <c r="D409" s="350"/>
      <c r="E409" s="394"/>
      <c r="F409" s="394"/>
      <c r="G409" s="394"/>
      <c r="H409" s="394"/>
      <c r="I409" s="394"/>
      <c r="J409" s="394"/>
      <c r="K409" s="428"/>
      <c r="L409" s="430"/>
      <c r="M409" s="376"/>
    </row>
    <row r="410" spans="1:13" hidden="1">
      <c r="A410" s="386"/>
      <c r="B410" s="394"/>
      <c r="C410" s="394"/>
      <c r="D410" s="394"/>
      <c r="E410" s="394"/>
      <c r="F410" s="394"/>
      <c r="G410" s="394"/>
      <c r="H410" s="394"/>
      <c r="I410" s="394"/>
      <c r="J410" s="394"/>
      <c r="K410" s="394"/>
      <c r="L410" s="430"/>
      <c r="M410" s="376"/>
    </row>
    <row r="411" spans="1:13" hidden="1">
      <c r="A411" s="386"/>
      <c r="B411" s="394"/>
      <c r="C411" s="394"/>
      <c r="D411" s="350"/>
      <c r="E411" s="394"/>
      <c r="F411" s="394"/>
      <c r="G411" s="394"/>
      <c r="H411" s="394"/>
      <c r="I411" s="394"/>
      <c r="J411" s="394"/>
      <c r="K411" s="428"/>
      <c r="L411" s="430"/>
      <c r="M411" s="376"/>
    </row>
    <row r="412" spans="1:13" hidden="1">
      <c r="A412" s="386"/>
      <c r="B412" s="394"/>
      <c r="C412" s="394"/>
      <c r="D412" s="394"/>
      <c r="E412" s="394"/>
      <c r="F412" s="394"/>
      <c r="G412" s="394"/>
      <c r="H412" s="394"/>
      <c r="I412" s="394"/>
      <c r="J412" s="394"/>
      <c r="K412" s="394"/>
      <c r="L412" s="430"/>
      <c r="M412" s="376"/>
    </row>
    <row r="413" spans="1:13" hidden="1">
      <c r="A413" s="386"/>
      <c r="B413" s="394"/>
      <c r="C413" s="394"/>
      <c r="D413" s="350"/>
      <c r="E413" s="394"/>
      <c r="F413" s="394"/>
      <c r="G413" s="394"/>
      <c r="H413" s="394"/>
      <c r="I413" s="394"/>
      <c r="J413" s="394"/>
      <c r="K413" s="428"/>
      <c r="L413" s="430"/>
      <c r="M413" s="376"/>
    </row>
    <row r="414" spans="1:13" hidden="1">
      <c r="A414" s="386"/>
      <c r="B414" s="394"/>
      <c r="C414" s="394"/>
      <c r="D414" s="394"/>
      <c r="E414" s="394"/>
      <c r="F414" s="394"/>
      <c r="G414" s="394"/>
      <c r="H414" s="394"/>
      <c r="I414" s="394"/>
      <c r="J414" s="394"/>
      <c r="K414" s="394"/>
      <c r="L414" s="430"/>
      <c r="M414" s="376"/>
    </row>
    <row r="415" spans="1:13" hidden="1">
      <c r="A415" s="386"/>
      <c r="B415" s="394"/>
      <c r="C415" s="394"/>
      <c r="D415" s="350"/>
      <c r="E415" s="394"/>
      <c r="F415" s="394"/>
      <c r="G415" s="394"/>
      <c r="H415" s="394"/>
      <c r="I415" s="394"/>
      <c r="J415" s="394"/>
      <c r="K415" s="428"/>
      <c r="L415" s="430"/>
      <c r="M415" s="376"/>
    </row>
    <row r="416" spans="1:13" hidden="1">
      <c r="A416" s="386"/>
      <c r="B416" s="394"/>
      <c r="C416" s="394"/>
      <c r="D416" s="394"/>
      <c r="E416" s="394"/>
      <c r="F416" s="394"/>
      <c r="G416" s="394"/>
      <c r="H416" s="394"/>
      <c r="I416" s="394"/>
      <c r="J416" s="394"/>
      <c r="K416" s="394"/>
      <c r="L416" s="430"/>
      <c r="M416" s="376"/>
    </row>
    <row r="417" spans="1:13" hidden="1">
      <c r="A417" s="386"/>
      <c r="B417" s="394"/>
      <c r="C417" s="394"/>
      <c r="D417" s="350"/>
      <c r="E417" s="394"/>
      <c r="F417" s="394"/>
      <c r="G417" s="394"/>
      <c r="H417" s="394"/>
      <c r="I417" s="394"/>
      <c r="J417" s="394"/>
      <c r="K417" s="428"/>
      <c r="L417" s="430"/>
      <c r="M417" s="376"/>
    </row>
    <row r="418" spans="1:13" hidden="1">
      <c r="A418" s="386"/>
      <c r="B418" s="394"/>
      <c r="C418" s="394"/>
      <c r="D418" s="394"/>
      <c r="E418" s="394"/>
      <c r="F418" s="394"/>
      <c r="G418" s="394"/>
      <c r="H418" s="394"/>
      <c r="I418" s="394"/>
      <c r="J418" s="394"/>
      <c r="K418" s="394"/>
      <c r="L418" s="430"/>
      <c r="M418" s="376"/>
    </row>
    <row r="419" spans="1:13" hidden="1">
      <c r="A419" s="386"/>
      <c r="B419" s="394"/>
      <c r="C419" s="394"/>
      <c r="D419" s="350"/>
      <c r="E419" s="394"/>
      <c r="F419" s="394"/>
      <c r="G419" s="394"/>
      <c r="H419" s="394"/>
      <c r="I419" s="394"/>
      <c r="J419" s="394"/>
      <c r="K419" s="428"/>
      <c r="L419" s="430"/>
      <c r="M419" s="376"/>
    </row>
    <row r="420" spans="1:13" hidden="1">
      <c r="A420" s="386"/>
      <c r="B420" s="394"/>
      <c r="C420" s="394"/>
      <c r="D420" s="394"/>
      <c r="E420" s="394"/>
      <c r="F420" s="394"/>
      <c r="G420" s="394"/>
      <c r="H420" s="394"/>
      <c r="I420" s="394"/>
      <c r="J420" s="394"/>
      <c r="K420" s="394"/>
      <c r="L420" s="430"/>
      <c r="M420" s="376"/>
    </row>
    <row r="421" spans="1:13" hidden="1">
      <c r="A421" s="386"/>
      <c r="B421" s="394"/>
      <c r="C421" s="394"/>
      <c r="D421" s="350"/>
      <c r="E421" s="394"/>
      <c r="F421" s="394"/>
      <c r="G421" s="394"/>
      <c r="H421" s="394"/>
      <c r="I421" s="394"/>
      <c r="J421" s="394"/>
      <c r="K421" s="428"/>
      <c r="L421" s="430"/>
      <c r="M421" s="376"/>
    </row>
    <row r="422" spans="1:13" hidden="1">
      <c r="A422" s="386"/>
      <c r="B422" s="394"/>
      <c r="C422" s="394"/>
      <c r="D422" s="394"/>
      <c r="E422" s="394"/>
      <c r="F422" s="394"/>
      <c r="G422" s="394"/>
      <c r="H422" s="394"/>
      <c r="I422" s="394"/>
      <c r="J422" s="394"/>
      <c r="K422" s="394"/>
      <c r="L422" s="430"/>
      <c r="M422" s="376"/>
    </row>
    <row r="423" spans="1:13" hidden="1">
      <c r="A423" s="386"/>
      <c r="B423" s="394"/>
      <c r="C423" s="394"/>
      <c r="D423" s="350"/>
      <c r="E423" s="394"/>
      <c r="F423" s="394"/>
      <c r="G423" s="394"/>
      <c r="H423" s="394"/>
      <c r="I423" s="394"/>
      <c r="J423" s="394"/>
      <c r="K423" s="428"/>
      <c r="L423" s="430"/>
      <c r="M423" s="376"/>
    </row>
    <row r="424" spans="1:13" hidden="1">
      <c r="A424" s="386"/>
      <c r="B424" s="394"/>
      <c r="C424" s="394"/>
      <c r="D424" s="394"/>
      <c r="E424" s="394"/>
      <c r="F424" s="394"/>
      <c r="G424" s="394"/>
      <c r="H424" s="394"/>
      <c r="I424" s="394"/>
      <c r="J424" s="394"/>
      <c r="K424" s="394"/>
      <c r="L424" s="430"/>
      <c r="M424" s="376"/>
    </row>
    <row r="425" spans="1:13" hidden="1">
      <c r="A425" s="386"/>
      <c r="B425" s="394"/>
      <c r="C425" s="394"/>
      <c r="D425" s="350"/>
      <c r="E425" s="394"/>
      <c r="F425" s="394"/>
      <c r="G425" s="394"/>
      <c r="H425" s="394"/>
      <c r="I425" s="394"/>
      <c r="J425" s="394"/>
      <c r="K425" s="428"/>
      <c r="L425" s="430"/>
      <c r="M425" s="376"/>
    </row>
    <row r="426" spans="1:13" hidden="1">
      <c r="A426" s="386"/>
      <c r="B426" s="394"/>
      <c r="C426" s="394"/>
      <c r="D426" s="394"/>
      <c r="E426" s="394"/>
      <c r="F426" s="394"/>
      <c r="G426" s="394"/>
      <c r="H426" s="394"/>
      <c r="I426" s="394"/>
      <c r="J426" s="394"/>
      <c r="K426" s="394"/>
      <c r="L426" s="430"/>
      <c r="M426" s="376"/>
    </row>
    <row r="427" spans="1:13" hidden="1">
      <c r="A427" s="386"/>
      <c r="B427" s="394"/>
      <c r="C427" s="394"/>
      <c r="D427" s="350"/>
      <c r="E427" s="394"/>
      <c r="F427" s="394"/>
      <c r="G427" s="394"/>
      <c r="H427" s="394"/>
      <c r="I427" s="394"/>
      <c r="J427" s="394"/>
      <c r="K427" s="428"/>
      <c r="L427" s="430"/>
      <c r="M427" s="376"/>
    </row>
    <row r="428" spans="1:13" hidden="1">
      <c r="A428" s="394"/>
      <c r="B428" s="394"/>
      <c r="C428" s="394"/>
      <c r="D428" s="394"/>
      <c r="E428" s="394"/>
      <c r="F428" s="394"/>
      <c r="G428" s="394"/>
      <c r="H428" s="394"/>
      <c r="I428" s="394"/>
      <c r="J428" s="394"/>
      <c r="K428" s="394"/>
      <c r="L428" s="430"/>
      <c r="M428" s="376"/>
    </row>
    <row r="429" spans="1:13" hidden="1">
      <c r="A429" s="386"/>
      <c r="B429" s="394"/>
      <c r="C429" s="394"/>
      <c r="D429" s="350"/>
      <c r="E429" s="394"/>
      <c r="F429" s="394"/>
      <c r="G429" s="394"/>
      <c r="H429" s="394"/>
      <c r="I429" s="394"/>
      <c r="J429" s="394"/>
      <c r="K429" s="428"/>
      <c r="L429" s="430"/>
      <c r="M429" s="376"/>
    </row>
    <row r="430" spans="1:13" hidden="1">
      <c r="A430" s="386"/>
      <c r="B430" s="394"/>
      <c r="C430" s="394"/>
      <c r="D430" s="394"/>
      <c r="E430" s="394"/>
      <c r="F430" s="394"/>
      <c r="G430" s="394"/>
      <c r="H430" s="394"/>
      <c r="I430" s="394"/>
      <c r="J430" s="394"/>
      <c r="K430" s="394"/>
      <c r="L430" s="430"/>
      <c r="M430" s="376"/>
    </row>
    <row r="431" spans="1:13" hidden="1">
      <c r="A431" s="386"/>
      <c r="B431" s="394"/>
      <c r="C431" s="394"/>
      <c r="D431" s="350"/>
      <c r="E431" s="394"/>
      <c r="F431" s="394"/>
      <c r="G431" s="394"/>
      <c r="H431" s="394"/>
      <c r="I431" s="394"/>
      <c r="J431" s="394"/>
      <c r="K431" s="428"/>
      <c r="L431" s="430"/>
      <c r="M431" s="376"/>
    </row>
    <row r="432" spans="1:13" hidden="1">
      <c r="A432" s="386"/>
      <c r="B432" s="394"/>
      <c r="C432" s="394"/>
      <c r="D432" s="394"/>
      <c r="E432" s="394"/>
      <c r="F432" s="394"/>
      <c r="G432" s="394"/>
      <c r="H432" s="394"/>
      <c r="I432" s="394"/>
      <c r="J432" s="394"/>
      <c r="K432" s="394"/>
      <c r="L432" s="430"/>
      <c r="M432" s="376"/>
    </row>
    <row r="433" spans="1:13" hidden="1">
      <c r="A433" s="386"/>
      <c r="B433" s="394"/>
      <c r="C433" s="394"/>
      <c r="D433" s="350"/>
      <c r="E433" s="394"/>
      <c r="F433" s="394"/>
      <c r="G433" s="394"/>
      <c r="H433" s="394"/>
      <c r="I433" s="394"/>
      <c r="J433" s="394"/>
      <c r="K433" s="428"/>
      <c r="L433" s="430"/>
      <c r="M433" s="376"/>
    </row>
    <row r="434" spans="1:13" hidden="1">
      <c r="A434" s="410"/>
      <c r="B434" s="394"/>
      <c r="C434" s="394"/>
      <c r="D434" s="350"/>
      <c r="E434" s="394"/>
      <c r="F434" s="394"/>
      <c r="G434" s="394"/>
      <c r="H434" s="394"/>
      <c r="I434" s="394"/>
      <c r="J434" s="394"/>
      <c r="K434" s="428"/>
      <c r="L434" s="430"/>
      <c r="M434" s="376"/>
    </row>
    <row r="435" spans="1:13" hidden="1">
      <c r="A435" s="386"/>
      <c r="B435" s="394"/>
      <c r="C435" s="394"/>
      <c r="D435" s="350"/>
      <c r="E435" s="394"/>
      <c r="F435" s="394"/>
      <c r="G435" s="394"/>
      <c r="H435" s="394"/>
      <c r="I435" s="394"/>
      <c r="J435" s="394"/>
      <c r="K435" s="428"/>
      <c r="L435" s="430"/>
      <c r="M435" s="376"/>
    </row>
    <row r="436" spans="1:13" hidden="1">
      <c r="A436" s="386"/>
      <c r="B436" s="394"/>
      <c r="C436" s="394"/>
      <c r="D436" s="394"/>
      <c r="E436" s="394"/>
      <c r="F436" s="394"/>
      <c r="G436" s="394"/>
      <c r="H436" s="394"/>
      <c r="I436" s="394"/>
      <c r="J436" s="394"/>
      <c r="K436" s="394"/>
      <c r="L436" s="430"/>
      <c r="M436" s="376"/>
    </row>
    <row r="437" spans="1:13" hidden="1">
      <c r="A437" s="386"/>
      <c r="B437" s="394"/>
      <c r="C437" s="394"/>
      <c r="D437" s="350"/>
      <c r="E437" s="394"/>
      <c r="F437" s="394"/>
      <c r="G437" s="394"/>
      <c r="H437" s="394"/>
      <c r="I437" s="394"/>
      <c r="J437" s="394"/>
      <c r="K437" s="428"/>
      <c r="L437" s="430"/>
      <c r="M437" s="376"/>
    </row>
    <row r="438" spans="1:13" hidden="1">
      <c r="A438" s="386"/>
      <c r="B438" s="394"/>
      <c r="C438" s="394"/>
      <c r="D438" s="394"/>
      <c r="E438" s="394"/>
      <c r="F438" s="394"/>
      <c r="G438" s="394"/>
      <c r="H438" s="394"/>
      <c r="I438" s="394"/>
      <c r="J438" s="394"/>
      <c r="K438" s="394"/>
      <c r="L438" s="430"/>
      <c r="M438" s="376"/>
    </row>
    <row r="439" spans="1:13" hidden="1">
      <c r="A439" s="386"/>
      <c r="B439" s="394"/>
      <c r="C439" s="394"/>
      <c r="D439" s="350"/>
      <c r="E439" s="394"/>
      <c r="F439" s="394"/>
      <c r="G439" s="394"/>
      <c r="H439" s="394"/>
      <c r="I439" s="394"/>
      <c r="J439" s="394"/>
      <c r="K439" s="428"/>
      <c r="L439" s="430"/>
      <c r="M439" s="376"/>
    </row>
    <row r="440" spans="1:13" hidden="1">
      <c r="A440" s="386"/>
      <c r="B440" s="394"/>
      <c r="C440" s="394"/>
      <c r="D440" s="394"/>
      <c r="E440" s="394"/>
      <c r="F440" s="394"/>
      <c r="G440" s="394"/>
      <c r="H440" s="394"/>
      <c r="I440" s="394"/>
      <c r="J440" s="394"/>
      <c r="K440" s="394"/>
      <c r="L440" s="430"/>
      <c r="M440" s="376"/>
    </row>
    <row r="441" spans="1:13" hidden="1">
      <c r="A441" s="386"/>
      <c r="B441" s="394"/>
      <c r="C441" s="394"/>
      <c r="D441" s="350"/>
      <c r="E441" s="394"/>
      <c r="F441" s="394"/>
      <c r="G441" s="394"/>
      <c r="H441" s="394"/>
      <c r="I441" s="394"/>
      <c r="J441" s="394"/>
      <c r="K441" s="428"/>
      <c r="L441" s="430"/>
      <c r="M441" s="376"/>
    </row>
    <row r="442" spans="1:13" hidden="1">
      <c r="A442" s="386"/>
      <c r="B442" s="394"/>
      <c r="C442" s="394"/>
      <c r="D442" s="394"/>
      <c r="E442" s="394"/>
      <c r="F442" s="394"/>
      <c r="G442" s="394"/>
      <c r="H442" s="394"/>
      <c r="I442" s="394"/>
      <c r="J442" s="394"/>
      <c r="K442" s="394"/>
      <c r="L442" s="430"/>
      <c r="M442" s="376"/>
    </row>
    <row r="443" spans="1:13" hidden="1">
      <c r="A443" s="386"/>
      <c r="B443" s="394"/>
      <c r="C443" s="394"/>
      <c r="D443" s="350"/>
      <c r="E443" s="394"/>
      <c r="F443" s="394"/>
      <c r="G443" s="394"/>
      <c r="H443" s="394"/>
      <c r="I443" s="394"/>
      <c r="J443" s="394"/>
      <c r="K443" s="428"/>
      <c r="L443" s="430"/>
      <c r="M443" s="376"/>
    </row>
    <row r="444" spans="1:13" hidden="1">
      <c r="A444" s="386"/>
      <c r="B444" s="394"/>
      <c r="C444" s="394"/>
      <c r="D444" s="394"/>
      <c r="E444" s="394"/>
      <c r="F444" s="394"/>
      <c r="G444" s="394"/>
      <c r="H444" s="394"/>
      <c r="I444" s="394"/>
      <c r="J444" s="394"/>
      <c r="K444" s="394"/>
      <c r="L444" s="350"/>
      <c r="M444" s="376"/>
    </row>
    <row r="445" spans="1:13" hidden="1">
      <c r="A445" s="386"/>
      <c r="B445" s="394"/>
      <c r="C445" s="394"/>
      <c r="D445" s="350"/>
      <c r="E445" s="394"/>
      <c r="F445" s="394"/>
      <c r="G445" s="394"/>
      <c r="H445" s="394"/>
      <c r="I445" s="394"/>
      <c r="J445" s="394"/>
      <c r="K445" s="394"/>
      <c r="L445" s="350"/>
      <c r="M445" s="376"/>
    </row>
    <row r="446" spans="1:13" hidden="1">
      <c r="A446" s="386"/>
      <c r="B446" s="394"/>
      <c r="C446" s="394"/>
      <c r="D446" s="394"/>
      <c r="E446" s="394"/>
      <c r="F446" s="394"/>
      <c r="G446" s="394"/>
      <c r="H446" s="394"/>
      <c r="I446" s="394"/>
      <c r="J446" s="394"/>
      <c r="K446" s="394"/>
      <c r="L446" s="350"/>
      <c r="M446" s="376"/>
    </row>
    <row r="447" spans="1:13" hidden="1">
      <c r="A447" s="431"/>
      <c r="B447" s="391"/>
      <c r="C447" s="391"/>
      <c r="D447" s="431"/>
      <c r="E447" s="391"/>
      <c r="F447" s="391"/>
      <c r="G447" s="391"/>
      <c r="H447" s="391"/>
      <c r="I447" s="391"/>
      <c r="J447" s="391"/>
      <c r="K447" s="391"/>
      <c r="L447" s="431"/>
    </row>
    <row r="448" spans="1:13" hidden="1">
      <c r="A448" s="386"/>
      <c r="B448" s="394"/>
      <c r="C448" s="394"/>
      <c r="D448" s="394"/>
      <c r="E448" s="394"/>
      <c r="F448" s="394"/>
      <c r="G448" s="394"/>
      <c r="H448" s="394"/>
      <c r="I448" s="394"/>
      <c r="J448" s="394"/>
      <c r="K448" s="394"/>
      <c r="L448" s="350"/>
      <c r="M448" s="376"/>
    </row>
    <row r="449" spans="1:13" hidden="1">
      <c r="A449" s="386"/>
      <c r="B449" s="394"/>
      <c r="C449" s="394"/>
      <c r="D449" s="350"/>
      <c r="E449" s="394"/>
      <c r="F449" s="394"/>
      <c r="G449" s="394"/>
      <c r="H449" s="394"/>
      <c r="I449" s="394"/>
      <c r="J449" s="394"/>
      <c r="K449" s="394"/>
      <c r="L449" s="350"/>
      <c r="M449" s="376"/>
    </row>
    <row r="450" spans="1:13" hidden="1">
      <c r="A450" s="386"/>
      <c r="B450" s="394"/>
      <c r="C450" s="394"/>
      <c r="D450" s="394"/>
      <c r="E450" s="394"/>
      <c r="F450" s="394"/>
      <c r="G450" s="394"/>
      <c r="H450" s="394"/>
      <c r="I450" s="394"/>
      <c r="J450" s="394"/>
      <c r="K450" s="394"/>
      <c r="L450" s="350"/>
      <c r="M450" s="376"/>
    </row>
    <row r="451" spans="1:13" hidden="1">
      <c r="A451" s="386"/>
      <c r="B451" s="394"/>
      <c r="C451" s="394"/>
      <c r="D451" s="350"/>
      <c r="E451" s="394"/>
      <c r="F451" s="394"/>
      <c r="G451" s="394"/>
      <c r="H451" s="394"/>
      <c r="I451" s="394"/>
      <c r="J451" s="394"/>
      <c r="K451" s="394"/>
      <c r="L451" s="350"/>
      <c r="M451" s="376"/>
    </row>
    <row r="452" spans="1:13" hidden="1">
      <c r="A452" s="386"/>
      <c r="B452" s="394"/>
      <c r="C452" s="394"/>
      <c r="D452" s="394"/>
      <c r="E452" s="394"/>
      <c r="F452" s="394"/>
      <c r="G452" s="394"/>
      <c r="H452" s="394"/>
      <c r="I452" s="394"/>
      <c r="J452" s="394"/>
      <c r="K452" s="394"/>
      <c r="L452" s="350"/>
      <c r="M452" s="376"/>
    </row>
    <row r="453" spans="1:13" hidden="1">
      <c r="A453" s="386"/>
      <c r="B453" s="394"/>
      <c r="C453" s="394"/>
      <c r="D453" s="350"/>
      <c r="E453" s="394"/>
      <c r="F453" s="394"/>
      <c r="G453" s="394"/>
      <c r="H453" s="394"/>
      <c r="I453" s="394"/>
      <c r="J453" s="394"/>
      <c r="K453" s="394"/>
      <c r="L453" s="350"/>
      <c r="M453" s="376"/>
    </row>
    <row r="454" spans="1:13" hidden="1">
      <c r="A454" s="386"/>
      <c r="B454" s="394"/>
      <c r="C454" s="394"/>
      <c r="D454" s="394"/>
      <c r="E454" s="394"/>
      <c r="F454" s="394"/>
      <c r="G454" s="394"/>
      <c r="H454" s="394"/>
      <c r="I454" s="394"/>
      <c r="J454" s="394"/>
      <c r="K454" s="394"/>
      <c r="L454" s="350"/>
      <c r="M454" s="376"/>
    </row>
    <row r="455" spans="1:13" hidden="1">
      <c r="A455" s="386"/>
      <c r="B455" s="394"/>
      <c r="C455" s="394"/>
      <c r="D455" s="350"/>
      <c r="E455" s="394"/>
      <c r="F455" s="394"/>
      <c r="G455" s="394"/>
      <c r="H455" s="394"/>
      <c r="I455" s="394"/>
      <c r="J455" s="394"/>
      <c r="K455" s="394"/>
      <c r="L455" s="350"/>
      <c r="M455" s="376"/>
    </row>
    <row r="456" spans="1:13" hidden="1">
      <c r="A456" s="386"/>
      <c r="B456" s="394"/>
      <c r="C456" s="394"/>
      <c r="D456" s="394"/>
      <c r="E456" s="394"/>
      <c r="F456" s="394"/>
      <c r="G456" s="394"/>
      <c r="H456" s="394"/>
      <c r="I456" s="394"/>
      <c r="J456" s="394"/>
      <c r="K456" s="394"/>
      <c r="L456" s="350"/>
      <c r="M456" s="376"/>
    </row>
    <row r="457" spans="1:13" hidden="1">
      <c r="A457" s="386"/>
      <c r="B457" s="394"/>
      <c r="C457" s="394"/>
      <c r="D457" s="350"/>
      <c r="E457" s="394"/>
      <c r="F457" s="394"/>
      <c r="G457" s="394"/>
      <c r="H457" s="394"/>
      <c r="I457" s="394"/>
      <c r="J457" s="394"/>
      <c r="K457" s="394"/>
      <c r="L457" s="350"/>
      <c r="M457" s="376"/>
    </row>
    <row r="458" spans="1:13" hidden="1">
      <c r="A458" s="386"/>
      <c r="B458" s="394"/>
      <c r="C458" s="394"/>
      <c r="D458" s="394"/>
      <c r="E458" s="394"/>
      <c r="F458" s="394"/>
      <c r="G458" s="394"/>
      <c r="H458" s="394"/>
      <c r="I458" s="394"/>
      <c r="J458" s="394"/>
      <c r="K458" s="394"/>
      <c r="L458" s="350"/>
      <c r="M458" s="376"/>
    </row>
    <row r="459" spans="1:13" hidden="1">
      <c r="A459" s="386"/>
      <c r="B459" s="394"/>
      <c r="C459" s="394"/>
      <c r="D459" s="350"/>
      <c r="E459" s="394"/>
      <c r="F459" s="394"/>
      <c r="G459" s="394"/>
      <c r="H459" s="394"/>
      <c r="I459" s="394"/>
      <c r="J459" s="394"/>
      <c r="K459" s="394"/>
      <c r="L459" s="350"/>
      <c r="M459" s="376"/>
    </row>
    <row r="460" spans="1:13" hidden="1">
      <c r="A460" s="410">
        <v>2009</v>
      </c>
      <c r="B460" s="394"/>
      <c r="C460" s="311"/>
      <c r="D460" s="350"/>
      <c r="E460" s="394"/>
      <c r="F460" s="394"/>
      <c r="G460" s="394"/>
      <c r="H460" s="394"/>
      <c r="I460" s="394"/>
      <c r="J460" s="394"/>
      <c r="K460" s="394"/>
      <c r="L460" s="350"/>
      <c r="M460" s="376"/>
    </row>
    <row r="461" spans="1:13" hidden="1">
      <c r="A461" s="413"/>
      <c r="B461" s="394"/>
      <c r="C461" s="394"/>
      <c r="D461" s="350"/>
      <c r="E461" s="394"/>
      <c r="F461" s="394"/>
      <c r="G461" s="394"/>
      <c r="H461" s="394"/>
      <c r="I461" s="394"/>
      <c r="J461" s="394"/>
      <c r="K461" s="394"/>
      <c r="L461" s="350"/>
      <c r="M461" s="376"/>
    </row>
    <row r="462" spans="1:13" hidden="1">
      <c r="A462" s="386" t="s">
        <v>8</v>
      </c>
      <c r="B462" s="415">
        <v>1150.9000000000001</v>
      </c>
      <c r="C462" s="415">
        <v>8524106</v>
      </c>
      <c r="D462" s="415">
        <v>0</v>
      </c>
      <c r="E462" s="415">
        <v>1241644</v>
      </c>
      <c r="F462" s="415">
        <f>B462+C462+D462+E462</f>
        <v>9766900.9000000004</v>
      </c>
      <c r="G462" s="415">
        <v>538016868</v>
      </c>
      <c r="H462" s="415">
        <v>0</v>
      </c>
      <c r="I462" s="415">
        <f>SUM(F462:H462)</f>
        <v>547783768.89999998</v>
      </c>
      <c r="J462" s="415">
        <v>149948195.69999999</v>
      </c>
      <c r="K462" s="415">
        <v>544742013.29999995</v>
      </c>
      <c r="L462" s="415">
        <f>SUM(I462:K462)</f>
        <v>1242473977.8999999</v>
      </c>
      <c r="M462" s="376"/>
    </row>
    <row r="463" spans="1:13" hidden="1">
      <c r="A463" s="386"/>
      <c r="B463" s="432"/>
      <c r="C463" s="415"/>
      <c r="D463" s="415"/>
      <c r="E463" s="415"/>
      <c r="F463" s="415"/>
      <c r="G463" s="415"/>
      <c r="H463" s="415"/>
      <c r="I463" s="415"/>
      <c r="J463" s="415"/>
      <c r="K463" s="415"/>
      <c r="L463" s="415"/>
      <c r="M463" s="376"/>
    </row>
    <row r="464" spans="1:13" hidden="1">
      <c r="A464" s="386" t="s">
        <v>9</v>
      </c>
      <c r="B464" s="415">
        <v>29117.4</v>
      </c>
      <c r="C464" s="415">
        <v>32906140</v>
      </c>
      <c r="D464" s="415">
        <v>0</v>
      </c>
      <c r="E464" s="415">
        <v>2700288</v>
      </c>
      <c r="F464" s="415">
        <f>B464+C464+D464+E464</f>
        <v>35635545.399999999</v>
      </c>
      <c r="G464" s="415">
        <v>509745084.10000002</v>
      </c>
      <c r="H464" s="415">
        <v>0</v>
      </c>
      <c r="I464" s="415">
        <f>SUM(F464:H464)</f>
        <v>545380629.5</v>
      </c>
      <c r="J464" s="415">
        <v>149948195.69999999</v>
      </c>
      <c r="K464" s="415">
        <v>576350401.39999998</v>
      </c>
      <c r="L464" s="415">
        <f>SUM(I464:K464)</f>
        <v>1271679226.5999999</v>
      </c>
      <c r="M464" s="376"/>
    </row>
    <row r="465" spans="1:13" hidden="1">
      <c r="A465" s="386"/>
      <c r="B465" s="415"/>
      <c r="C465" s="415"/>
      <c r="D465" s="415"/>
      <c r="E465" s="415"/>
      <c r="F465" s="415"/>
      <c r="G465" s="415"/>
      <c r="H465" s="415"/>
      <c r="I465" s="415"/>
      <c r="J465" s="415"/>
      <c r="K465" s="415"/>
      <c r="L465" s="415"/>
      <c r="M465" s="376"/>
    </row>
    <row r="466" spans="1:13" hidden="1">
      <c r="A466" s="386" t="s">
        <v>10</v>
      </c>
      <c r="B466" s="415">
        <v>28031.1</v>
      </c>
      <c r="C466" s="415">
        <v>34958370</v>
      </c>
      <c r="D466" s="415">
        <v>0</v>
      </c>
      <c r="E466" s="415">
        <v>2802281</v>
      </c>
      <c r="F466" s="415">
        <f>B466+C466+D466+E466</f>
        <v>37788682.100000001</v>
      </c>
      <c r="G466" s="415">
        <v>510190454.80000001</v>
      </c>
      <c r="H466" s="415">
        <v>0</v>
      </c>
      <c r="I466" s="415">
        <f>SUM(F466:H466)</f>
        <v>547979136.89999998</v>
      </c>
      <c r="J466" s="415">
        <v>149948195.69999999</v>
      </c>
      <c r="K466" s="415">
        <v>7945641450.8999996</v>
      </c>
      <c r="L466" s="415">
        <f>SUM(I466:K466)</f>
        <v>8643568783.5</v>
      </c>
      <c r="M466" s="376"/>
    </row>
    <row r="467" spans="1:13" hidden="1">
      <c r="A467" s="386"/>
      <c r="B467" s="415"/>
      <c r="C467" s="415"/>
      <c r="D467" s="415"/>
      <c r="E467" s="415"/>
      <c r="F467" s="415"/>
      <c r="G467" s="415"/>
      <c r="H467" s="415"/>
      <c r="I467" s="415"/>
      <c r="J467" s="415"/>
      <c r="K467" s="415"/>
      <c r="L467" s="415"/>
      <c r="M467" s="376"/>
    </row>
    <row r="468" spans="1:13" hidden="1">
      <c r="A468" s="386" t="s">
        <v>11</v>
      </c>
      <c r="B468" s="415">
        <v>0</v>
      </c>
      <c r="C468" s="415">
        <v>33534827.5</v>
      </c>
      <c r="D468" s="415">
        <v>0</v>
      </c>
      <c r="E468" s="415">
        <v>164445.70000000001</v>
      </c>
      <c r="F468" s="415">
        <f>B468+C468+D468+E468</f>
        <v>33699273.200000003</v>
      </c>
      <c r="G468" s="415">
        <v>704504584.70000005</v>
      </c>
      <c r="H468" s="415">
        <v>0</v>
      </c>
      <c r="I468" s="415">
        <f>SUM(F468:H468)</f>
        <v>738203857.9000001</v>
      </c>
      <c r="J468" s="415">
        <v>574379743.20000005</v>
      </c>
      <c r="K468" s="415">
        <v>473867852.60000002</v>
      </c>
      <c r="L468" s="415">
        <f>SUM(I468:K468)</f>
        <v>1786451453.7000003</v>
      </c>
      <c r="M468" s="376"/>
    </row>
    <row r="469" spans="1:13" hidden="1">
      <c r="A469" s="386"/>
      <c r="B469" s="415"/>
      <c r="C469" s="415"/>
      <c r="D469" s="415"/>
      <c r="E469" s="415"/>
      <c r="F469" s="415"/>
      <c r="G469" s="415"/>
      <c r="H469" s="415"/>
      <c r="I469" s="415"/>
      <c r="J469" s="415"/>
      <c r="K469" s="415"/>
      <c r="L469" s="415"/>
      <c r="M469" s="376"/>
    </row>
    <row r="470" spans="1:13" hidden="1">
      <c r="A470" s="386" t="s">
        <v>337</v>
      </c>
      <c r="B470" s="415">
        <v>0</v>
      </c>
      <c r="C470" s="415">
        <v>47650677.600000001</v>
      </c>
      <c r="D470" s="415">
        <v>0</v>
      </c>
      <c r="E470" s="415">
        <v>164445.70000000001</v>
      </c>
      <c r="F470" s="415">
        <f>B470+C470+D470+E470</f>
        <v>47815123.300000004</v>
      </c>
      <c r="G470" s="415">
        <v>769924258.10000002</v>
      </c>
      <c r="H470" s="415">
        <v>0</v>
      </c>
      <c r="I470" s="415">
        <f>SUM(F470:H470)</f>
        <v>817739381.39999998</v>
      </c>
      <c r="J470" s="415">
        <v>580385921.20000005</v>
      </c>
      <c r="K470" s="415">
        <v>402657246.60000002</v>
      </c>
      <c r="L470" s="415">
        <f>SUM(I470:K470)</f>
        <v>1800782549.1999998</v>
      </c>
      <c r="M470" s="376"/>
    </row>
    <row r="471" spans="1:13" hidden="1">
      <c r="A471" s="433"/>
      <c r="B471" s="415"/>
      <c r="C471" s="415"/>
      <c r="D471" s="415"/>
      <c r="E471" s="415"/>
      <c r="F471" s="415"/>
      <c r="G471" s="415"/>
      <c r="H471" s="415"/>
      <c r="I471" s="415"/>
      <c r="J471" s="415"/>
      <c r="K471" s="415"/>
      <c r="L471" s="415"/>
      <c r="M471" s="376"/>
    </row>
    <row r="472" spans="1:13" hidden="1">
      <c r="A472" s="433" t="s">
        <v>346</v>
      </c>
      <c r="B472" s="415">
        <v>0</v>
      </c>
      <c r="C472" s="415">
        <v>68060619.799999997</v>
      </c>
      <c r="D472" s="415">
        <v>0</v>
      </c>
      <c r="E472" s="415">
        <v>174719.8</v>
      </c>
      <c r="F472" s="415">
        <f>B472+C472+D472+E472</f>
        <v>68235339.599999994</v>
      </c>
      <c r="G472" s="415">
        <v>769660005.70000005</v>
      </c>
      <c r="H472" s="415">
        <v>0</v>
      </c>
      <c r="I472" s="415">
        <f>SUM(F472:H472)</f>
        <v>837895345.30000007</v>
      </c>
      <c r="J472" s="415">
        <v>573763297.89999998</v>
      </c>
      <c r="K472" s="415">
        <v>410463531.10000002</v>
      </c>
      <c r="L472" s="415">
        <f>SUM(I472:K472)</f>
        <v>1822122174.3000002</v>
      </c>
      <c r="M472" s="376"/>
    </row>
    <row r="473" spans="1:13" hidden="1">
      <c r="A473" s="433"/>
      <c r="B473" s="415"/>
      <c r="C473" s="415"/>
      <c r="D473" s="415"/>
      <c r="E473" s="415"/>
      <c r="F473" s="415"/>
      <c r="G473" s="415"/>
      <c r="H473" s="415"/>
      <c r="I473" s="415"/>
      <c r="J473" s="415"/>
      <c r="K473" s="415"/>
      <c r="L473" s="415"/>
      <c r="M473" s="376"/>
    </row>
    <row r="474" spans="1:13" hidden="1">
      <c r="A474" s="433" t="s">
        <v>347</v>
      </c>
      <c r="B474" s="415">
        <v>0</v>
      </c>
      <c r="C474" s="415">
        <v>66910449.299999997</v>
      </c>
      <c r="D474" s="415">
        <v>0</v>
      </c>
      <c r="E474" s="415">
        <v>181630.5</v>
      </c>
      <c r="F474" s="415">
        <f>B474+C474+D474+E474</f>
        <v>67092079.799999997</v>
      </c>
      <c r="G474" s="415">
        <v>770475112.79999995</v>
      </c>
      <c r="H474" s="415">
        <v>0</v>
      </c>
      <c r="I474" s="415">
        <f>SUM(F474:H474)</f>
        <v>837567192.5999999</v>
      </c>
      <c r="J474" s="415">
        <v>568939558.60000002</v>
      </c>
      <c r="K474" s="415">
        <v>408936721.19999999</v>
      </c>
      <c r="L474" s="415">
        <f>SUM(I474:K474)</f>
        <v>1815443472.3999999</v>
      </c>
      <c r="M474" s="376"/>
    </row>
    <row r="475" spans="1:13" hidden="1">
      <c r="A475" s="433"/>
      <c r="B475" s="415"/>
      <c r="C475" s="415"/>
      <c r="D475" s="415"/>
      <c r="E475" s="415"/>
      <c r="F475" s="415"/>
      <c r="G475" s="415"/>
      <c r="H475" s="415"/>
      <c r="I475" s="415"/>
      <c r="J475" s="415"/>
      <c r="K475" s="415"/>
      <c r="L475" s="415"/>
      <c r="M475" s="376"/>
    </row>
    <row r="476" spans="1:13" hidden="1">
      <c r="A476" s="433" t="s">
        <v>12</v>
      </c>
      <c r="B476" s="415">
        <v>0</v>
      </c>
      <c r="C476" s="415">
        <v>88339134</v>
      </c>
      <c r="D476" s="415">
        <v>0</v>
      </c>
      <c r="E476" s="415">
        <v>180728</v>
      </c>
      <c r="F476" s="415">
        <f>B476+C476+D476+E476</f>
        <v>88519862</v>
      </c>
      <c r="G476" s="415">
        <v>1199469447</v>
      </c>
      <c r="H476" s="415">
        <v>0</v>
      </c>
      <c r="I476" s="415">
        <f>SUM(F476:H476)</f>
        <v>1287989309</v>
      </c>
      <c r="J476" s="415">
        <v>550791903</v>
      </c>
      <c r="K476" s="415">
        <v>423330539</v>
      </c>
      <c r="L476" s="415">
        <f>SUM(I476:K476)</f>
        <v>2262111751</v>
      </c>
      <c r="M476" s="376"/>
    </row>
    <row r="477" spans="1:13" hidden="1">
      <c r="A477" s="433"/>
      <c r="B477" s="415"/>
      <c r="C477" s="415"/>
      <c r="D477" s="415"/>
      <c r="E477" s="415"/>
      <c r="F477" s="415"/>
      <c r="G477" s="415"/>
      <c r="H477" s="415"/>
      <c r="I477" s="415"/>
      <c r="J477" s="415"/>
      <c r="K477" s="415"/>
      <c r="L477" s="415"/>
      <c r="M477" s="376"/>
    </row>
    <row r="478" spans="1:13" hidden="1">
      <c r="A478" s="433" t="s">
        <v>13</v>
      </c>
      <c r="B478" s="415">
        <v>0</v>
      </c>
      <c r="C478" s="415">
        <v>99187683</v>
      </c>
      <c r="D478" s="415">
        <v>0</v>
      </c>
      <c r="E478" s="415">
        <v>189398</v>
      </c>
      <c r="F478" s="415">
        <f>B478+C478+D478+E478</f>
        <v>99377081</v>
      </c>
      <c r="G478" s="415">
        <v>1221223275</v>
      </c>
      <c r="H478" s="415">
        <v>0</v>
      </c>
      <c r="I478" s="415">
        <f>SUM(F478:H478)</f>
        <v>1320600356</v>
      </c>
      <c r="J478" s="415">
        <v>544614018</v>
      </c>
      <c r="K478" s="415">
        <v>425643151</v>
      </c>
      <c r="L478" s="415">
        <f>SUM(I478:K478)</f>
        <v>2290857525</v>
      </c>
      <c r="M478" s="376"/>
    </row>
    <row r="479" spans="1:13" hidden="1">
      <c r="A479" s="433"/>
      <c r="B479" s="415"/>
      <c r="C479" s="415"/>
      <c r="D479" s="415"/>
      <c r="E479" s="415"/>
      <c r="F479" s="415"/>
      <c r="G479" s="415"/>
      <c r="H479" s="415"/>
      <c r="I479" s="415"/>
      <c r="J479" s="415"/>
      <c r="K479" s="415"/>
      <c r="L479" s="415"/>
      <c r="M479" s="376"/>
    </row>
    <row r="480" spans="1:13" hidden="1">
      <c r="A480" s="433" t="s">
        <v>14</v>
      </c>
      <c r="B480" s="415">
        <v>0</v>
      </c>
      <c r="C480" s="415">
        <v>104939692</v>
      </c>
      <c r="D480" s="415">
        <v>0</v>
      </c>
      <c r="E480" s="415">
        <v>188630</v>
      </c>
      <c r="F480" s="415">
        <f>B480+C480+D480+E480</f>
        <v>105128322</v>
      </c>
      <c r="G480" s="415">
        <v>1319977388</v>
      </c>
      <c r="H480" s="415">
        <v>0</v>
      </c>
      <c r="I480" s="415">
        <f>SUM(F480:H480)</f>
        <v>1425105710</v>
      </c>
      <c r="J480" s="415">
        <v>545849396</v>
      </c>
      <c r="K480" s="415">
        <v>329100917</v>
      </c>
      <c r="L480" s="415">
        <f>SUM(I480:K480)</f>
        <v>2300056023</v>
      </c>
      <c r="M480" s="376"/>
    </row>
    <row r="481" spans="1:13" hidden="1">
      <c r="A481" s="433"/>
      <c r="B481" s="415"/>
      <c r="C481" s="415"/>
      <c r="D481" s="415"/>
      <c r="E481" s="415"/>
      <c r="F481" s="415"/>
      <c r="G481" s="415"/>
      <c r="H481" s="415"/>
      <c r="I481" s="415"/>
      <c r="J481" s="415"/>
      <c r="K481" s="415"/>
      <c r="L481" s="415"/>
      <c r="M481" s="376"/>
    </row>
    <row r="482" spans="1:13" hidden="1">
      <c r="A482" s="433" t="s">
        <v>15</v>
      </c>
      <c r="B482" s="415">
        <v>0</v>
      </c>
      <c r="C482" s="415">
        <v>93881231</v>
      </c>
      <c r="D482" s="415">
        <v>0</v>
      </c>
      <c r="E482" s="415">
        <v>189421</v>
      </c>
      <c r="F482" s="415">
        <f>B482+C482+D482+E482</f>
        <v>94070652</v>
      </c>
      <c r="G482" s="415">
        <v>1319399144</v>
      </c>
      <c r="H482" s="415">
        <v>0</v>
      </c>
      <c r="I482" s="415">
        <f>SUM(F482:H482)</f>
        <v>1413469796</v>
      </c>
      <c r="J482" s="415">
        <v>558944631</v>
      </c>
      <c r="K482" s="415">
        <v>335636389</v>
      </c>
      <c r="L482" s="415">
        <f>SUM(I482:K482)</f>
        <v>2308050816</v>
      </c>
      <c r="M482" s="376"/>
    </row>
    <row r="483" spans="1:13" hidden="1">
      <c r="A483" s="433"/>
      <c r="B483" s="415"/>
      <c r="C483" s="415"/>
      <c r="D483" s="415"/>
      <c r="E483" s="415"/>
      <c r="F483" s="415"/>
      <c r="G483" s="415"/>
      <c r="H483" s="415"/>
      <c r="I483" s="415"/>
      <c r="J483" s="415"/>
      <c r="K483" s="415"/>
      <c r="L483" s="415"/>
      <c r="M483" s="376"/>
    </row>
    <row r="484" spans="1:13" hidden="1">
      <c r="A484" s="433" t="s">
        <v>16</v>
      </c>
      <c r="B484" s="415">
        <v>0</v>
      </c>
      <c r="C484" s="415">
        <v>125081176</v>
      </c>
      <c r="D484" s="415">
        <v>0</v>
      </c>
      <c r="E484" s="415">
        <v>187399</v>
      </c>
      <c r="F484" s="415">
        <v>125268575</v>
      </c>
      <c r="G484" s="415">
        <v>1295065790</v>
      </c>
      <c r="H484" s="415">
        <v>0</v>
      </c>
      <c r="I484" s="415">
        <v>1420334365</v>
      </c>
      <c r="J484" s="415">
        <v>-1131128211</v>
      </c>
      <c r="K484" s="415">
        <v>395083823</v>
      </c>
      <c r="L484" s="415">
        <f>SUM(I484:K484)</f>
        <v>684289977</v>
      </c>
      <c r="M484" s="376"/>
    </row>
    <row r="485" spans="1:13" hidden="1">
      <c r="A485" s="433"/>
      <c r="B485" s="415"/>
      <c r="C485" s="415"/>
      <c r="D485" s="415"/>
      <c r="E485" s="415"/>
      <c r="F485" s="415"/>
      <c r="G485" s="415"/>
      <c r="H485" s="415"/>
      <c r="I485" s="415"/>
      <c r="J485" s="415"/>
      <c r="K485" s="415"/>
      <c r="L485" s="415"/>
      <c r="M485" s="376"/>
    </row>
    <row r="486" spans="1:13">
      <c r="A486" s="410">
        <v>2010</v>
      </c>
      <c r="B486" s="415"/>
      <c r="C486" s="415"/>
      <c r="D486" s="415"/>
      <c r="E486" s="415"/>
      <c r="F486" s="415"/>
      <c r="G486" s="415"/>
      <c r="H486" s="415"/>
      <c r="I486" s="415"/>
      <c r="J486" s="415"/>
      <c r="K486" s="415"/>
      <c r="L486" s="415"/>
      <c r="M486" s="376"/>
    </row>
    <row r="487" spans="1:13">
      <c r="A487" s="433"/>
      <c r="B487" s="415"/>
      <c r="C487" s="415"/>
      <c r="D487" s="415"/>
      <c r="E487" s="415"/>
      <c r="F487" s="415"/>
      <c r="G487" s="415"/>
      <c r="H487" s="415"/>
      <c r="I487" s="415"/>
      <c r="J487" s="415"/>
      <c r="K487" s="415"/>
      <c r="L487" s="415"/>
      <c r="M487" s="376"/>
    </row>
    <row r="488" spans="1:13">
      <c r="A488" s="386" t="s">
        <v>8</v>
      </c>
      <c r="B488" s="415">
        <v>0</v>
      </c>
      <c r="C488" s="415">
        <v>140.084553</v>
      </c>
      <c r="D488" s="415">
        <v>0</v>
      </c>
      <c r="E488" s="415">
        <v>0.18612799999999999</v>
      </c>
      <c r="F488" s="415">
        <v>140.270681</v>
      </c>
      <c r="G488" s="415">
        <v>1779.8429679999999</v>
      </c>
      <c r="H488" s="415">
        <v>0</v>
      </c>
      <c r="I488" s="415">
        <v>1920.1136489999999</v>
      </c>
      <c r="J488" s="415">
        <v>-1116.3674129999999</v>
      </c>
      <c r="K488" s="415">
        <v>-100.760139</v>
      </c>
      <c r="L488" s="415">
        <v>702.98609699999997</v>
      </c>
      <c r="M488" s="376"/>
    </row>
    <row r="489" spans="1:13">
      <c r="A489" s="386"/>
      <c r="B489" s="415"/>
      <c r="C489" s="415"/>
      <c r="D489" s="415"/>
      <c r="E489" s="415"/>
      <c r="F489" s="415"/>
      <c r="G489" s="415"/>
      <c r="H489" s="415"/>
      <c r="I489" s="415"/>
      <c r="J489" s="415"/>
      <c r="K489" s="415"/>
      <c r="L489" s="415"/>
      <c r="M489" s="376"/>
    </row>
    <row r="490" spans="1:13">
      <c r="A490" s="386" t="s">
        <v>9</v>
      </c>
      <c r="B490" s="415">
        <v>0</v>
      </c>
      <c r="C490" s="415">
        <v>130.83460099999999</v>
      </c>
      <c r="D490" s="415">
        <v>0</v>
      </c>
      <c r="E490" s="415">
        <v>0.183897</v>
      </c>
      <c r="F490" s="415">
        <v>131.01849799999999</v>
      </c>
      <c r="G490" s="415">
        <v>1287.173444</v>
      </c>
      <c r="H490" s="415">
        <v>0</v>
      </c>
      <c r="I490" s="415">
        <v>1418.1919419999999</v>
      </c>
      <c r="J490" s="415">
        <v>-1122.17848</v>
      </c>
      <c r="K490" s="415">
        <v>391.20579400000003</v>
      </c>
      <c r="L490" s="415">
        <v>687.21925599999997</v>
      </c>
      <c r="M490" s="376"/>
    </row>
    <row r="491" spans="1:13">
      <c r="A491" s="386"/>
      <c r="B491" s="415"/>
      <c r="C491" s="415"/>
      <c r="D491" s="415"/>
      <c r="E491" s="415"/>
      <c r="F491" s="415"/>
      <c r="G491" s="415"/>
      <c r="H491" s="415"/>
      <c r="I491" s="415"/>
      <c r="J491" s="415"/>
      <c r="K491" s="415">
        <v>0</v>
      </c>
      <c r="L491" s="415"/>
      <c r="M491" s="376"/>
    </row>
    <row r="492" spans="1:13">
      <c r="A492" s="386" t="s">
        <v>10</v>
      </c>
      <c r="B492" s="415">
        <v>0</v>
      </c>
      <c r="C492" s="415">
        <v>163.87781200000001</v>
      </c>
      <c r="D492" s="415">
        <v>0</v>
      </c>
      <c r="E492" s="415">
        <v>0.184334</v>
      </c>
      <c r="F492" s="415">
        <v>164.06214600000001</v>
      </c>
      <c r="G492" s="415">
        <v>1285.2679479999999</v>
      </c>
      <c r="H492" s="415">
        <v>0</v>
      </c>
      <c r="I492" s="415">
        <v>1449.3300939999999</v>
      </c>
      <c r="J492" s="415">
        <v>-1127.741342</v>
      </c>
      <c r="K492" s="415">
        <v>401.71771200000001</v>
      </c>
      <c r="L492" s="415">
        <v>723.30646400000001</v>
      </c>
      <c r="M492" s="376"/>
    </row>
    <row r="493" spans="1:13">
      <c r="A493" s="386"/>
      <c r="B493" s="415"/>
      <c r="C493" s="415"/>
      <c r="D493" s="415"/>
      <c r="E493" s="415"/>
      <c r="F493" s="415"/>
      <c r="G493" s="415"/>
      <c r="H493" s="415"/>
      <c r="I493" s="415"/>
      <c r="J493" s="415"/>
      <c r="K493" s="415"/>
      <c r="L493" s="415"/>
      <c r="M493" s="376"/>
    </row>
    <row r="494" spans="1:13">
      <c r="A494" s="386" t="s">
        <v>11</v>
      </c>
      <c r="B494" s="415">
        <v>0</v>
      </c>
      <c r="C494" s="415">
        <v>188.56372099999999</v>
      </c>
      <c r="D494" s="415">
        <v>0</v>
      </c>
      <c r="E494" s="415">
        <v>0.18392600000000001</v>
      </c>
      <c r="F494" s="415">
        <v>188.747647</v>
      </c>
      <c r="G494" s="415">
        <v>1142.944107</v>
      </c>
      <c r="H494" s="415">
        <v>0</v>
      </c>
      <c r="I494" s="415">
        <v>1331.6917539999999</v>
      </c>
      <c r="J494" s="415">
        <v>-1126.5972079999999</v>
      </c>
      <c r="K494" s="415">
        <v>550.29423699999995</v>
      </c>
      <c r="L494" s="415">
        <f>SUM(I494:K494)</f>
        <v>755.38878299999999</v>
      </c>
      <c r="M494" s="376"/>
    </row>
    <row r="495" spans="1:13">
      <c r="A495" s="433"/>
      <c r="B495" s="415"/>
      <c r="C495" s="415"/>
      <c r="D495" s="415"/>
      <c r="E495" s="415"/>
      <c r="F495" s="415"/>
      <c r="G495" s="415"/>
      <c r="H495" s="415"/>
      <c r="I495" s="415"/>
      <c r="J495" s="415"/>
      <c r="K495" s="415"/>
      <c r="L495" s="415"/>
      <c r="M495" s="376"/>
    </row>
    <row r="496" spans="1:13">
      <c r="A496" s="386" t="s">
        <v>337</v>
      </c>
      <c r="B496" s="415">
        <v>0</v>
      </c>
      <c r="C496" s="415">
        <v>200.579238</v>
      </c>
      <c r="D496" s="415">
        <v>0</v>
      </c>
      <c r="E496" s="415">
        <v>0.177481</v>
      </c>
      <c r="F496" s="415">
        <v>200.756719</v>
      </c>
      <c r="G496" s="415">
        <v>1109.3246979999999</v>
      </c>
      <c r="H496" s="415">
        <v>0</v>
      </c>
      <c r="I496" s="415">
        <v>1310.0814170000001</v>
      </c>
      <c r="J496" s="415">
        <v>-1126.0204630000001</v>
      </c>
      <c r="K496" s="415">
        <v>536.71018500000002</v>
      </c>
      <c r="L496" s="415">
        <f>SUM(I496:K496)</f>
        <v>720.77113900000006</v>
      </c>
      <c r="M496" s="376"/>
    </row>
    <row r="497" spans="1:13">
      <c r="A497" s="433"/>
      <c r="B497" s="415"/>
      <c r="C497" s="415"/>
      <c r="D497" s="415"/>
      <c r="E497" s="415"/>
      <c r="F497" s="415"/>
      <c r="G497" s="415"/>
      <c r="H497" s="415"/>
      <c r="I497" s="415"/>
      <c r="J497" s="415"/>
      <c r="K497" s="415"/>
      <c r="L497" s="415"/>
      <c r="M497" s="376"/>
    </row>
    <row r="498" spans="1:13">
      <c r="A498" s="433" t="s">
        <v>346</v>
      </c>
      <c r="B498" s="415">
        <v>0</v>
      </c>
      <c r="C498" s="415">
        <v>211.89455799999999</v>
      </c>
      <c r="D498" s="415">
        <v>0</v>
      </c>
      <c r="E498" s="415">
        <v>0.175926</v>
      </c>
      <c r="F498" s="415">
        <v>212.07048399999999</v>
      </c>
      <c r="G498" s="415">
        <v>1127.5750969999999</v>
      </c>
      <c r="H498" s="415">
        <v>0</v>
      </c>
      <c r="I498" s="415">
        <v>1339.645581</v>
      </c>
      <c r="J498" s="415">
        <v>-1135.247646</v>
      </c>
      <c r="K498" s="415">
        <v>532.74438399999997</v>
      </c>
      <c r="L498" s="415">
        <f>SUM(I498:K498)</f>
        <v>737.14231899999993</v>
      </c>
      <c r="M498" s="376"/>
    </row>
    <row r="499" spans="1:13">
      <c r="A499" s="433"/>
      <c r="B499" s="415"/>
      <c r="C499" s="415"/>
      <c r="D499" s="415"/>
      <c r="E499" s="415"/>
      <c r="F499" s="415"/>
      <c r="G499" s="415"/>
      <c r="H499" s="415"/>
      <c r="I499" s="415"/>
      <c r="J499" s="415"/>
      <c r="K499" s="415"/>
      <c r="L499" s="415"/>
      <c r="M499" s="376"/>
    </row>
    <row r="500" spans="1:13">
      <c r="A500" s="433" t="s">
        <v>347</v>
      </c>
      <c r="B500" s="415">
        <v>0</v>
      </c>
      <c r="C500" s="415">
        <v>205.997681</v>
      </c>
      <c r="D500" s="415">
        <v>0</v>
      </c>
      <c r="E500" s="415">
        <v>0.18021899999999999</v>
      </c>
      <c r="F500" s="415">
        <v>206.17789999999999</v>
      </c>
      <c r="G500" s="415">
        <v>1111.8021719999999</v>
      </c>
      <c r="H500" s="415">
        <v>0</v>
      </c>
      <c r="I500" s="415">
        <v>1317.9800720000001</v>
      </c>
      <c r="J500" s="415">
        <v>-1135.4276789999999</v>
      </c>
      <c r="K500" s="415">
        <v>553.79677000000004</v>
      </c>
      <c r="L500" s="415">
        <f>SUM(I500:K500)</f>
        <v>736.3491630000002</v>
      </c>
      <c r="M500" s="376"/>
    </row>
    <row r="501" spans="1:13">
      <c r="A501" s="433"/>
      <c r="B501" s="415"/>
      <c r="C501" s="415"/>
      <c r="D501" s="415"/>
      <c r="E501" s="415"/>
      <c r="F501" s="415"/>
      <c r="G501" s="415"/>
      <c r="H501" s="415"/>
      <c r="I501" s="415"/>
      <c r="J501" s="415"/>
      <c r="K501" s="415"/>
      <c r="L501" s="415"/>
      <c r="M501" s="376"/>
    </row>
    <row r="502" spans="1:13">
      <c r="A502" s="433" t="s">
        <v>12</v>
      </c>
      <c r="B502" s="415">
        <v>0</v>
      </c>
      <c r="C502" s="415">
        <v>218.071721</v>
      </c>
      <c r="D502" s="415">
        <v>0</v>
      </c>
      <c r="E502" s="415">
        <v>0.63768400000000003</v>
      </c>
      <c r="F502" s="415">
        <v>218.709405</v>
      </c>
      <c r="G502" s="415">
        <v>1099.0613960000001</v>
      </c>
      <c r="H502" s="415">
        <v>0</v>
      </c>
      <c r="I502" s="415">
        <v>1317.7708009999999</v>
      </c>
      <c r="J502" s="415">
        <v>-1133.4575830000001</v>
      </c>
      <c r="K502" s="415">
        <v>564.67254500000001</v>
      </c>
      <c r="L502" s="415">
        <f>SUM(I502:K502)</f>
        <v>748.98576299999979</v>
      </c>
      <c r="M502" s="376"/>
    </row>
    <row r="503" spans="1:13">
      <c r="A503" s="433"/>
      <c r="B503" s="415"/>
      <c r="C503" s="415"/>
      <c r="D503" s="415"/>
      <c r="E503" s="415"/>
      <c r="F503" s="415"/>
      <c r="G503" s="415"/>
      <c r="H503" s="415"/>
      <c r="I503" s="415"/>
      <c r="J503" s="415"/>
      <c r="K503" s="415"/>
      <c r="L503" s="415"/>
      <c r="M503" s="376"/>
    </row>
    <row r="504" spans="1:13">
      <c r="A504" s="433" t="s">
        <v>13</v>
      </c>
      <c r="B504" s="415">
        <v>0</v>
      </c>
      <c r="C504" s="415">
        <v>212.82893300000001</v>
      </c>
      <c r="D504" s="415">
        <v>0</v>
      </c>
      <c r="E504" s="415">
        <v>0.18682499999999999</v>
      </c>
      <c r="F504" s="415">
        <v>213.01575800000001</v>
      </c>
      <c r="G504" s="415">
        <v>1113.00668</v>
      </c>
      <c r="H504" s="415">
        <v>0</v>
      </c>
      <c r="I504" s="415">
        <v>1326.022438</v>
      </c>
      <c r="J504" s="415">
        <v>-1130.421873</v>
      </c>
      <c r="K504" s="415">
        <v>564.70390099999997</v>
      </c>
      <c r="L504" s="415">
        <f>SUM(I504:K504)</f>
        <v>760.30446599999993</v>
      </c>
      <c r="M504" s="376"/>
    </row>
    <row r="505" spans="1:13">
      <c r="A505" s="433"/>
      <c r="B505" s="415"/>
      <c r="C505" s="415"/>
      <c r="D505" s="415"/>
      <c r="E505" s="415"/>
      <c r="F505" s="415"/>
      <c r="G505" s="415"/>
      <c r="H505" s="415"/>
      <c r="I505" s="415"/>
      <c r="J505" s="415"/>
      <c r="K505" s="415"/>
      <c r="L505" s="415"/>
      <c r="M505" s="376"/>
    </row>
    <row r="506" spans="1:13">
      <c r="A506" s="433" t="s">
        <v>14</v>
      </c>
      <c r="B506" s="415">
        <v>0</v>
      </c>
      <c r="C506" s="415">
        <v>196.67245399999999</v>
      </c>
      <c r="D506" s="415">
        <v>0</v>
      </c>
      <c r="E506" s="415">
        <v>0.18515799999999999</v>
      </c>
      <c r="F506" s="415">
        <v>196.85761199999999</v>
      </c>
      <c r="G506" s="415">
        <v>1123.080516</v>
      </c>
      <c r="H506" s="415">
        <v>0</v>
      </c>
      <c r="I506" s="415">
        <v>1319.938128</v>
      </c>
      <c r="J506" s="415">
        <v>-1145.3366900000001</v>
      </c>
      <c r="K506" s="415">
        <v>577.42829300000005</v>
      </c>
      <c r="L506" s="415">
        <f>SUM(I506:K506)</f>
        <v>752.02973099999997</v>
      </c>
      <c r="M506" s="376"/>
    </row>
    <row r="507" spans="1:13">
      <c r="A507" s="433"/>
      <c r="B507" s="415"/>
      <c r="C507" s="415"/>
      <c r="D507" s="415"/>
      <c r="E507" s="415"/>
      <c r="F507" s="415"/>
      <c r="G507" s="415"/>
      <c r="H507" s="415"/>
      <c r="I507" s="415"/>
      <c r="J507" s="415"/>
      <c r="K507" s="415"/>
      <c r="L507" s="415"/>
      <c r="M507" s="376"/>
    </row>
    <row r="508" spans="1:13">
      <c r="A508" s="433" t="s">
        <v>15</v>
      </c>
      <c r="B508" s="415">
        <v>0</v>
      </c>
      <c r="C508" s="415">
        <v>200.95863800000001</v>
      </c>
      <c r="D508" s="415">
        <v>0</v>
      </c>
      <c r="E508" s="415">
        <v>0.18240500000000001</v>
      </c>
      <c r="F508" s="415">
        <v>201.141043</v>
      </c>
      <c r="G508" s="415">
        <v>1113.1952229999999</v>
      </c>
      <c r="H508" s="415">
        <v>0</v>
      </c>
      <c r="I508" s="415">
        <v>1314.336266</v>
      </c>
      <c r="J508" s="415">
        <v>-1144.9567999999999</v>
      </c>
      <c r="K508" s="415">
        <v>583.81525599999998</v>
      </c>
      <c r="L508" s="415">
        <f>SUM(I508:K508)</f>
        <v>753.19472200000007</v>
      </c>
      <c r="M508" s="376"/>
    </row>
    <row r="509" spans="1:13">
      <c r="A509" s="433"/>
      <c r="B509" s="415"/>
      <c r="C509" s="415"/>
      <c r="D509" s="415"/>
      <c r="E509" s="415"/>
      <c r="F509" s="415"/>
      <c r="G509" s="415"/>
      <c r="H509" s="415"/>
      <c r="I509" s="415"/>
      <c r="J509" s="415"/>
      <c r="K509" s="415"/>
      <c r="L509" s="415"/>
      <c r="M509" s="376"/>
    </row>
    <row r="510" spans="1:13">
      <c r="A510" s="433" t="s">
        <v>16</v>
      </c>
      <c r="B510" s="415">
        <v>0</v>
      </c>
      <c r="C510" s="415">
        <v>255.98448300000001</v>
      </c>
      <c r="D510" s="415">
        <v>0</v>
      </c>
      <c r="E510" s="415">
        <v>0.186802</v>
      </c>
      <c r="F510" s="415">
        <v>256.17128500000001</v>
      </c>
      <c r="G510" s="415">
        <v>1114.8151989999999</v>
      </c>
      <c r="H510" s="415">
        <v>0</v>
      </c>
      <c r="I510" s="415">
        <v>1370.986484</v>
      </c>
      <c r="J510" s="415">
        <v>-1146.095718</v>
      </c>
      <c r="K510" s="415">
        <v>568.38605700000005</v>
      </c>
      <c r="L510" s="415">
        <f>SUM(I510:K510)</f>
        <v>793.27682300000004</v>
      </c>
      <c r="M510" s="376"/>
    </row>
    <row r="511" spans="1:13" ht="16.2" thickBot="1">
      <c r="A511" s="355"/>
      <c r="B511" s="417"/>
      <c r="C511" s="418"/>
      <c r="D511" s="418"/>
      <c r="E511" s="417"/>
      <c r="F511" s="417"/>
      <c r="G511" s="417"/>
      <c r="H511" s="417"/>
      <c r="I511" s="417"/>
      <c r="J511" s="417"/>
      <c r="K511" s="417"/>
      <c r="L511" s="418"/>
      <c r="M511" s="376"/>
    </row>
    <row r="512" spans="1:13" ht="16.2" thickTop="1">
      <c r="A512" s="284"/>
      <c r="B512" s="422"/>
      <c r="C512" s="405"/>
      <c r="D512" s="405"/>
      <c r="E512" s="422"/>
      <c r="F512" s="422"/>
      <c r="G512" s="422"/>
      <c r="H512" s="422"/>
      <c r="I512" s="422"/>
      <c r="J512" s="422"/>
      <c r="K512" s="422"/>
      <c r="L512" s="405"/>
      <c r="M512" s="376"/>
    </row>
    <row r="513" spans="1:13">
      <c r="A513" s="434"/>
      <c r="B513" s="422"/>
      <c r="C513" s="405"/>
      <c r="D513" s="405"/>
      <c r="E513" s="422"/>
      <c r="F513" s="422"/>
      <c r="G513" s="422"/>
      <c r="H513" s="422"/>
      <c r="I513" s="422"/>
      <c r="J513" s="422"/>
      <c r="K513" s="422"/>
      <c r="L513" s="405"/>
      <c r="M513" s="376"/>
    </row>
    <row r="514" spans="1:13">
      <c r="A514" s="284"/>
      <c r="B514" s="422"/>
      <c r="C514" s="405"/>
      <c r="D514" s="405"/>
      <c r="E514" s="422"/>
      <c r="F514" s="422"/>
      <c r="G514" s="422"/>
      <c r="H514" s="422"/>
      <c r="I514" s="422"/>
      <c r="J514" s="422"/>
      <c r="K514" s="422"/>
      <c r="L514" s="405"/>
      <c r="M514" s="376"/>
    </row>
    <row r="515" spans="1:13">
      <c r="A515" s="284"/>
      <c r="B515" s="422"/>
      <c r="C515" s="405"/>
      <c r="D515" s="405"/>
      <c r="E515" s="422"/>
      <c r="F515" s="422"/>
      <c r="G515" s="422"/>
      <c r="H515" s="422"/>
      <c r="I515" s="422"/>
      <c r="J515" s="422"/>
      <c r="K515" s="422"/>
      <c r="L515" s="405"/>
      <c r="M515" s="376"/>
    </row>
    <row r="516" spans="1:13">
      <c r="A516" s="435"/>
      <c r="B516" s="422"/>
      <c r="C516" s="405">
        <v>1000000</v>
      </c>
      <c r="D516" s="405"/>
      <c r="E516" s="422"/>
      <c r="F516" s="422"/>
      <c r="G516" s="422"/>
      <c r="H516" s="422"/>
      <c r="I516" s="422"/>
      <c r="J516" s="422"/>
      <c r="K516" s="422"/>
      <c r="L516" s="405"/>
      <c r="M516" s="376"/>
    </row>
    <row r="517" spans="1:13">
      <c r="A517" s="435"/>
      <c r="B517" s="422"/>
      <c r="C517" s="405"/>
      <c r="D517" s="405"/>
      <c r="E517" s="422"/>
      <c r="F517" s="422"/>
      <c r="G517" s="422"/>
      <c r="H517" s="422"/>
      <c r="I517" s="422"/>
      <c r="J517" s="422"/>
      <c r="K517" s="422"/>
      <c r="L517" s="405"/>
      <c r="M517" s="376"/>
    </row>
    <row r="518" spans="1:13">
      <c r="A518" s="435"/>
      <c r="B518" s="422"/>
      <c r="C518" s="405"/>
      <c r="D518" s="405"/>
      <c r="E518" s="422"/>
      <c r="F518" s="422"/>
      <c r="G518" s="422"/>
      <c r="H518" s="422"/>
      <c r="I518" s="422"/>
      <c r="J518" s="422"/>
      <c r="K518" s="422"/>
      <c r="L518" s="405"/>
      <c r="M518" s="376"/>
    </row>
    <row r="519" spans="1:13">
      <c r="A519" s="435"/>
      <c r="B519" s="422"/>
      <c r="C519" s="405"/>
      <c r="D519" s="405"/>
      <c r="E519" s="422"/>
      <c r="F519" s="422"/>
      <c r="G519" s="422"/>
      <c r="H519" s="422"/>
      <c r="I519" s="422"/>
      <c r="J519" s="422"/>
      <c r="K519" s="422"/>
      <c r="L519" s="405"/>
      <c r="M519" s="376"/>
    </row>
    <row r="520" spans="1:13">
      <c r="A520" s="435"/>
      <c r="B520" s="422"/>
      <c r="C520" s="405"/>
      <c r="D520" s="405"/>
      <c r="E520" s="422"/>
      <c r="F520" s="422"/>
      <c r="G520" s="422"/>
      <c r="H520" s="422"/>
      <c r="I520" s="422"/>
      <c r="J520" s="422"/>
      <c r="K520" s="422"/>
      <c r="L520" s="405"/>
      <c r="M520" s="376"/>
    </row>
    <row r="521" spans="1:13">
      <c r="A521" s="435"/>
      <c r="B521" s="422"/>
      <c r="C521" s="405"/>
      <c r="D521" s="405"/>
      <c r="E521" s="422"/>
      <c r="F521" s="422"/>
      <c r="G521" s="422"/>
      <c r="H521" s="422"/>
      <c r="I521" s="422"/>
      <c r="J521" s="422"/>
      <c r="K521" s="422"/>
      <c r="L521" s="405"/>
      <c r="M521" s="376"/>
    </row>
    <row r="522" spans="1:13">
      <c r="A522" s="435"/>
      <c r="B522" s="422"/>
      <c r="C522" s="405"/>
      <c r="D522" s="405"/>
      <c r="E522" s="422"/>
      <c r="F522" s="422"/>
      <c r="G522" s="422"/>
      <c r="H522" s="422"/>
      <c r="I522" s="422"/>
      <c r="J522" s="422"/>
      <c r="K522" s="422"/>
      <c r="L522" s="405"/>
      <c r="M522" s="376"/>
    </row>
    <row r="523" spans="1:13">
      <c r="A523" s="435"/>
      <c r="B523" s="422"/>
      <c r="C523" s="405"/>
      <c r="D523" s="405"/>
      <c r="E523" s="422"/>
      <c r="F523" s="422"/>
      <c r="G523" s="422"/>
      <c r="H523" s="422"/>
      <c r="I523" s="422"/>
      <c r="J523" s="422"/>
      <c r="K523" s="422"/>
      <c r="L523" s="405"/>
      <c r="M523" s="376"/>
    </row>
    <row r="524" spans="1:13" ht="16.2" thickBot="1">
      <c r="A524" s="436"/>
      <c r="B524" s="422"/>
      <c r="C524" s="422"/>
      <c r="D524" s="405"/>
      <c r="E524" s="422"/>
      <c r="F524" s="422"/>
      <c r="G524" s="422"/>
      <c r="H524" s="422"/>
      <c r="I524" s="422"/>
      <c r="J524" s="422"/>
      <c r="K524" s="422"/>
      <c r="L524" s="405"/>
      <c r="M524" s="376"/>
    </row>
    <row r="525" spans="1:13" ht="16.2" thickTop="1">
      <c r="A525" s="437"/>
      <c r="B525" s="422"/>
      <c r="C525" s="422"/>
      <c r="D525" s="405"/>
      <c r="E525" s="422"/>
      <c r="F525" s="422"/>
      <c r="G525" s="422"/>
      <c r="H525" s="422"/>
      <c r="I525" s="422"/>
      <c r="J525" s="422"/>
      <c r="K525" s="422"/>
      <c r="L525" s="405"/>
      <c r="M525" s="376"/>
    </row>
    <row r="526" spans="1:13">
      <c r="A526" s="435"/>
      <c r="B526" s="422"/>
      <c r="C526" s="422"/>
      <c r="D526" s="405"/>
      <c r="E526" s="422"/>
      <c r="F526" s="422"/>
      <c r="G526" s="422"/>
      <c r="H526" s="422"/>
      <c r="I526" s="422"/>
      <c r="J526" s="422"/>
      <c r="K526" s="422"/>
      <c r="L526" s="405"/>
      <c r="M526" s="376"/>
    </row>
    <row r="527" spans="1:13">
      <c r="A527" s="435"/>
      <c r="B527" s="422"/>
      <c r="C527" s="422"/>
      <c r="D527" s="405"/>
      <c r="E527" s="422"/>
      <c r="F527" s="422"/>
      <c r="G527" s="422"/>
      <c r="H527" s="422"/>
      <c r="I527" s="422"/>
      <c r="J527" s="422"/>
      <c r="K527" s="422"/>
      <c r="L527" s="405"/>
      <c r="M527" s="376"/>
    </row>
    <row r="528" spans="1:13">
      <c r="A528" s="435"/>
      <c r="B528" s="422"/>
      <c r="C528" s="422"/>
      <c r="D528" s="405"/>
      <c r="E528" s="422"/>
      <c r="F528" s="422"/>
      <c r="G528" s="422"/>
      <c r="H528" s="422"/>
      <c r="I528" s="422"/>
      <c r="J528" s="422"/>
      <c r="K528" s="422"/>
      <c r="L528" s="405"/>
      <c r="M528" s="376"/>
    </row>
    <row r="529" spans="1:13">
      <c r="A529" s="435"/>
      <c r="B529" s="422"/>
      <c r="C529" s="422"/>
      <c r="D529" s="405"/>
      <c r="E529" s="422"/>
      <c r="F529" s="422"/>
      <c r="G529" s="422"/>
      <c r="H529" s="422"/>
      <c r="I529" s="422"/>
      <c r="J529" s="422"/>
      <c r="K529" s="422"/>
      <c r="L529" s="405"/>
      <c r="M529" s="376"/>
    </row>
    <row r="530" spans="1:13">
      <c r="A530" s="435"/>
      <c r="B530" s="422"/>
      <c r="C530" s="422"/>
      <c r="D530" s="405"/>
      <c r="E530" s="422"/>
      <c r="F530" s="422"/>
      <c r="G530" s="422"/>
      <c r="H530" s="422"/>
      <c r="I530" s="422"/>
      <c r="J530" s="422"/>
      <c r="K530" s="422"/>
      <c r="L530" s="405"/>
      <c r="M530" s="376"/>
    </row>
    <row r="531" spans="1:13">
      <c r="A531" s="435"/>
      <c r="B531" s="422"/>
      <c r="C531" s="422"/>
      <c r="D531" s="405"/>
      <c r="E531" s="422"/>
      <c r="F531" s="422"/>
      <c r="G531" s="422"/>
      <c r="H531" s="422"/>
      <c r="I531" s="422"/>
      <c r="J531" s="422"/>
      <c r="K531" s="422"/>
      <c r="L531" s="405"/>
      <c r="M531" s="376"/>
    </row>
    <row r="532" spans="1:13">
      <c r="A532" s="435"/>
      <c r="B532" s="422"/>
      <c r="C532" s="422"/>
      <c r="D532" s="405"/>
      <c r="E532" s="422"/>
      <c r="F532" s="422"/>
      <c r="G532" s="422"/>
      <c r="H532" s="422"/>
      <c r="I532" s="422"/>
      <c r="J532" s="422"/>
      <c r="K532" s="422"/>
      <c r="L532" s="405"/>
      <c r="M532" s="376"/>
    </row>
    <row r="533" spans="1:13" ht="15.75" customHeight="1">
      <c r="A533" s="435"/>
      <c r="B533" s="422"/>
      <c r="C533" s="422"/>
      <c r="D533" s="405"/>
      <c r="E533" s="422"/>
      <c r="F533" s="422"/>
      <c r="G533" s="422"/>
      <c r="H533" s="422"/>
      <c r="I533" s="422"/>
      <c r="J533" s="422"/>
      <c r="K533" s="422"/>
      <c r="L533" s="405"/>
      <c r="M533" s="376"/>
    </row>
    <row r="534" spans="1:13" ht="16.95" customHeight="1">
      <c r="A534" s="438"/>
      <c r="B534" s="439"/>
      <c r="C534" s="439"/>
      <c r="D534" s="440"/>
      <c r="E534" s="439"/>
      <c r="F534" s="439"/>
      <c r="G534" s="439"/>
      <c r="H534" s="439"/>
      <c r="I534" s="439"/>
      <c r="J534" s="439"/>
      <c r="K534" s="439"/>
      <c r="L534" s="441"/>
    </row>
    <row r="535" spans="1:13" ht="18">
      <c r="B535" s="442"/>
      <c r="C535" s="442"/>
      <c r="D535" s="440"/>
      <c r="E535" s="442"/>
      <c r="F535" s="442"/>
      <c r="G535" s="442"/>
      <c r="H535" s="442"/>
      <c r="I535" s="442"/>
      <c r="J535" s="442"/>
      <c r="K535" s="442"/>
      <c r="L535" s="440"/>
    </row>
    <row r="536" spans="1:13" ht="18">
      <c r="A536" s="440"/>
      <c r="B536" s="442"/>
      <c r="C536" s="442"/>
      <c r="D536" s="440"/>
      <c r="E536" s="442"/>
      <c r="F536" s="442"/>
      <c r="G536" s="442"/>
      <c r="H536" s="442"/>
      <c r="I536" s="442"/>
      <c r="J536" s="442"/>
      <c r="K536" s="442"/>
      <c r="L536" s="440"/>
    </row>
    <row r="537" spans="1:13" ht="18">
      <c r="A537" s="440"/>
      <c r="B537" s="442"/>
      <c r="C537" s="442"/>
      <c r="D537" s="440"/>
      <c r="E537" s="442"/>
      <c r="F537" s="442"/>
      <c r="G537" s="442"/>
      <c r="H537" s="442"/>
      <c r="I537" s="442"/>
      <c r="J537" s="442"/>
      <c r="K537" s="442"/>
      <c r="L537" s="440"/>
    </row>
    <row r="538" spans="1:13" ht="18">
      <c r="A538" s="440"/>
      <c r="B538" s="442"/>
      <c r="C538" s="442"/>
      <c r="D538" s="440"/>
      <c r="E538" s="442"/>
      <c r="F538" s="442"/>
      <c r="G538" s="442"/>
      <c r="H538" s="442"/>
      <c r="I538" s="442"/>
      <c r="J538" s="442"/>
      <c r="K538" s="442"/>
      <c r="L538" s="440"/>
    </row>
    <row r="539" spans="1:13" ht="18">
      <c r="A539" s="440"/>
      <c r="B539" s="442"/>
      <c r="C539" s="442"/>
      <c r="D539" s="440"/>
      <c r="E539" s="442"/>
      <c r="F539" s="442"/>
      <c r="G539" s="442"/>
      <c r="H539" s="442"/>
      <c r="I539" s="442"/>
      <c r="J539" s="442"/>
      <c r="K539" s="442"/>
      <c r="L539" s="440"/>
    </row>
    <row r="540" spans="1:13" ht="18">
      <c r="A540" s="440"/>
      <c r="B540" s="442"/>
      <c r="C540" s="442"/>
      <c r="D540" s="440"/>
      <c r="E540" s="442"/>
      <c r="F540" s="442"/>
      <c r="G540" s="442"/>
      <c r="H540" s="442"/>
      <c r="I540" s="442"/>
      <c r="J540" s="442"/>
      <c r="K540" s="442"/>
      <c r="L540" s="440"/>
    </row>
    <row r="541" spans="1:13" ht="18">
      <c r="A541" s="440"/>
      <c r="B541" s="442"/>
      <c r="C541" s="442"/>
      <c r="D541" s="440"/>
      <c r="E541" s="442"/>
      <c r="F541" s="442"/>
      <c r="G541" s="442"/>
      <c r="H541" s="442"/>
      <c r="I541" s="442"/>
      <c r="J541" s="442"/>
      <c r="K541" s="442"/>
      <c r="L541" s="440"/>
    </row>
    <row r="542" spans="1:13" ht="18">
      <c r="A542" s="440"/>
      <c r="B542" s="442"/>
      <c r="C542" s="442"/>
      <c r="D542" s="440"/>
      <c r="E542" s="442"/>
      <c r="F542" s="442"/>
      <c r="G542" s="442"/>
      <c r="H542" s="442"/>
      <c r="I542" s="442"/>
      <c r="J542" s="442"/>
      <c r="K542" s="442"/>
      <c r="L542" s="440"/>
    </row>
    <row r="543" spans="1:13" ht="18">
      <c r="A543" s="440"/>
      <c r="B543" s="442"/>
      <c r="C543" s="442"/>
      <c r="D543" s="440"/>
      <c r="E543" s="442"/>
      <c r="F543" s="442"/>
      <c r="G543" s="442"/>
      <c r="H543" s="442"/>
      <c r="I543" s="442"/>
      <c r="J543" s="442"/>
      <c r="K543" s="442"/>
      <c r="L543" s="440"/>
    </row>
    <row r="544" spans="1:13" ht="18">
      <c r="A544" s="440"/>
      <c r="B544" s="442"/>
      <c r="C544" s="442"/>
      <c r="D544" s="440"/>
      <c r="E544" s="442"/>
      <c r="F544" s="442"/>
      <c r="G544" s="442"/>
      <c r="H544" s="442"/>
      <c r="I544" s="442"/>
      <c r="J544" s="442"/>
      <c r="K544" s="442"/>
      <c r="L544" s="440"/>
    </row>
    <row r="545" spans="1:12" ht="18">
      <c r="A545" s="440"/>
      <c r="B545" s="442"/>
      <c r="C545" s="442"/>
      <c r="D545" s="440"/>
      <c r="E545" s="442"/>
      <c r="F545" s="442"/>
      <c r="G545" s="442"/>
      <c r="H545" s="442"/>
      <c r="I545" s="442"/>
      <c r="J545" s="442"/>
      <c r="K545" s="442"/>
      <c r="L545" s="440"/>
    </row>
    <row r="546" spans="1:12" ht="18">
      <c r="A546" s="440"/>
      <c r="B546" s="442"/>
      <c r="C546" s="442"/>
      <c r="D546" s="440"/>
      <c r="E546" s="442"/>
      <c r="F546" s="442"/>
      <c r="G546" s="442"/>
      <c r="H546" s="442"/>
      <c r="I546" s="442"/>
      <c r="J546" s="442"/>
      <c r="K546" s="442"/>
      <c r="L546" s="440"/>
    </row>
    <row r="547" spans="1:12" ht="18">
      <c r="A547" s="440"/>
      <c r="B547" s="442"/>
      <c r="C547" s="442"/>
      <c r="D547" s="440"/>
      <c r="E547" s="442"/>
      <c r="F547" s="442"/>
      <c r="G547" s="442"/>
      <c r="H547" s="442"/>
      <c r="I547" s="442"/>
      <c r="J547" s="442"/>
      <c r="K547" s="442"/>
      <c r="L547" s="440"/>
    </row>
    <row r="548" spans="1:12" ht="18">
      <c r="A548" s="440"/>
      <c r="B548" s="442"/>
      <c r="C548" s="442"/>
      <c r="D548" s="440"/>
      <c r="E548" s="442"/>
      <c r="F548" s="442"/>
      <c r="G548" s="442"/>
      <c r="H548" s="442"/>
      <c r="I548" s="442"/>
      <c r="J548" s="442"/>
      <c r="K548" s="442"/>
      <c r="L548" s="440"/>
    </row>
    <row r="549" spans="1:12" ht="18">
      <c r="A549" s="440"/>
      <c r="B549" s="442"/>
      <c r="C549" s="442"/>
      <c r="D549" s="440"/>
      <c r="E549" s="442"/>
      <c r="F549" s="442"/>
      <c r="G549" s="442"/>
      <c r="H549" s="442"/>
      <c r="I549" s="442"/>
      <c r="J549" s="442"/>
      <c r="K549" s="442"/>
      <c r="L549" s="440"/>
    </row>
    <row r="550" spans="1:12" ht="18">
      <c r="A550" s="440"/>
      <c r="B550" s="442"/>
      <c r="C550" s="442"/>
      <c r="D550" s="440"/>
      <c r="E550" s="442"/>
      <c r="F550" s="442"/>
      <c r="G550" s="442"/>
      <c r="H550" s="442"/>
      <c r="I550" s="442"/>
      <c r="J550" s="442"/>
      <c r="K550" s="442"/>
      <c r="L550" s="440"/>
    </row>
    <row r="551" spans="1:12" ht="18">
      <c r="A551" s="440"/>
      <c r="B551" s="442"/>
      <c r="C551" s="442"/>
      <c r="D551" s="440"/>
      <c r="E551" s="442"/>
      <c r="F551" s="442"/>
      <c r="G551" s="442"/>
      <c r="H551" s="442"/>
      <c r="I551" s="442"/>
      <c r="J551" s="442"/>
      <c r="K551" s="442"/>
      <c r="L551" s="440"/>
    </row>
    <row r="552" spans="1:12" ht="18">
      <c r="A552" s="440"/>
      <c r="B552" s="442"/>
      <c r="C552" s="442"/>
      <c r="D552" s="440"/>
      <c r="E552" s="442"/>
      <c r="F552" s="442"/>
      <c r="G552" s="442"/>
      <c r="H552" s="442"/>
      <c r="I552" s="442"/>
      <c r="J552" s="442"/>
      <c r="K552" s="442"/>
      <c r="L552" s="440"/>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8"/>
    <col min="2" max="2" width="10.81640625" style="218" customWidth="1"/>
    <col min="3" max="3" width="15.6328125" style="218" customWidth="1"/>
    <col min="4" max="4" width="15" style="218" customWidth="1"/>
    <col min="5" max="5" width="15.54296875" style="218" customWidth="1"/>
    <col min="6" max="6" width="19.54296875" style="218" bestFit="1" customWidth="1"/>
    <col min="7" max="7" width="8.90625" style="218"/>
    <col min="8" max="8" width="20.81640625" style="218" bestFit="1" customWidth="1"/>
    <col min="9" max="9" width="13.90625" style="218" customWidth="1"/>
    <col min="10" max="10" width="8.90625" style="218"/>
    <col min="11" max="11" width="21.54296875" style="218" bestFit="1" customWidth="1"/>
    <col min="12" max="13" width="22.54296875" style="218" bestFit="1" customWidth="1"/>
    <col min="14" max="14" width="15.36328125" style="218" customWidth="1"/>
    <col min="15" max="16384" width="8.90625" style="218"/>
  </cols>
  <sheetData>
    <row r="4" spans="2:15" ht="15.6">
      <c r="B4" s="1895" t="s">
        <v>56</v>
      </c>
      <c r="C4" s="1895"/>
      <c r="D4" s="1895"/>
      <c r="E4" s="1895"/>
      <c r="F4" s="1895"/>
      <c r="G4" s="1895"/>
      <c r="H4" s="1895"/>
      <c r="I4" s="1895"/>
      <c r="J4" s="1895"/>
      <c r="K4" s="1895"/>
      <c r="L4" s="1895"/>
      <c r="M4" s="1895"/>
      <c r="N4" s="285"/>
    </row>
    <row r="5" spans="2:15" ht="15.6">
      <c r="B5" s="284"/>
      <c r="C5" s="411"/>
      <c r="D5" s="411"/>
      <c r="E5" s="285"/>
      <c r="F5" s="411"/>
      <c r="G5" s="411"/>
      <c r="H5" s="411"/>
      <c r="I5" s="411"/>
      <c r="J5" s="411"/>
      <c r="K5" s="411"/>
      <c r="L5" s="411"/>
      <c r="M5" s="285"/>
      <c r="N5" s="285"/>
    </row>
    <row r="6" spans="2:15" ht="15.6">
      <c r="B6" s="1896" t="s">
        <v>1039</v>
      </c>
      <c r="C6" s="1896"/>
      <c r="D6" s="1896"/>
      <c r="E6" s="1896"/>
      <c r="F6" s="1896"/>
      <c r="G6" s="1896"/>
      <c r="H6" s="1896"/>
      <c r="I6" s="1896"/>
      <c r="J6" s="1896"/>
      <c r="K6" s="1896"/>
      <c r="L6" s="1896"/>
      <c r="M6" s="1896"/>
      <c r="N6" s="311"/>
      <c r="O6" s="311"/>
    </row>
    <row r="7" spans="2:15" ht="16.2" thickBot="1">
      <c r="B7" s="284"/>
      <c r="C7" s="411"/>
      <c r="D7" s="411"/>
      <c r="E7" s="285"/>
      <c r="F7" s="411"/>
      <c r="G7" s="411"/>
      <c r="H7" s="411"/>
      <c r="I7" s="411"/>
      <c r="J7" s="411"/>
      <c r="K7" s="411"/>
      <c r="L7" s="411"/>
      <c r="M7" s="285"/>
      <c r="N7" s="285"/>
    </row>
    <row r="8" spans="2:15" ht="16.2" thickTop="1">
      <c r="B8" s="443"/>
      <c r="C8" s="444"/>
      <c r="D8" s="444"/>
      <c r="E8" s="445"/>
      <c r="F8" s="446"/>
      <c r="G8" s="447"/>
      <c r="H8" s="446"/>
      <c r="I8" s="447"/>
      <c r="J8" s="444"/>
      <c r="K8" s="444"/>
      <c r="L8" s="448"/>
      <c r="M8" s="449" t="s">
        <v>355</v>
      </c>
      <c r="N8" s="376"/>
    </row>
    <row r="9" spans="2:15" ht="15.6">
      <c r="B9" s="450"/>
      <c r="C9" s="1897" t="s">
        <v>57</v>
      </c>
      <c r="D9" s="1894"/>
      <c r="E9" s="1898"/>
      <c r="F9" s="451" t="s">
        <v>58</v>
      </c>
      <c r="G9" s="452"/>
      <c r="H9" s="453" t="s">
        <v>59</v>
      </c>
      <c r="I9" s="452" t="s">
        <v>60</v>
      </c>
      <c r="J9" s="422" t="s">
        <v>61</v>
      </c>
      <c r="K9" s="422"/>
      <c r="L9" s="429"/>
      <c r="M9" s="430"/>
      <c r="N9" s="376"/>
    </row>
    <row r="10" spans="2:15" ht="16.2" thickBot="1">
      <c r="B10" s="450"/>
      <c r="C10" s="422"/>
      <c r="D10" s="422"/>
      <c r="E10" s="405"/>
      <c r="F10" s="453"/>
      <c r="G10" s="452"/>
      <c r="H10" s="453"/>
      <c r="I10" s="452"/>
      <c r="J10" s="422"/>
      <c r="K10" s="422"/>
      <c r="L10" s="429"/>
      <c r="M10" s="430"/>
      <c r="N10" s="376"/>
    </row>
    <row r="11" spans="2:15" ht="16.2" thickTop="1">
      <c r="B11" s="454"/>
      <c r="C11" s="448" t="s">
        <v>355</v>
      </c>
      <c r="D11" s="448"/>
      <c r="E11" s="449" t="s">
        <v>355</v>
      </c>
      <c r="F11" s="448"/>
      <c r="G11" s="448"/>
      <c r="H11" s="448"/>
      <c r="I11" s="448"/>
      <c r="J11" s="448"/>
      <c r="K11" s="444"/>
      <c r="L11" s="448"/>
      <c r="M11" s="449"/>
      <c r="N11" s="376"/>
    </row>
    <row r="12" spans="2:15" ht="15.6">
      <c r="B12" s="455" t="s">
        <v>32</v>
      </c>
      <c r="C12" s="429" t="s">
        <v>62</v>
      </c>
      <c r="D12" s="429" t="s">
        <v>31</v>
      </c>
      <c r="E12" s="430" t="s">
        <v>37</v>
      </c>
      <c r="F12" s="429" t="s">
        <v>63</v>
      </c>
      <c r="G12" s="429" t="s">
        <v>31</v>
      </c>
      <c r="H12" s="429" t="s">
        <v>49</v>
      </c>
      <c r="I12" s="429" t="s">
        <v>31</v>
      </c>
      <c r="J12" s="429" t="s">
        <v>53</v>
      </c>
      <c r="K12" s="422" t="s">
        <v>31</v>
      </c>
      <c r="L12" s="429" t="s">
        <v>31</v>
      </c>
      <c r="M12" s="430" t="s">
        <v>287</v>
      </c>
      <c r="N12" s="376"/>
    </row>
    <row r="13" spans="2:15" ht="15.6">
      <c r="B13" s="456"/>
      <c r="C13" s="429"/>
      <c r="D13" s="429"/>
      <c r="E13" s="430"/>
      <c r="F13" s="429"/>
      <c r="G13" s="429"/>
      <c r="H13" s="429" t="s">
        <v>64</v>
      </c>
      <c r="I13" s="429"/>
      <c r="J13" s="429" t="s">
        <v>36</v>
      </c>
      <c r="K13" s="422"/>
      <c r="L13" s="429"/>
      <c r="M13" s="430"/>
      <c r="N13" s="376"/>
    </row>
    <row r="14" spans="2:15" ht="16.2" thickBot="1">
      <c r="B14" s="457"/>
      <c r="C14" s="429"/>
      <c r="D14" s="429"/>
      <c r="E14" s="430"/>
      <c r="F14" s="429"/>
      <c r="G14" s="429"/>
      <c r="H14" s="458"/>
      <c r="I14" s="458"/>
      <c r="J14" s="429"/>
      <c r="K14" s="422"/>
      <c r="L14" s="458"/>
      <c r="M14" s="430"/>
      <c r="N14" s="376"/>
    </row>
    <row r="15" spans="2:15" ht="16.2" hidden="1" thickTop="1">
      <c r="B15" s="459"/>
      <c r="C15" s="448"/>
      <c r="D15" s="448"/>
      <c r="E15" s="449"/>
      <c r="F15" s="448"/>
      <c r="G15" s="448"/>
      <c r="H15" s="448"/>
      <c r="I15" s="448"/>
      <c r="J15" s="448"/>
      <c r="K15" s="460"/>
      <c r="L15" s="461"/>
      <c r="M15" s="449"/>
      <c r="N15" s="376"/>
    </row>
    <row r="16" spans="2:15" ht="15.6" hidden="1">
      <c r="B16" s="462">
        <v>1999</v>
      </c>
      <c r="C16" s="429"/>
      <c r="D16" s="429"/>
      <c r="E16" s="430"/>
      <c r="F16" s="429"/>
      <c r="G16" s="429"/>
      <c r="H16" s="429"/>
      <c r="I16" s="429"/>
      <c r="J16" s="429"/>
      <c r="K16" s="408"/>
      <c r="L16" s="428"/>
      <c r="M16" s="430"/>
      <c r="N16" s="376"/>
    </row>
    <row r="17" spans="2:14" ht="15.6" hidden="1">
      <c r="B17" s="463"/>
      <c r="C17" s="429"/>
      <c r="D17" s="429"/>
      <c r="E17" s="430"/>
      <c r="F17" s="429"/>
      <c r="G17" s="429"/>
      <c r="H17" s="429"/>
      <c r="I17" s="429"/>
      <c r="J17" s="429"/>
      <c r="K17" s="408"/>
      <c r="L17" s="428"/>
      <c r="M17" s="430"/>
      <c r="N17" s="376"/>
    </row>
    <row r="18" spans="2:14" ht="15.6" hidden="1">
      <c r="B18" s="433" t="s">
        <v>8</v>
      </c>
      <c r="C18" s="394">
        <v>3.2199</v>
      </c>
      <c r="D18" s="394">
        <v>4.6661000000000001</v>
      </c>
      <c r="E18" s="394">
        <v>7.8860000000000001</v>
      </c>
      <c r="F18" s="394">
        <v>1.8522000000000001</v>
      </c>
      <c r="G18" s="394">
        <v>0.52190000000000003</v>
      </c>
      <c r="H18" s="394">
        <v>5.2938000000000001</v>
      </c>
      <c r="I18" s="394">
        <v>3.9420999999999999</v>
      </c>
      <c r="J18" s="394">
        <v>0</v>
      </c>
      <c r="K18" s="394">
        <v>0.62890000000000001</v>
      </c>
      <c r="L18" s="394">
        <v>16.263200000000001</v>
      </c>
      <c r="M18" s="430">
        <v>36388.1</v>
      </c>
      <c r="N18" s="376"/>
    </row>
    <row r="19" spans="2:14" ht="15.6" hidden="1">
      <c r="B19" s="433" t="s">
        <v>9</v>
      </c>
      <c r="C19" s="394">
        <v>3.4008000000000003</v>
      </c>
      <c r="D19" s="394">
        <v>5.0427</v>
      </c>
      <c r="E19" s="394">
        <v>8.4435000000000002</v>
      </c>
      <c r="F19" s="394">
        <v>0.86629999999999996</v>
      </c>
      <c r="G19" s="394">
        <v>0.52190000000000003</v>
      </c>
      <c r="H19" s="394">
        <v>6.6113</v>
      </c>
      <c r="I19" s="394">
        <v>3.2181999999999999</v>
      </c>
      <c r="J19" s="394">
        <v>0</v>
      </c>
      <c r="K19" s="394">
        <v>0.63849999999999996</v>
      </c>
      <c r="L19" s="394">
        <v>15.7394</v>
      </c>
      <c r="M19" s="430">
        <v>36039.1</v>
      </c>
      <c r="N19" s="376"/>
    </row>
    <row r="20" spans="2:14" ht="15.6" hidden="1">
      <c r="B20" s="433" t="s">
        <v>10</v>
      </c>
      <c r="C20" s="394">
        <v>3.4794</v>
      </c>
      <c r="D20" s="394">
        <v>4.9511000000000003</v>
      </c>
      <c r="E20" s="394">
        <v>8.4305000000000003</v>
      </c>
      <c r="F20" s="394">
        <v>0.34699999999999998</v>
      </c>
      <c r="G20" s="394">
        <v>0.52190000000000003</v>
      </c>
      <c r="H20" s="394">
        <v>5.52</v>
      </c>
      <c r="I20" s="394">
        <v>4.1651000000000007</v>
      </c>
      <c r="J20" s="394">
        <v>0</v>
      </c>
      <c r="K20" s="394">
        <v>0.6362000000000001</v>
      </c>
      <c r="L20" s="394">
        <v>14.793799999999999</v>
      </c>
      <c r="M20" s="430">
        <v>34414.5</v>
      </c>
      <c r="N20" s="376"/>
    </row>
    <row r="21" spans="2:14" ht="15.6" hidden="1">
      <c r="B21" s="433" t="s">
        <v>11</v>
      </c>
      <c r="C21" s="394">
        <v>3.2365999999999997</v>
      </c>
      <c r="D21" s="394">
        <v>5.3247999999999998</v>
      </c>
      <c r="E21" s="394">
        <v>8.561399999999999</v>
      </c>
      <c r="F21" s="394">
        <v>0.39339999999999997</v>
      </c>
      <c r="G21" s="394">
        <v>0.52190000000000003</v>
      </c>
      <c r="H21" s="394">
        <v>4.8431000000000006</v>
      </c>
      <c r="I21" s="394">
        <v>4.5266999999999999</v>
      </c>
      <c r="J21" s="394">
        <v>0</v>
      </c>
      <c r="K21" s="394">
        <v>0.67120000000000002</v>
      </c>
      <c r="L21" s="394">
        <v>14.571299999999999</v>
      </c>
      <c r="M21" s="430">
        <v>34089</v>
      </c>
      <c r="N21" s="376"/>
    </row>
    <row r="22" spans="2:14" ht="15.6" hidden="1">
      <c r="B22" s="433" t="s">
        <v>337</v>
      </c>
      <c r="C22" s="394">
        <v>3.2463000000000002</v>
      </c>
      <c r="D22" s="394">
        <v>5.6618000000000004</v>
      </c>
      <c r="E22" s="394">
        <v>8.908100000000001</v>
      </c>
      <c r="F22" s="394">
        <v>0.46129999999999999</v>
      </c>
      <c r="G22" s="394">
        <v>0.52190000000000003</v>
      </c>
      <c r="H22" s="394">
        <v>4.7652000000000001</v>
      </c>
      <c r="I22" s="394">
        <v>3.5325000000000002</v>
      </c>
      <c r="J22" s="394">
        <v>0</v>
      </c>
      <c r="K22" s="394">
        <v>0.7712</v>
      </c>
      <c r="L22" s="394">
        <v>15.0662</v>
      </c>
      <c r="M22" s="430">
        <v>34026.400000000001</v>
      </c>
      <c r="N22" s="376"/>
    </row>
    <row r="23" spans="2:14" ht="15.6" hidden="1">
      <c r="B23" s="433" t="s">
        <v>346</v>
      </c>
      <c r="C23" s="394">
        <v>3.2608999999999999</v>
      </c>
      <c r="D23" s="394">
        <v>6.5664999999999996</v>
      </c>
      <c r="E23" s="394">
        <v>9.827399999999999</v>
      </c>
      <c r="F23" s="394">
        <v>0.3579</v>
      </c>
      <c r="G23" s="394">
        <v>0.52190000000000003</v>
      </c>
      <c r="H23" s="394">
        <v>3.1356999999999999</v>
      </c>
      <c r="I23" s="394">
        <v>3.5409999999999999</v>
      </c>
      <c r="J23" s="394">
        <v>0</v>
      </c>
      <c r="K23" s="394">
        <v>0.76960000000000006</v>
      </c>
      <c r="L23" s="394">
        <v>14.044499999999999</v>
      </c>
      <c r="M23" s="430">
        <v>32198</v>
      </c>
      <c r="N23" s="376"/>
    </row>
    <row r="24" spans="2:14" ht="15.6" hidden="1">
      <c r="B24" s="433" t="s">
        <v>347</v>
      </c>
      <c r="C24" s="394">
        <v>3.4897</v>
      </c>
      <c r="D24" s="394">
        <v>9.7064000000000004</v>
      </c>
      <c r="E24" s="394">
        <v>13.196099999999999</v>
      </c>
      <c r="F24" s="394">
        <v>1.8029999999999999</v>
      </c>
      <c r="G24" s="394">
        <v>0.52190000000000003</v>
      </c>
      <c r="H24" s="394">
        <v>0.18009999999999998</v>
      </c>
      <c r="I24" s="394">
        <v>3.9205000000000001</v>
      </c>
      <c r="J24" s="394">
        <v>0</v>
      </c>
      <c r="K24" s="394">
        <v>0.77049999999999996</v>
      </c>
      <c r="L24" s="394">
        <v>14.4369</v>
      </c>
      <c r="M24" s="430">
        <v>34829</v>
      </c>
      <c r="N24" s="376"/>
    </row>
    <row r="25" spans="2:14" ht="15.6" hidden="1">
      <c r="B25" s="433" t="s">
        <v>12</v>
      </c>
      <c r="C25" s="394">
        <v>3.4751999999999996</v>
      </c>
      <c r="D25" s="394">
        <v>8.5725999999999996</v>
      </c>
      <c r="E25" s="394">
        <v>12.047799999999999</v>
      </c>
      <c r="F25" s="394">
        <v>2.5994000000000002</v>
      </c>
      <c r="G25" s="394">
        <v>0</v>
      </c>
      <c r="H25" s="394">
        <v>-1.2467999999999999</v>
      </c>
      <c r="I25" s="394">
        <v>5.1849999999999996</v>
      </c>
      <c r="J25" s="394">
        <v>0</v>
      </c>
      <c r="K25" s="394">
        <v>0.77049999999999996</v>
      </c>
      <c r="L25" s="394">
        <v>15.122399999999999</v>
      </c>
      <c r="M25" s="430">
        <v>34478.300000000003</v>
      </c>
      <c r="N25" s="376"/>
    </row>
    <row r="26" spans="2:14" ht="15.6" hidden="1">
      <c r="B26" s="433" t="s">
        <v>13</v>
      </c>
      <c r="C26" s="394">
        <v>3.5459999999999998</v>
      </c>
      <c r="D26" s="394">
        <v>8.8767000000000014</v>
      </c>
      <c r="E26" s="394">
        <v>12.422700000000001</v>
      </c>
      <c r="F26" s="394">
        <v>0</v>
      </c>
      <c r="G26" s="394">
        <v>0</v>
      </c>
      <c r="H26" s="394">
        <v>-0.70760000000000001</v>
      </c>
      <c r="I26" s="394">
        <v>6.0653999999999995</v>
      </c>
      <c r="J26" s="394">
        <v>0</v>
      </c>
      <c r="K26" s="394">
        <v>0.76960000000000006</v>
      </c>
      <c r="L26" s="394">
        <v>15.5555</v>
      </c>
      <c r="M26" s="430">
        <v>34105.599999999999</v>
      </c>
      <c r="N26" s="376"/>
    </row>
    <row r="27" spans="2:14" ht="15.6" hidden="1">
      <c r="B27" s="433" t="s">
        <v>14</v>
      </c>
      <c r="C27" s="394">
        <v>4.0392999999999999</v>
      </c>
      <c r="D27" s="394">
        <v>11.3445</v>
      </c>
      <c r="E27" s="394">
        <v>15.383799999999999</v>
      </c>
      <c r="F27" s="394">
        <v>0</v>
      </c>
      <c r="G27" s="394">
        <v>0.52190000000000003</v>
      </c>
      <c r="H27" s="394">
        <v>5.6189</v>
      </c>
      <c r="I27" s="394">
        <v>1.6202999999999999</v>
      </c>
      <c r="J27" s="394">
        <v>0</v>
      </c>
      <c r="K27" s="394">
        <v>0.76960000000000006</v>
      </c>
      <c r="L27" s="394">
        <v>15</v>
      </c>
      <c r="M27" s="430">
        <v>38914.5</v>
      </c>
      <c r="N27" s="376"/>
    </row>
    <row r="28" spans="2:14" ht="15.6" hidden="1">
      <c r="B28" s="433" t="s">
        <v>15</v>
      </c>
      <c r="C28" s="394">
        <v>4.4527000000000001</v>
      </c>
      <c r="D28" s="394">
        <v>10.3483</v>
      </c>
      <c r="E28" s="394">
        <v>14.801</v>
      </c>
      <c r="F28" s="394">
        <v>0</v>
      </c>
      <c r="G28" s="394">
        <v>0.52190000000000003</v>
      </c>
      <c r="H28" s="394">
        <v>5.0377999999999998</v>
      </c>
      <c r="I28" s="394">
        <v>2.5048000000000004</v>
      </c>
      <c r="J28" s="394">
        <v>0</v>
      </c>
      <c r="K28" s="394">
        <v>0.76960000000000006</v>
      </c>
      <c r="L28" s="394">
        <v>14.826000000000001</v>
      </c>
      <c r="M28" s="430">
        <v>38461.1</v>
      </c>
      <c r="N28" s="376"/>
    </row>
    <row r="29" spans="2:14" ht="15.6" hidden="1">
      <c r="B29" s="433" t="s">
        <v>16</v>
      </c>
      <c r="C29" s="394">
        <v>4.0179</v>
      </c>
      <c r="D29" s="394">
        <v>10.2088</v>
      </c>
      <c r="E29" s="394">
        <v>14.226700000000001</v>
      </c>
      <c r="F29" s="394">
        <v>0</v>
      </c>
      <c r="G29" s="394">
        <v>0.52190000000000003</v>
      </c>
      <c r="H29" s="394">
        <v>3.9358</v>
      </c>
      <c r="I29" s="394">
        <v>3.6880000000000002</v>
      </c>
      <c r="J29" s="394">
        <v>0</v>
      </c>
      <c r="K29" s="394">
        <v>0.76960000000000006</v>
      </c>
      <c r="L29" s="394">
        <v>14.351799999999999</v>
      </c>
      <c r="M29" s="430">
        <v>37493.800000000003</v>
      </c>
      <c r="N29" s="376"/>
    </row>
    <row r="30" spans="2:14" ht="15.6" hidden="1">
      <c r="B30" s="433"/>
      <c r="C30" s="429"/>
      <c r="D30" s="429"/>
      <c r="E30" s="430"/>
      <c r="F30" s="429"/>
      <c r="G30" s="429"/>
      <c r="H30" s="429"/>
      <c r="I30" s="429"/>
      <c r="J30" s="429"/>
      <c r="K30" s="408"/>
      <c r="L30" s="428"/>
      <c r="M30" s="430"/>
      <c r="N30" s="376"/>
    </row>
    <row r="31" spans="2:14" ht="15.6" hidden="1">
      <c r="B31" s="462">
        <v>2000</v>
      </c>
      <c r="C31" s="429"/>
      <c r="D31" s="429"/>
      <c r="E31" s="430"/>
      <c r="F31" s="429"/>
      <c r="G31" s="429"/>
      <c r="H31" s="429"/>
      <c r="I31" s="429"/>
      <c r="J31" s="429"/>
      <c r="K31" s="408"/>
      <c r="L31" s="428"/>
      <c r="M31" s="430"/>
      <c r="N31" s="376"/>
    </row>
    <row r="32" spans="2:14" ht="15.6" hidden="1">
      <c r="B32" s="433"/>
      <c r="C32" s="429"/>
      <c r="D32" s="429"/>
      <c r="E32" s="430"/>
      <c r="F32" s="429"/>
      <c r="G32" s="429"/>
      <c r="H32" s="429"/>
      <c r="I32" s="429"/>
      <c r="J32" s="429"/>
      <c r="K32" s="408"/>
      <c r="L32" s="428"/>
      <c r="M32" s="430"/>
      <c r="N32" s="376"/>
    </row>
    <row r="33" spans="2:14" ht="15.6" hidden="1">
      <c r="B33" s="433" t="s">
        <v>8</v>
      </c>
      <c r="C33" s="394">
        <v>3.5594000000000001</v>
      </c>
      <c r="D33" s="394">
        <v>9.1442999999999994</v>
      </c>
      <c r="E33" s="394">
        <v>12.703700000000001</v>
      </c>
      <c r="F33" s="394">
        <v>0</v>
      </c>
      <c r="G33" s="394">
        <v>0.52190000000000003</v>
      </c>
      <c r="H33" s="394">
        <v>7.1520000000000001</v>
      </c>
      <c r="I33" s="394">
        <v>1.6769000000000001</v>
      </c>
      <c r="J33" s="394">
        <v>0</v>
      </c>
      <c r="K33" s="394">
        <v>0.92520000000000002</v>
      </c>
      <c r="L33" s="394">
        <v>13.778499999999999</v>
      </c>
      <c r="M33" s="430">
        <v>36758.199999999997</v>
      </c>
      <c r="N33" s="376"/>
    </row>
    <row r="34" spans="2:14" ht="15.6" hidden="1">
      <c r="B34" s="433"/>
      <c r="C34" s="429"/>
      <c r="D34" s="429"/>
      <c r="E34" s="430"/>
      <c r="F34" s="429"/>
      <c r="G34" s="429"/>
      <c r="H34" s="429"/>
      <c r="I34" s="429"/>
      <c r="J34" s="429"/>
      <c r="K34" s="408"/>
      <c r="L34" s="428"/>
      <c r="M34" s="430"/>
      <c r="N34" s="376"/>
    </row>
    <row r="35" spans="2:14" ht="15.6" hidden="1">
      <c r="B35" s="433" t="s">
        <v>9</v>
      </c>
      <c r="C35" s="394">
        <v>2.5828000000000002</v>
      </c>
      <c r="D35" s="394">
        <v>9.0977999999999994</v>
      </c>
      <c r="E35" s="394">
        <v>11.6806</v>
      </c>
      <c r="F35" s="394">
        <v>0</v>
      </c>
      <c r="G35" s="394">
        <v>0.52190000000000003</v>
      </c>
      <c r="H35" s="394">
        <v>5.8391999999999999</v>
      </c>
      <c r="I35" s="394">
        <v>3.7048000000000001</v>
      </c>
      <c r="J35" s="394">
        <v>0</v>
      </c>
      <c r="K35" s="394">
        <v>0.92520000000000002</v>
      </c>
      <c r="L35" s="394">
        <v>13.412000000000001</v>
      </c>
      <c r="M35" s="430">
        <v>36083.699999999997</v>
      </c>
      <c r="N35" s="376"/>
    </row>
    <row r="36" spans="2:14" ht="15.6" hidden="1">
      <c r="B36" s="433"/>
      <c r="C36" s="429"/>
      <c r="D36" s="429"/>
      <c r="E36" s="430"/>
      <c r="F36" s="429"/>
      <c r="G36" s="429"/>
      <c r="H36" s="429"/>
      <c r="I36" s="429"/>
      <c r="J36" s="429"/>
      <c r="K36" s="408"/>
      <c r="L36" s="428"/>
      <c r="M36" s="430"/>
      <c r="N36" s="376"/>
    </row>
    <row r="37" spans="2:14" ht="15.6" hidden="1">
      <c r="B37" s="433" t="s">
        <v>10</v>
      </c>
      <c r="C37" s="394">
        <v>2.4401999999999999</v>
      </c>
      <c r="D37" s="394">
        <v>8.2221000000000011</v>
      </c>
      <c r="E37" s="394">
        <v>10.6623</v>
      </c>
      <c r="F37" s="394">
        <v>0</v>
      </c>
      <c r="G37" s="394">
        <v>0.52190000000000003</v>
      </c>
      <c r="H37" s="394">
        <v>7.1618000000000004</v>
      </c>
      <c r="I37" s="394">
        <v>2.6201999999999996</v>
      </c>
      <c r="J37" s="394">
        <v>0</v>
      </c>
      <c r="K37" s="394">
        <v>1.2257</v>
      </c>
      <c r="L37" s="394">
        <v>13.195</v>
      </c>
      <c r="M37" s="430">
        <v>35386.9</v>
      </c>
      <c r="N37" s="376"/>
    </row>
    <row r="38" spans="2:14" ht="15.6" hidden="1">
      <c r="B38" s="433"/>
      <c r="C38" s="429"/>
      <c r="D38" s="429"/>
      <c r="E38" s="430"/>
      <c r="F38" s="429"/>
      <c r="G38" s="429"/>
      <c r="H38" s="429"/>
      <c r="I38" s="429"/>
      <c r="J38" s="429"/>
      <c r="K38" s="408"/>
      <c r="L38" s="428"/>
      <c r="M38" s="430"/>
      <c r="N38" s="376"/>
    </row>
    <row r="39" spans="2:14" ht="15.6" hidden="1">
      <c r="B39" s="433" t="s">
        <v>11</v>
      </c>
      <c r="C39" s="394">
        <v>2.3250999999999999</v>
      </c>
      <c r="D39" s="394">
        <v>7.5712999999999999</v>
      </c>
      <c r="E39" s="394">
        <v>9.8963999999999999</v>
      </c>
      <c r="F39" s="394">
        <v>0</v>
      </c>
      <c r="G39" s="394">
        <v>0.52190000000000003</v>
      </c>
      <c r="H39" s="394">
        <v>8.3904999999999994</v>
      </c>
      <c r="I39" s="394">
        <v>2.9639000000000002</v>
      </c>
      <c r="J39" s="394">
        <v>0</v>
      </c>
      <c r="K39" s="394">
        <v>1.2287999999999999</v>
      </c>
      <c r="L39" s="394">
        <v>13.077999999999999</v>
      </c>
      <c r="M39" s="430">
        <v>36079.5</v>
      </c>
      <c r="N39" s="376"/>
    </row>
    <row r="40" spans="2:14" ht="15.6" hidden="1">
      <c r="B40" s="433"/>
      <c r="C40" s="429"/>
      <c r="D40" s="429"/>
      <c r="E40" s="430"/>
      <c r="F40" s="429"/>
      <c r="G40" s="429"/>
      <c r="H40" s="429"/>
      <c r="I40" s="429"/>
      <c r="J40" s="429"/>
      <c r="K40" s="408"/>
      <c r="L40" s="428"/>
      <c r="M40" s="430"/>
      <c r="N40" s="376"/>
    </row>
    <row r="41" spans="2:14" ht="15.6" hidden="1">
      <c r="B41" s="433" t="s">
        <v>337</v>
      </c>
      <c r="C41" s="394">
        <v>2.3124000000000002</v>
      </c>
      <c r="D41" s="394">
        <v>5.6618999999999993</v>
      </c>
      <c r="E41" s="394">
        <v>7.9743000000000004</v>
      </c>
      <c r="F41" s="394">
        <v>0</v>
      </c>
      <c r="G41" s="394">
        <v>0.52190000000000003</v>
      </c>
      <c r="H41" s="394">
        <v>10.303000000000001</v>
      </c>
      <c r="I41" s="394">
        <v>2.0749</v>
      </c>
      <c r="J41" s="394">
        <v>0</v>
      </c>
      <c r="K41" s="394">
        <v>1.2287999999999999</v>
      </c>
      <c r="L41" s="394">
        <v>15.2797</v>
      </c>
      <c r="M41" s="430">
        <v>37382.6</v>
      </c>
      <c r="N41" s="376"/>
    </row>
    <row r="42" spans="2:14" ht="15.6" hidden="1">
      <c r="B42" s="433"/>
      <c r="C42" s="429"/>
      <c r="D42" s="429"/>
      <c r="E42" s="430"/>
      <c r="F42" s="429"/>
      <c r="G42" s="429"/>
      <c r="H42" s="429"/>
      <c r="I42" s="429"/>
      <c r="J42" s="429"/>
      <c r="K42" s="408"/>
      <c r="L42" s="428"/>
      <c r="M42" s="430"/>
      <c r="N42" s="376"/>
    </row>
    <row r="43" spans="2:14" ht="15.6" hidden="1">
      <c r="B43" s="433" t="s">
        <v>346</v>
      </c>
      <c r="C43" s="394">
        <v>2.1345000000000001</v>
      </c>
      <c r="D43" s="394">
        <v>7.4192999999999998</v>
      </c>
      <c r="E43" s="394">
        <v>9.553799999999999</v>
      </c>
      <c r="F43" s="394">
        <v>0.2409</v>
      </c>
      <c r="G43" s="394">
        <v>0.52190000000000003</v>
      </c>
      <c r="H43" s="394">
        <v>10.126100000000001</v>
      </c>
      <c r="I43" s="394">
        <v>3.6052</v>
      </c>
      <c r="J43" s="394">
        <v>0</v>
      </c>
      <c r="K43" s="394">
        <v>1.3186</v>
      </c>
      <c r="L43" s="394">
        <v>13.198600000000001</v>
      </c>
      <c r="M43" s="430">
        <v>38565.1</v>
      </c>
      <c r="N43" s="376"/>
    </row>
    <row r="44" spans="2:14" ht="15.6" hidden="1">
      <c r="B44" s="433"/>
      <c r="C44" s="429"/>
      <c r="D44" s="429"/>
      <c r="E44" s="430"/>
      <c r="F44" s="429"/>
      <c r="G44" s="429"/>
      <c r="H44" s="429"/>
      <c r="I44" s="429"/>
      <c r="J44" s="429"/>
      <c r="K44" s="408"/>
      <c r="L44" s="428"/>
      <c r="M44" s="430"/>
      <c r="N44" s="376"/>
    </row>
    <row r="45" spans="2:14" ht="15.6" hidden="1">
      <c r="B45" s="433" t="s">
        <v>347</v>
      </c>
      <c r="C45" s="394">
        <v>1.6391</v>
      </c>
      <c r="D45" s="394">
        <v>7.3401000000000005</v>
      </c>
      <c r="E45" s="394">
        <v>8.9792000000000005</v>
      </c>
      <c r="F45" s="394">
        <v>1.7044999999999999</v>
      </c>
      <c r="G45" s="394">
        <v>0.52190000000000003</v>
      </c>
      <c r="H45" s="394">
        <v>9.6342999999999996</v>
      </c>
      <c r="I45" s="394">
        <v>2.4845999999999999</v>
      </c>
      <c r="J45" s="394">
        <v>0</v>
      </c>
      <c r="K45" s="394">
        <v>1.3089999999999999</v>
      </c>
      <c r="L45" s="394">
        <v>12.6694</v>
      </c>
      <c r="M45" s="430">
        <v>37302.9</v>
      </c>
      <c r="N45" s="376"/>
    </row>
    <row r="46" spans="2:14" ht="15.6" hidden="1">
      <c r="B46" s="433"/>
      <c r="C46" s="429"/>
      <c r="D46" s="429"/>
      <c r="E46" s="430"/>
      <c r="F46" s="429"/>
      <c r="G46" s="429"/>
      <c r="H46" s="429"/>
      <c r="I46" s="429"/>
      <c r="J46" s="429"/>
      <c r="K46" s="408"/>
      <c r="L46" s="428"/>
      <c r="M46" s="430"/>
      <c r="N46" s="376"/>
    </row>
    <row r="47" spans="2:14" ht="15.6" hidden="1">
      <c r="B47" s="433" t="s">
        <v>12</v>
      </c>
      <c r="C47" s="394">
        <v>1.7353000000000001</v>
      </c>
      <c r="D47" s="394">
        <v>8.3022000000000009</v>
      </c>
      <c r="E47" s="394">
        <v>10.0375</v>
      </c>
      <c r="F47" s="394">
        <v>1.7044999999999999</v>
      </c>
      <c r="G47" s="394">
        <v>0</v>
      </c>
      <c r="H47" s="394">
        <v>12.116700000000002</v>
      </c>
      <c r="I47" s="394">
        <v>2.8378000000000001</v>
      </c>
      <c r="J47" s="394">
        <v>0</v>
      </c>
      <c r="K47" s="394">
        <v>1.3089999999999999</v>
      </c>
      <c r="L47" s="394">
        <v>14.4163</v>
      </c>
      <c r="M47" s="430">
        <v>42421.8</v>
      </c>
      <c r="N47" s="376"/>
    </row>
    <row r="48" spans="2:14" ht="15.6" hidden="1">
      <c r="B48" s="433"/>
      <c r="C48" s="429"/>
      <c r="D48" s="429"/>
      <c r="E48" s="430"/>
      <c r="F48" s="429"/>
      <c r="G48" s="429"/>
      <c r="H48" s="429"/>
      <c r="I48" s="429"/>
      <c r="J48" s="429"/>
      <c r="K48" s="408"/>
      <c r="L48" s="428"/>
      <c r="M48" s="430"/>
      <c r="N48" s="376"/>
    </row>
    <row r="49" spans="2:14" ht="15.6" hidden="1">
      <c r="B49" s="433" t="s">
        <v>13</v>
      </c>
      <c r="C49" s="394">
        <v>1.9784999999999999</v>
      </c>
      <c r="D49" s="394">
        <v>9.9863</v>
      </c>
      <c r="E49" s="394">
        <v>11.964799999999999</v>
      </c>
      <c r="F49" s="394">
        <v>1.8620999999999999</v>
      </c>
      <c r="G49" s="394">
        <v>0</v>
      </c>
      <c r="H49" s="394">
        <v>7.1198000000000006</v>
      </c>
      <c r="I49" s="394">
        <v>3.0874000000000001</v>
      </c>
      <c r="J49" s="394">
        <v>0</v>
      </c>
      <c r="K49" s="394">
        <v>1.3089999999999999</v>
      </c>
      <c r="L49" s="394">
        <v>15.293700000000001</v>
      </c>
      <c r="M49" s="430">
        <v>40636.800000000003</v>
      </c>
      <c r="N49" s="376"/>
    </row>
    <row r="50" spans="2:14" ht="15.6" hidden="1">
      <c r="B50" s="433"/>
      <c r="C50" s="429"/>
      <c r="D50" s="429"/>
      <c r="E50" s="430"/>
      <c r="F50" s="429"/>
      <c r="G50" s="429"/>
      <c r="H50" s="429"/>
      <c r="I50" s="429"/>
      <c r="J50" s="429"/>
      <c r="K50" s="408"/>
      <c r="L50" s="428"/>
      <c r="M50" s="430"/>
      <c r="N50" s="376"/>
    </row>
    <row r="51" spans="2:14" ht="15.6" hidden="1">
      <c r="B51" s="433" t="s">
        <v>14</v>
      </c>
      <c r="C51" s="394">
        <v>2.1853000000000002</v>
      </c>
      <c r="D51" s="394">
        <v>10.278799999999999</v>
      </c>
      <c r="E51" s="394">
        <v>12.4641</v>
      </c>
      <c r="F51" s="394">
        <v>1.8614000000000002</v>
      </c>
      <c r="G51" s="394">
        <v>0.52190000000000003</v>
      </c>
      <c r="H51" s="394">
        <v>5.6047000000000002</v>
      </c>
      <c r="I51" s="394">
        <v>4.6150000000000002</v>
      </c>
      <c r="J51" s="394">
        <v>0</v>
      </c>
      <c r="K51" s="394">
        <v>1.3086</v>
      </c>
      <c r="L51" s="394">
        <v>14.7128</v>
      </c>
      <c r="M51" s="430">
        <v>41088.5</v>
      </c>
      <c r="N51" s="376"/>
    </row>
    <row r="52" spans="2:14" ht="15.6" hidden="1">
      <c r="B52" s="433"/>
      <c r="C52" s="429"/>
      <c r="D52" s="429"/>
      <c r="E52" s="430"/>
      <c r="F52" s="429"/>
      <c r="G52" s="429"/>
      <c r="H52" s="429"/>
      <c r="I52" s="429"/>
      <c r="J52" s="429"/>
      <c r="K52" s="408"/>
      <c r="L52" s="428"/>
      <c r="M52" s="430"/>
      <c r="N52" s="376"/>
    </row>
    <row r="53" spans="2:14" ht="15.6" hidden="1">
      <c r="B53" s="433" t="s">
        <v>15</v>
      </c>
      <c r="C53" s="394">
        <v>2.4177</v>
      </c>
      <c r="D53" s="394">
        <v>11.058399999999999</v>
      </c>
      <c r="E53" s="394">
        <v>13.476100000000001</v>
      </c>
      <c r="F53" s="394">
        <v>1.8614000000000002</v>
      </c>
      <c r="G53" s="394">
        <v>0.52190000000000003</v>
      </c>
      <c r="H53" s="394">
        <v>4.0494000000000003</v>
      </c>
      <c r="I53" s="394">
        <v>5.9287000000000001</v>
      </c>
      <c r="J53" s="394">
        <v>0</v>
      </c>
      <c r="K53" s="394">
        <v>1.5555000000000001</v>
      </c>
      <c r="L53" s="394">
        <v>15.054799999999998</v>
      </c>
      <c r="M53" s="430">
        <v>42447.8</v>
      </c>
      <c r="N53" s="376"/>
    </row>
    <row r="54" spans="2:14" ht="15.6" hidden="1">
      <c r="B54" s="433"/>
      <c r="C54" s="429"/>
      <c r="D54" s="429"/>
      <c r="E54" s="430"/>
      <c r="F54" s="429"/>
      <c r="G54" s="429"/>
      <c r="H54" s="429"/>
      <c r="I54" s="429"/>
      <c r="J54" s="429"/>
      <c r="K54" s="408"/>
      <c r="L54" s="428"/>
      <c r="M54" s="430"/>
      <c r="N54" s="376"/>
    </row>
    <row r="55" spans="2:14" ht="15.6" hidden="1">
      <c r="B55" s="433" t="s">
        <v>16</v>
      </c>
      <c r="C55" s="394">
        <v>2.4983</v>
      </c>
      <c r="D55" s="394">
        <v>10.61</v>
      </c>
      <c r="E55" s="394">
        <v>13.1083</v>
      </c>
      <c r="F55" s="394">
        <v>4.1784999999999997</v>
      </c>
      <c r="G55" s="394">
        <v>0.52190000000000003</v>
      </c>
      <c r="H55" s="394">
        <v>0.4541</v>
      </c>
      <c r="I55" s="394">
        <v>8.6760999999999999</v>
      </c>
      <c r="J55" s="394">
        <v>0</v>
      </c>
      <c r="K55" s="394">
        <v>1.5555000000000001</v>
      </c>
      <c r="L55" s="394">
        <v>15.6249</v>
      </c>
      <c r="M55" s="430">
        <v>44119.3</v>
      </c>
      <c r="N55" s="376"/>
    </row>
    <row r="56" spans="2:14" ht="15.6" hidden="1">
      <c r="B56" s="433"/>
      <c r="C56" s="429"/>
      <c r="D56" s="429"/>
      <c r="E56" s="430"/>
      <c r="F56" s="429"/>
      <c r="G56" s="429"/>
      <c r="H56" s="429"/>
      <c r="I56" s="429"/>
      <c r="J56" s="429"/>
      <c r="K56" s="408"/>
      <c r="L56" s="428"/>
      <c r="M56" s="430"/>
      <c r="N56" s="376"/>
    </row>
    <row r="57" spans="2:14" ht="15.6" hidden="1">
      <c r="B57" s="462">
        <v>2001</v>
      </c>
      <c r="C57" s="429"/>
      <c r="D57" s="429"/>
      <c r="E57" s="430"/>
      <c r="F57" s="429"/>
      <c r="G57" s="429"/>
      <c r="H57" s="429"/>
      <c r="I57" s="429"/>
      <c r="J57" s="429"/>
      <c r="K57" s="408"/>
      <c r="L57" s="428"/>
      <c r="M57" s="430"/>
      <c r="N57" s="376"/>
    </row>
    <row r="58" spans="2:14" ht="15.6" hidden="1">
      <c r="B58" s="433"/>
      <c r="C58" s="429"/>
      <c r="D58" s="429"/>
      <c r="E58" s="430"/>
      <c r="F58" s="429"/>
      <c r="G58" s="429"/>
      <c r="H58" s="429"/>
      <c r="I58" s="429"/>
      <c r="J58" s="429"/>
      <c r="K58" s="408"/>
      <c r="L58" s="428"/>
      <c r="M58" s="430"/>
      <c r="N58" s="376"/>
    </row>
    <row r="59" spans="2:14" ht="15.6" hidden="1">
      <c r="B59" s="433" t="s">
        <v>8</v>
      </c>
      <c r="C59" s="394">
        <v>2.5979000000000001</v>
      </c>
      <c r="D59" s="394">
        <v>10.1273</v>
      </c>
      <c r="E59" s="394">
        <f>(SUM(C59:D59))/1000</f>
        <v>1.2725200000000001E-2</v>
      </c>
      <c r="F59" s="394">
        <v>8.0385000000000009</v>
      </c>
      <c r="G59" s="394">
        <v>0.52190000000000003</v>
      </c>
      <c r="H59" s="394">
        <v>7.0507</v>
      </c>
      <c r="I59" s="394">
        <v>7.5933999999999999</v>
      </c>
      <c r="J59" s="394">
        <v>0</v>
      </c>
      <c r="K59" s="394">
        <v>1.5550999999999999</v>
      </c>
      <c r="L59" s="394">
        <v>14.200299999999999</v>
      </c>
      <c r="M59" s="430">
        <f>SUM(F59:L59,E59)</f>
        <v>38.972625199999996</v>
      </c>
      <c r="N59" s="376"/>
    </row>
    <row r="60" spans="2:14" ht="15.6" hidden="1">
      <c r="B60" s="433"/>
      <c r="C60" s="429"/>
      <c r="D60" s="429"/>
      <c r="E60" s="430"/>
      <c r="F60" s="429"/>
      <c r="G60" s="429"/>
      <c r="H60" s="429"/>
      <c r="I60" s="429"/>
      <c r="J60" s="429"/>
      <c r="K60" s="408"/>
      <c r="L60" s="428"/>
      <c r="M60" s="430"/>
      <c r="N60" s="376"/>
    </row>
    <row r="61" spans="2:14" ht="15.6" hidden="1">
      <c r="B61" s="433" t="s">
        <v>9</v>
      </c>
      <c r="C61" s="394">
        <v>2.5841999999999996</v>
      </c>
      <c r="D61" s="394">
        <v>9.9232000000000014</v>
      </c>
      <c r="E61" s="394">
        <f>(SUM(C61:D61))/1000</f>
        <v>1.25074E-2</v>
      </c>
      <c r="F61" s="394">
        <v>4.1779999999999999</v>
      </c>
      <c r="G61" s="394">
        <v>0.52190000000000003</v>
      </c>
      <c r="H61" s="394">
        <v>11.3276</v>
      </c>
      <c r="I61" s="394">
        <v>7.3813000000000004</v>
      </c>
      <c r="J61" s="394">
        <v>0</v>
      </c>
      <c r="K61" s="394">
        <v>1.5550999999999999</v>
      </c>
      <c r="L61" s="394">
        <v>14.3119</v>
      </c>
      <c r="M61" s="430">
        <f>SUM(F61:L61,E61)</f>
        <v>39.288307399999994</v>
      </c>
      <c r="N61" s="376"/>
    </row>
    <row r="62" spans="2:14" ht="15.6" hidden="1">
      <c r="B62" s="433"/>
      <c r="C62" s="429"/>
      <c r="D62" s="429"/>
      <c r="E62" s="430">
        <f>SUM(C62:D62)</f>
        <v>0</v>
      </c>
      <c r="F62" s="429"/>
      <c r="G62" s="429"/>
      <c r="H62" s="429"/>
      <c r="I62" s="429"/>
      <c r="J62" s="429"/>
      <c r="K62" s="408"/>
      <c r="L62" s="428"/>
      <c r="M62" s="430">
        <f>SUM(F62:L62,E62)</f>
        <v>0</v>
      </c>
      <c r="N62" s="376"/>
    </row>
    <row r="63" spans="2:14" ht="15.6" hidden="1">
      <c r="B63" s="433" t="s">
        <v>9</v>
      </c>
      <c r="C63" s="394">
        <v>2.5841999999999996</v>
      </c>
      <c r="D63" s="394">
        <v>9.9847000000000001</v>
      </c>
      <c r="E63" s="394">
        <f>(SUM(C63:D63))/1000</f>
        <v>1.2568899999999999E-2</v>
      </c>
      <c r="F63" s="394">
        <v>4.1779999999999999</v>
      </c>
      <c r="G63" s="394">
        <v>0.52190000000000003</v>
      </c>
      <c r="H63" s="394">
        <v>12.636299999999999</v>
      </c>
      <c r="I63" s="394">
        <v>7.7673999999999994</v>
      </c>
      <c r="J63" s="394">
        <v>0</v>
      </c>
      <c r="K63" s="394">
        <v>1.5550999999999999</v>
      </c>
      <c r="L63" s="394">
        <v>14.368499999999999</v>
      </c>
      <c r="M63" s="430">
        <f>SUM(F63:L63,E63)</f>
        <v>41.039768899999991</v>
      </c>
      <c r="N63" s="376"/>
    </row>
    <row r="64" spans="2:14" ht="15.6" hidden="1">
      <c r="B64" s="433"/>
      <c r="C64" s="429"/>
      <c r="D64" s="429"/>
      <c r="E64" s="430"/>
      <c r="F64" s="429"/>
      <c r="G64" s="429"/>
      <c r="H64" s="429"/>
      <c r="I64" s="429"/>
      <c r="J64" s="429"/>
      <c r="K64" s="408"/>
      <c r="L64" s="428"/>
      <c r="M64" s="430"/>
      <c r="N64" s="376"/>
    </row>
    <row r="65" spans="2:14" ht="15.6" hidden="1">
      <c r="B65" s="433" t="s">
        <v>10</v>
      </c>
      <c r="C65" s="394">
        <v>2.4346999999999999</v>
      </c>
      <c r="D65" s="394">
        <v>8.2297999999999991</v>
      </c>
      <c r="E65" s="394">
        <f>(SUM(C65:D65))/1000</f>
        <v>1.0664499999999999E-2</v>
      </c>
      <c r="F65" s="394">
        <v>3.8611999999999997</v>
      </c>
      <c r="G65" s="394">
        <v>0.52190000000000003</v>
      </c>
      <c r="H65" s="394">
        <v>10.796299999999999</v>
      </c>
      <c r="I65" s="394">
        <v>7.2506000000000004</v>
      </c>
      <c r="J65" s="394">
        <v>0</v>
      </c>
      <c r="K65" s="394">
        <v>1.5550999999999999</v>
      </c>
      <c r="L65" s="394">
        <v>15.3955</v>
      </c>
      <c r="M65" s="430">
        <f>SUM(F65:L65,E65)</f>
        <v>39.391264499999998</v>
      </c>
      <c r="N65" s="376"/>
    </row>
    <row r="66" spans="2:14" ht="15.6" hidden="1">
      <c r="B66" s="433"/>
      <c r="C66" s="429"/>
      <c r="D66" s="429"/>
      <c r="E66" s="430"/>
      <c r="F66" s="429"/>
      <c r="G66" s="429"/>
      <c r="H66" s="429"/>
      <c r="I66" s="429"/>
      <c r="J66" s="429"/>
      <c r="K66" s="408"/>
      <c r="L66" s="428"/>
      <c r="M66" s="430"/>
      <c r="N66" s="376"/>
    </row>
    <row r="67" spans="2:14" ht="15.6" hidden="1">
      <c r="B67" s="433" t="s">
        <v>11</v>
      </c>
      <c r="C67" s="394">
        <v>2.6650999999999998</v>
      </c>
      <c r="D67" s="394">
        <v>8.9529999999999994</v>
      </c>
      <c r="E67" s="394">
        <f>(SUM(C67:D67))/1000</f>
        <v>1.1618099999999998E-2</v>
      </c>
      <c r="F67" s="394">
        <v>9.3612000000000002</v>
      </c>
      <c r="G67" s="394">
        <v>0.52190000000000003</v>
      </c>
      <c r="H67" s="394">
        <v>9.4762999999999984</v>
      </c>
      <c r="I67" s="394">
        <f>(4920100299/1000)/1000</f>
        <v>4920.1002989999997</v>
      </c>
      <c r="J67" s="394">
        <v>0.72499999999999998</v>
      </c>
      <c r="K67" s="394">
        <v>1.5550999999999999</v>
      </c>
      <c r="L67" s="394">
        <v>14.655799999999999</v>
      </c>
      <c r="M67" s="430">
        <f>SUM(F67:L67,E67)</f>
        <v>4956.4072170999998</v>
      </c>
      <c r="N67" s="376"/>
    </row>
    <row r="68" spans="2:14" ht="15.6" hidden="1">
      <c r="B68" s="433"/>
      <c r="C68" s="429"/>
      <c r="D68" s="429"/>
      <c r="E68" s="430"/>
      <c r="F68" s="429"/>
      <c r="G68" s="429"/>
      <c r="H68" s="429"/>
      <c r="I68" s="429">
        <f>4698281252/1000</f>
        <v>4698281.2520000003</v>
      </c>
      <c r="J68" s="429">
        <v>20</v>
      </c>
      <c r="K68" s="408"/>
      <c r="L68" s="428"/>
      <c r="M68" s="430"/>
      <c r="N68" s="376"/>
    </row>
    <row r="69" spans="2:14" ht="15.6" hidden="1">
      <c r="B69" s="433" t="s">
        <v>337</v>
      </c>
      <c r="C69" s="394">
        <v>2.5143</v>
      </c>
      <c r="D69" s="394">
        <v>8.5971000000000011</v>
      </c>
      <c r="E69" s="394">
        <f>(SUM(C69:D69))/1000</f>
        <v>1.1111400000000002E-2</v>
      </c>
      <c r="F69" s="394">
        <v>9.3726000000000003</v>
      </c>
      <c r="G69" s="394">
        <v>0.52190000000000003</v>
      </c>
      <c r="H69" s="394">
        <v>8.1018000000000008</v>
      </c>
      <c r="I69" s="394">
        <f>(6895867959/1000)/1000</f>
        <v>6895.8679590000002</v>
      </c>
      <c r="J69" s="394">
        <v>0</v>
      </c>
      <c r="K69" s="394">
        <v>1.5550999999999999</v>
      </c>
      <c r="L69" s="394">
        <v>14.692200000000001</v>
      </c>
      <c r="M69" s="430">
        <f>SUM(F69:L69,E69)</f>
        <v>6930.1226704000001</v>
      </c>
      <c r="N69" s="376"/>
    </row>
    <row r="70" spans="2:14" ht="15.6" hidden="1">
      <c r="B70" s="433"/>
      <c r="C70" s="429"/>
      <c r="D70" s="429"/>
      <c r="E70" s="430"/>
      <c r="F70" s="429"/>
      <c r="G70" s="429"/>
      <c r="H70" s="429"/>
      <c r="I70" s="429"/>
      <c r="J70" s="429"/>
      <c r="K70" s="408"/>
      <c r="L70" s="428"/>
      <c r="M70" s="430"/>
      <c r="N70" s="376"/>
    </row>
    <row r="71" spans="2:14" ht="15.6" hidden="1">
      <c r="B71" s="433" t="s">
        <v>346</v>
      </c>
      <c r="C71" s="394">
        <v>2.3721999999999999</v>
      </c>
      <c r="D71" s="394">
        <v>7.9218999999999999</v>
      </c>
      <c r="E71" s="394">
        <f>(SUM(C71:D71))/1000</f>
        <v>1.02941E-2</v>
      </c>
      <c r="F71" s="394">
        <v>9.1540999999999997</v>
      </c>
      <c r="G71" s="394">
        <v>0.52190000000000003</v>
      </c>
      <c r="H71" s="394">
        <v>11.341200000000001</v>
      </c>
      <c r="I71" s="394">
        <v>9.7357000000000014</v>
      </c>
      <c r="J71" s="394">
        <v>0</v>
      </c>
      <c r="K71" s="394">
        <v>1.5548</v>
      </c>
      <c r="L71" s="394">
        <v>13.7667</v>
      </c>
      <c r="M71" s="430">
        <f>SUM(F71:L71,E71)</f>
        <v>46.084694100000007</v>
      </c>
      <c r="N71" s="376"/>
    </row>
    <row r="72" spans="2:14" ht="15.6" hidden="1">
      <c r="B72" s="433"/>
      <c r="C72" s="394">
        <v>0</v>
      </c>
      <c r="D72" s="394">
        <v>0</v>
      </c>
      <c r="E72" s="430"/>
      <c r="F72" s="429"/>
      <c r="G72" s="429"/>
      <c r="H72" s="429"/>
      <c r="I72" s="429"/>
      <c r="J72" s="429"/>
      <c r="K72" s="408"/>
      <c r="L72" s="428"/>
      <c r="M72" s="430"/>
      <c r="N72" s="376"/>
    </row>
    <row r="73" spans="2:14" ht="15.6" hidden="1">
      <c r="B73" s="433" t="s">
        <v>347</v>
      </c>
      <c r="C73" s="394">
        <v>2.6059000000000001</v>
      </c>
      <c r="D73" s="394">
        <v>7.3098999999999998</v>
      </c>
      <c r="E73" s="394">
        <f>(SUM(C73:D73))/1000</f>
        <v>9.9158000000000007E-3</v>
      </c>
      <c r="F73" s="394">
        <v>9.1328999999999994</v>
      </c>
      <c r="G73" s="394">
        <v>0.52190000000000003</v>
      </c>
      <c r="H73" s="394">
        <v>11.9003</v>
      </c>
      <c r="I73" s="394">
        <v>12.649100000000001</v>
      </c>
      <c r="J73" s="394">
        <v>0</v>
      </c>
      <c r="K73" s="394">
        <v>1.5548</v>
      </c>
      <c r="L73" s="394">
        <v>14.842799999999999</v>
      </c>
      <c r="M73" s="430">
        <f>SUM(F73:L73,E73)</f>
        <v>50.611715799999999</v>
      </c>
      <c r="N73" s="376"/>
    </row>
    <row r="74" spans="2:14" ht="15.6" hidden="1">
      <c r="B74" s="433"/>
      <c r="C74" s="429"/>
      <c r="D74" s="429"/>
      <c r="E74" s="430"/>
      <c r="F74" s="429"/>
      <c r="G74" s="429"/>
      <c r="H74" s="429"/>
      <c r="I74" s="429"/>
      <c r="J74" s="429"/>
      <c r="K74" s="408"/>
      <c r="L74" s="428"/>
      <c r="M74" s="430"/>
      <c r="N74" s="376"/>
    </row>
    <row r="75" spans="2:14" ht="15.6" hidden="1">
      <c r="B75" s="433" t="s">
        <v>12</v>
      </c>
      <c r="C75" s="394">
        <v>2.7109000000000001</v>
      </c>
      <c r="D75" s="394">
        <v>5.5564999999999998</v>
      </c>
      <c r="E75" s="394">
        <f>(SUM(C75:D75))/1000</f>
        <v>8.2674000000000011E-3</v>
      </c>
      <c r="F75" s="394">
        <v>9.3565000000000005</v>
      </c>
      <c r="G75" s="394">
        <v>0.52190000000000003</v>
      </c>
      <c r="H75" s="394">
        <v>12.840999999999999</v>
      </c>
      <c r="I75" s="394">
        <v>18.108799999999999</v>
      </c>
      <c r="J75" s="394">
        <v>0</v>
      </c>
      <c r="K75" s="394">
        <v>1.5548</v>
      </c>
      <c r="L75" s="394">
        <v>15.651</v>
      </c>
      <c r="M75" s="430">
        <f>SUM(F75:L75,E75)</f>
        <v>58.042267399999993</v>
      </c>
      <c r="N75" s="376"/>
    </row>
    <row r="76" spans="2:14" ht="15.6" hidden="1">
      <c r="B76" s="433"/>
      <c r="C76" s="429"/>
      <c r="D76" s="429"/>
      <c r="E76" s="430"/>
      <c r="F76" s="429"/>
      <c r="G76" s="429"/>
      <c r="H76" s="429"/>
      <c r="I76" s="429"/>
      <c r="J76" s="429"/>
      <c r="K76" s="408"/>
      <c r="L76" s="428"/>
      <c r="M76" s="430"/>
      <c r="N76" s="376"/>
    </row>
    <row r="77" spans="2:14" ht="15.6" hidden="1">
      <c r="B77" s="433" t="s">
        <v>13</v>
      </c>
      <c r="C77" s="394">
        <v>2.7219000000000002</v>
      </c>
      <c r="D77" s="394">
        <v>6.4885000000000002</v>
      </c>
      <c r="E77" s="394">
        <f>(SUM(C77:D77))/1000</f>
        <v>9.2104000000000005E-3</v>
      </c>
      <c r="F77" s="394">
        <v>15.504700000000001</v>
      </c>
      <c r="G77" s="394">
        <v>0.52190000000000003</v>
      </c>
      <c r="H77" s="394">
        <v>11.2376</v>
      </c>
      <c r="I77" s="394">
        <v>18.295999999999999</v>
      </c>
      <c r="J77" s="394">
        <v>0</v>
      </c>
      <c r="K77" s="394">
        <v>1.5548</v>
      </c>
      <c r="L77" s="394">
        <v>16.6615</v>
      </c>
      <c r="M77" s="430">
        <f>SUM(F77:L77,E77)</f>
        <v>63.785710399999999</v>
      </c>
      <c r="N77" s="376"/>
    </row>
    <row r="78" spans="2:14" ht="15.6" hidden="1">
      <c r="B78" s="433"/>
      <c r="C78" s="429"/>
      <c r="D78" s="429"/>
      <c r="E78" s="430"/>
      <c r="F78" s="429"/>
      <c r="G78" s="429"/>
      <c r="H78" s="429"/>
      <c r="I78" s="429"/>
      <c r="J78" s="429"/>
      <c r="K78" s="408"/>
      <c r="L78" s="428"/>
      <c r="M78" s="430"/>
      <c r="N78" s="376"/>
    </row>
    <row r="79" spans="2:14" ht="15.6" hidden="1">
      <c r="B79" s="433" t="s">
        <v>14</v>
      </c>
      <c r="C79" s="394">
        <v>2.9064000000000001</v>
      </c>
      <c r="D79" s="394">
        <v>5.2012999999999998</v>
      </c>
      <c r="E79" s="394">
        <f>(SUM(C79:D79))/1000</f>
        <v>8.1076999999999989E-3</v>
      </c>
      <c r="F79" s="394">
        <v>15.504700000000001</v>
      </c>
      <c r="G79" s="394">
        <v>0.52190000000000003</v>
      </c>
      <c r="H79" s="394">
        <v>9.0015000000000001</v>
      </c>
      <c r="I79" s="394">
        <v>19.872599999999998</v>
      </c>
      <c r="J79" s="394">
        <v>0</v>
      </c>
      <c r="K79" s="394">
        <v>1.3948</v>
      </c>
      <c r="L79" s="394">
        <v>16.2819</v>
      </c>
      <c r="M79" s="430">
        <f>SUM(F79:L79,E79)</f>
        <v>62.585507700000001</v>
      </c>
      <c r="N79" s="376"/>
    </row>
    <row r="80" spans="2:14" ht="15.6" hidden="1">
      <c r="B80" s="433"/>
      <c r="C80" s="429"/>
      <c r="D80" s="429"/>
      <c r="E80" s="430"/>
      <c r="F80" s="429"/>
      <c r="G80" s="429"/>
      <c r="H80" s="429"/>
      <c r="I80" s="429"/>
      <c r="J80" s="429"/>
      <c r="K80" s="408"/>
      <c r="L80" s="428"/>
      <c r="M80" s="430"/>
      <c r="N80" s="376"/>
    </row>
    <row r="81" spans="2:14" ht="15.6" hidden="1">
      <c r="B81" s="433" t="s">
        <v>15</v>
      </c>
      <c r="C81" s="394">
        <v>1.6565000000000001</v>
      </c>
      <c r="D81" s="394">
        <v>4.8363000000000005</v>
      </c>
      <c r="E81" s="394">
        <f>(SUM(C81:D81))/1000</f>
        <v>6.4928000000000008E-3</v>
      </c>
      <c r="F81" s="394">
        <v>14.282299999999999</v>
      </c>
      <c r="G81" s="394">
        <v>0.52190000000000003</v>
      </c>
      <c r="H81" s="394">
        <v>11.262700000000001</v>
      </c>
      <c r="I81" s="394">
        <v>22.400700000000001</v>
      </c>
      <c r="J81" s="394">
        <v>0</v>
      </c>
      <c r="K81" s="394">
        <v>1.3948</v>
      </c>
      <c r="L81" s="394">
        <v>15.359399999999999</v>
      </c>
      <c r="M81" s="430">
        <f>SUM(F81:L81,E81)</f>
        <v>65.228292800000006</v>
      </c>
      <c r="N81" s="376"/>
    </row>
    <row r="82" spans="2:14" ht="15.6" hidden="1">
      <c r="B82" s="433"/>
      <c r="C82" s="429"/>
      <c r="D82" s="429"/>
      <c r="E82" s="430"/>
      <c r="F82" s="429"/>
      <c r="G82" s="429"/>
      <c r="H82" s="429"/>
      <c r="I82" s="429"/>
      <c r="J82" s="429"/>
      <c r="K82" s="408"/>
      <c r="L82" s="428"/>
      <c r="M82" s="430"/>
      <c r="N82" s="376"/>
    </row>
    <row r="83" spans="2:14" ht="15.6" hidden="1">
      <c r="B83" s="433" t="s">
        <v>16</v>
      </c>
      <c r="C83" s="394">
        <v>1.5145</v>
      </c>
      <c r="D83" s="394">
        <v>3.6184000000000003</v>
      </c>
      <c r="E83" s="394">
        <f>(SUM(C83:D83))/1000</f>
        <v>5.1329000000000001E-3</v>
      </c>
      <c r="F83" s="394">
        <v>25.315300000000001</v>
      </c>
      <c r="G83" s="394">
        <v>0.52190000000000003</v>
      </c>
      <c r="H83" s="394">
        <v>0.4541</v>
      </c>
      <c r="I83" s="394">
        <v>28.607500000000002</v>
      </c>
      <c r="J83" s="394">
        <v>0</v>
      </c>
      <c r="K83" s="394">
        <v>1.7830999999999999</v>
      </c>
      <c r="L83" s="394">
        <v>15.6424</v>
      </c>
      <c r="M83" s="430">
        <f>SUM(F83:L83,E83)</f>
        <v>72.3294329</v>
      </c>
      <c r="N83" s="376"/>
    </row>
    <row r="84" spans="2:14" ht="15.6" hidden="1">
      <c r="B84" s="433"/>
      <c r="C84" s="429"/>
      <c r="D84" s="429"/>
      <c r="E84" s="430"/>
      <c r="F84" s="429"/>
      <c r="G84" s="429"/>
      <c r="H84" s="429"/>
      <c r="I84" s="429"/>
      <c r="J84" s="429"/>
      <c r="K84" s="408"/>
      <c r="L84" s="428"/>
      <c r="M84" s="430"/>
      <c r="N84" s="376"/>
    </row>
    <row r="85" spans="2:14" ht="15.6" hidden="1">
      <c r="B85" s="464">
        <v>2002</v>
      </c>
      <c r="C85" s="429"/>
      <c r="D85" s="429"/>
      <c r="E85" s="430"/>
      <c r="F85" s="429"/>
      <c r="G85" s="429"/>
      <c r="H85" s="429"/>
      <c r="I85" s="429"/>
      <c r="J85" s="429"/>
      <c r="K85" s="408"/>
      <c r="L85" s="428"/>
      <c r="M85" s="430"/>
      <c r="N85" s="376"/>
    </row>
    <row r="86" spans="2:14" ht="15.6" hidden="1">
      <c r="B86" s="433"/>
      <c r="C86" s="429"/>
      <c r="D86" s="429"/>
      <c r="E86" s="430"/>
      <c r="F86" s="429"/>
      <c r="G86" s="429"/>
      <c r="H86" s="429"/>
      <c r="I86" s="429"/>
      <c r="J86" s="429"/>
      <c r="K86" s="408"/>
      <c r="L86" s="428"/>
      <c r="M86" s="430"/>
      <c r="N86" s="376"/>
    </row>
    <row r="87" spans="2:14" ht="15.6" hidden="1">
      <c r="B87" s="433" t="s">
        <v>8</v>
      </c>
      <c r="C87" s="394">
        <v>1.6077999999999999</v>
      </c>
      <c r="D87" s="394">
        <v>4.3239999999999998</v>
      </c>
      <c r="E87" s="394">
        <f>(SUM(C87:D87))/1000</f>
        <v>5.9318000000000001E-3</v>
      </c>
      <c r="F87" s="394">
        <v>13.3011</v>
      </c>
      <c r="G87" s="394">
        <v>0.52190000000000003</v>
      </c>
      <c r="H87" s="394">
        <v>19.622499999999999</v>
      </c>
      <c r="I87" s="394">
        <v>22.942400000000003</v>
      </c>
      <c r="J87" s="394">
        <v>0</v>
      </c>
      <c r="K87" s="394">
        <v>1.7830999999999999</v>
      </c>
      <c r="L87" s="394">
        <v>16.125799999999998</v>
      </c>
      <c r="M87" s="430">
        <f>SUM(F87:L87,E87)</f>
        <v>74.302731799999989</v>
      </c>
      <c r="N87" s="376"/>
    </row>
    <row r="88" spans="2:14" ht="15.6" hidden="1">
      <c r="B88" s="433"/>
      <c r="C88" s="429"/>
      <c r="D88" s="429"/>
      <c r="E88" s="430"/>
      <c r="F88" s="429"/>
      <c r="G88" s="429"/>
      <c r="H88" s="429"/>
      <c r="I88" s="429"/>
      <c r="J88" s="429"/>
      <c r="K88" s="408"/>
      <c r="L88" s="428"/>
      <c r="M88" s="430"/>
      <c r="N88" s="376"/>
    </row>
    <row r="89" spans="2:14" ht="15.6" hidden="1">
      <c r="B89" s="433" t="s">
        <v>9</v>
      </c>
      <c r="C89" s="394">
        <v>0.93059999999999998</v>
      </c>
      <c r="D89" s="394">
        <v>4.3613</v>
      </c>
      <c r="E89" s="394">
        <f>(SUM(C89:D89))/1000</f>
        <v>5.2919000000000004E-3</v>
      </c>
      <c r="F89" s="394">
        <v>25.811599999999999</v>
      </c>
      <c r="G89" s="394">
        <v>0.52190000000000003</v>
      </c>
      <c r="H89" s="394">
        <v>4.3037000000000001</v>
      </c>
      <c r="I89" s="394">
        <v>20.770199999999999</v>
      </c>
      <c r="J89" s="394">
        <v>0</v>
      </c>
      <c r="K89" s="394">
        <v>1.7830999999999999</v>
      </c>
      <c r="L89" s="394">
        <v>16.4255</v>
      </c>
      <c r="M89" s="430">
        <f>SUM(F89:L89,E89)</f>
        <v>69.621291899999989</v>
      </c>
      <c r="N89" s="376"/>
    </row>
    <row r="90" spans="2:14" ht="15.6" hidden="1">
      <c r="B90" s="433"/>
      <c r="C90" s="429"/>
      <c r="D90" s="429"/>
      <c r="E90" s="430"/>
      <c r="F90" s="429"/>
      <c r="G90" s="429"/>
      <c r="H90" s="429"/>
      <c r="I90" s="429"/>
      <c r="J90" s="429"/>
      <c r="K90" s="408"/>
      <c r="L90" s="428"/>
      <c r="M90" s="430"/>
      <c r="N90" s="376"/>
    </row>
    <row r="91" spans="2:14" ht="15.6" hidden="1">
      <c r="B91" s="433" t="s">
        <v>10</v>
      </c>
      <c r="C91" s="394">
        <v>0.81140000000000001</v>
      </c>
      <c r="D91" s="394">
        <v>4.3311000000000002</v>
      </c>
      <c r="E91" s="394">
        <f>(SUM(C91:D91))/1000</f>
        <v>5.1425000000000004E-3</v>
      </c>
      <c r="F91" s="394">
        <v>25.173400000000001</v>
      </c>
      <c r="G91" s="394">
        <v>0.40300000000000002</v>
      </c>
      <c r="H91" s="394">
        <v>0.6502</v>
      </c>
      <c r="I91" s="394">
        <v>21.857299999999999</v>
      </c>
      <c r="J91" s="394">
        <v>0</v>
      </c>
      <c r="K91" s="394">
        <v>2.5008000000000004</v>
      </c>
      <c r="L91" s="394">
        <v>16.717599999999997</v>
      </c>
      <c r="M91" s="430">
        <f>SUM(F91:L91,E91)</f>
        <v>67.307442500000008</v>
      </c>
      <c r="N91" s="376"/>
    </row>
    <row r="92" spans="2:14" ht="15.6" hidden="1">
      <c r="B92" s="433"/>
      <c r="C92" s="429"/>
      <c r="D92" s="429"/>
      <c r="E92" s="430"/>
      <c r="F92" s="429"/>
      <c r="G92" s="429"/>
      <c r="H92" s="429"/>
      <c r="I92" s="429"/>
      <c r="J92" s="429"/>
      <c r="K92" s="408"/>
      <c r="L92" s="428"/>
      <c r="M92" s="430"/>
      <c r="N92" s="376"/>
    </row>
    <row r="93" spans="2:14" ht="15.6" hidden="1">
      <c r="B93" s="433" t="s">
        <v>11</v>
      </c>
      <c r="C93" s="394">
        <v>0.96320000000000006</v>
      </c>
      <c r="D93" s="394">
        <v>4.0670000000000002</v>
      </c>
      <c r="E93" s="394">
        <f>(SUM(C93:D93))/1000</f>
        <v>5.0302000000000003E-3</v>
      </c>
      <c r="F93" s="394">
        <v>28.894500000000001</v>
      </c>
      <c r="G93" s="394">
        <v>0.52190000000000003</v>
      </c>
      <c r="H93" s="394">
        <v>-1.3982999999999999</v>
      </c>
      <c r="I93" s="394">
        <v>19.717500000000001</v>
      </c>
      <c r="J93" s="394">
        <v>0</v>
      </c>
      <c r="K93" s="394">
        <v>1.5387999999999999</v>
      </c>
      <c r="L93" s="394">
        <v>17.247299999999999</v>
      </c>
      <c r="M93" s="430">
        <f>SUM(F93:L93,E93)</f>
        <v>66.526730200000003</v>
      </c>
      <c r="N93" s="376"/>
    </row>
    <row r="94" spans="2:14" ht="15.6" hidden="1">
      <c r="B94" s="433"/>
      <c r="C94" s="429"/>
      <c r="D94" s="429"/>
      <c r="E94" s="430"/>
      <c r="F94" s="429"/>
      <c r="G94" s="429"/>
      <c r="H94" s="429"/>
      <c r="I94" s="429"/>
      <c r="J94" s="429"/>
      <c r="K94" s="408"/>
      <c r="L94" s="428"/>
      <c r="M94" s="430"/>
      <c r="N94" s="376"/>
    </row>
    <row r="95" spans="2:14" ht="15.6" hidden="1">
      <c r="B95" s="433" t="s">
        <v>337</v>
      </c>
      <c r="C95" s="394">
        <v>1.0884</v>
      </c>
      <c r="D95" s="394">
        <v>3.9948999999999999</v>
      </c>
      <c r="E95" s="394">
        <f>(SUM(C95:D95))/1000</f>
        <v>5.0832999999999998E-3</v>
      </c>
      <c r="F95" s="394">
        <v>21.931000000000001</v>
      </c>
      <c r="G95" s="394">
        <v>0.52190000000000003</v>
      </c>
      <c r="H95" s="394">
        <v>7.0644999999999998</v>
      </c>
      <c r="I95" s="394">
        <v>24.764099999999999</v>
      </c>
      <c r="J95" s="394">
        <v>0</v>
      </c>
      <c r="K95" s="394">
        <v>1.5387999999999999</v>
      </c>
      <c r="L95" s="394">
        <v>11.566700000000001</v>
      </c>
      <c r="M95" s="430">
        <f>SUM(F95:L95,E95)</f>
        <v>67.392083299999996</v>
      </c>
      <c r="N95" s="376"/>
    </row>
    <row r="96" spans="2:14" ht="15.6" hidden="1">
      <c r="B96" s="433"/>
      <c r="C96" s="429"/>
      <c r="D96" s="429"/>
      <c r="E96" s="430"/>
      <c r="F96" s="429"/>
      <c r="G96" s="429"/>
      <c r="H96" s="429"/>
      <c r="I96" s="429"/>
      <c r="J96" s="429"/>
      <c r="K96" s="408"/>
      <c r="L96" s="428"/>
      <c r="M96" s="430"/>
      <c r="N96" s="376"/>
    </row>
    <row r="97" spans="2:14" ht="15.6" hidden="1">
      <c r="B97" s="433" t="s">
        <v>346</v>
      </c>
      <c r="C97" s="394">
        <v>0.79389999999999994</v>
      </c>
      <c r="D97" s="394">
        <v>3.8244000000000002</v>
      </c>
      <c r="E97" s="394">
        <f>(SUM(C97:D97))/1000</f>
        <v>4.6183000000000005E-3</v>
      </c>
      <c r="F97" s="394">
        <v>27.8978</v>
      </c>
      <c r="G97" s="394">
        <v>0.52190000000000003</v>
      </c>
      <c r="H97" s="394">
        <v>-2.3344</v>
      </c>
      <c r="I97" s="394">
        <v>27.3232</v>
      </c>
      <c r="J97" s="394">
        <v>0</v>
      </c>
      <c r="K97" s="394">
        <v>1.5387999999999999</v>
      </c>
      <c r="L97" s="394">
        <v>20.607299999999999</v>
      </c>
      <c r="M97" s="430">
        <f>SUM(F97:L97,E97)</f>
        <v>75.559218300000012</v>
      </c>
      <c r="N97" s="376"/>
    </row>
    <row r="98" spans="2:14" ht="15.6" hidden="1">
      <c r="B98" s="433"/>
      <c r="C98" s="429"/>
      <c r="D98" s="429"/>
      <c r="E98" s="430"/>
      <c r="F98" s="429"/>
      <c r="G98" s="429"/>
      <c r="H98" s="429"/>
      <c r="I98" s="429"/>
      <c r="J98" s="429"/>
      <c r="K98" s="408"/>
      <c r="L98" s="428"/>
      <c r="M98" s="430"/>
      <c r="N98" s="376"/>
    </row>
    <row r="99" spans="2:14" ht="15.6" hidden="1">
      <c r="B99" s="433" t="s">
        <v>347</v>
      </c>
      <c r="C99" s="394">
        <v>0.94840000000000002</v>
      </c>
      <c r="D99" s="394">
        <v>3.6718999999999999</v>
      </c>
      <c r="E99" s="394">
        <f>(SUM(C99:D99))/1000</f>
        <v>4.6202999999999999E-3</v>
      </c>
      <c r="F99" s="394">
        <v>34.4587</v>
      </c>
      <c r="G99" s="394">
        <v>0.52190000000000003</v>
      </c>
      <c r="H99" s="394">
        <v>5.0900000000000001E-2</v>
      </c>
      <c r="I99" s="394">
        <v>23.5259</v>
      </c>
      <c r="J99" s="394">
        <v>0</v>
      </c>
      <c r="K99" s="394">
        <v>1.7213000000000001</v>
      </c>
      <c r="L99" s="394">
        <v>24.268599999999999</v>
      </c>
      <c r="M99" s="430">
        <f>SUM(F99:L99,E99)</f>
        <v>84.551920300000006</v>
      </c>
      <c r="N99" s="376"/>
    </row>
    <row r="100" spans="2:14" ht="15.6" hidden="1">
      <c r="B100" s="433"/>
      <c r="C100" s="429"/>
      <c r="D100" s="429"/>
      <c r="E100" s="430"/>
      <c r="F100" s="429"/>
      <c r="G100" s="429"/>
      <c r="H100" s="429"/>
      <c r="I100" s="429"/>
      <c r="J100" s="429"/>
      <c r="K100" s="408"/>
      <c r="L100" s="428"/>
      <c r="M100" s="430"/>
      <c r="N100" s="376"/>
    </row>
    <row r="101" spans="2:14" ht="15.6" hidden="1">
      <c r="B101" s="433" t="s">
        <v>12</v>
      </c>
      <c r="C101" s="394">
        <v>0.96610000000000007</v>
      </c>
      <c r="D101" s="394">
        <v>4.4666999999999994</v>
      </c>
      <c r="E101" s="394">
        <f>(SUM(C101:D101))/1000</f>
        <v>5.4327999999999998E-3</v>
      </c>
      <c r="F101" s="394">
        <v>34.891400000000004</v>
      </c>
      <c r="G101" s="394">
        <v>0.52190000000000003</v>
      </c>
      <c r="H101" s="394">
        <v>-4.4398999999999997</v>
      </c>
      <c r="I101" s="394">
        <v>32.124299999999998</v>
      </c>
      <c r="J101" s="394">
        <v>0</v>
      </c>
      <c r="K101" s="394">
        <v>1.7213000000000001</v>
      </c>
      <c r="L101" s="394">
        <v>39.573800000000006</v>
      </c>
      <c r="M101" s="430">
        <f>SUM(F101:L101,E101)</f>
        <v>104.3982328</v>
      </c>
      <c r="N101" s="376"/>
    </row>
    <row r="102" spans="2:14" ht="15.6" hidden="1">
      <c r="B102" s="433"/>
      <c r="C102" s="429"/>
      <c r="D102" s="429"/>
      <c r="E102" s="430"/>
      <c r="F102" s="429"/>
      <c r="G102" s="429"/>
      <c r="H102" s="429"/>
      <c r="I102" s="429"/>
      <c r="J102" s="429"/>
      <c r="K102" s="408"/>
      <c r="L102" s="428"/>
      <c r="M102" s="430"/>
      <c r="N102" s="376"/>
    </row>
    <row r="103" spans="2:14" ht="15.6" hidden="1">
      <c r="B103" s="433" t="s">
        <v>13</v>
      </c>
      <c r="C103" s="394">
        <v>0.87020000000000008</v>
      </c>
      <c r="D103" s="394">
        <v>4.7836000000000007</v>
      </c>
      <c r="E103" s="394">
        <f>(SUM(C103:D103))/1000</f>
        <v>5.6538000000000005E-3</v>
      </c>
      <c r="F103" s="394">
        <v>42.962699999999998</v>
      </c>
      <c r="G103" s="394">
        <v>0.52190000000000003</v>
      </c>
      <c r="H103" s="394">
        <v>-4.0842000000000001</v>
      </c>
      <c r="I103" s="394">
        <v>24.212499999999999</v>
      </c>
      <c r="J103" s="394">
        <v>0</v>
      </c>
      <c r="K103" s="394">
        <v>1.7213000000000001</v>
      </c>
      <c r="L103" s="394">
        <v>54.922599999999996</v>
      </c>
      <c r="M103" s="430">
        <f>SUM(F103:L103,E103)</f>
        <v>120.2624538</v>
      </c>
      <c r="N103" s="376"/>
    </row>
    <row r="104" spans="2:14" ht="15.6" hidden="1">
      <c r="B104" s="433"/>
      <c r="C104" s="429"/>
      <c r="D104" s="429"/>
      <c r="E104" s="430"/>
      <c r="F104" s="429"/>
      <c r="G104" s="429"/>
      <c r="H104" s="429"/>
      <c r="I104" s="429"/>
      <c r="J104" s="429"/>
      <c r="K104" s="408"/>
      <c r="L104" s="428"/>
      <c r="M104" s="430"/>
      <c r="N104" s="376"/>
    </row>
    <row r="105" spans="2:14" ht="15.6" hidden="1">
      <c r="B105" s="433" t="s">
        <v>14</v>
      </c>
      <c r="C105" s="394">
        <v>0.84670000000000001</v>
      </c>
      <c r="D105" s="394">
        <v>6.6242000000000001</v>
      </c>
      <c r="E105" s="394">
        <f>(SUM(C105:D105))/1000</f>
        <v>7.4708999999999999E-3</v>
      </c>
      <c r="F105" s="394">
        <v>43.758400000000002</v>
      </c>
      <c r="G105" s="394">
        <v>0.52190000000000003</v>
      </c>
      <c r="H105" s="394">
        <v>-4.2927</v>
      </c>
      <c r="I105" s="394">
        <v>23.860599999999998</v>
      </c>
      <c r="J105" s="394">
        <v>0</v>
      </c>
      <c r="K105" s="394">
        <v>1.7213000000000001</v>
      </c>
      <c r="L105" s="394">
        <v>70.605699999999999</v>
      </c>
      <c r="M105" s="430">
        <f>SUM(F105:L105,E105)</f>
        <v>136.18267090000001</v>
      </c>
      <c r="N105" s="376"/>
    </row>
    <row r="106" spans="2:14" ht="15.6" hidden="1">
      <c r="B106" s="433"/>
      <c r="C106" s="429"/>
      <c r="D106" s="429"/>
      <c r="E106" s="430"/>
      <c r="F106" s="429"/>
      <c r="G106" s="429"/>
      <c r="H106" s="429"/>
      <c r="I106" s="429"/>
      <c r="J106" s="429"/>
      <c r="K106" s="408"/>
      <c r="L106" s="428"/>
      <c r="M106" s="430"/>
      <c r="N106" s="376"/>
    </row>
    <row r="107" spans="2:14" ht="15.6" hidden="1">
      <c r="B107" s="433" t="s">
        <v>15</v>
      </c>
      <c r="C107" s="394">
        <v>0.85060000000000002</v>
      </c>
      <c r="D107" s="394">
        <v>5.7443999999999997</v>
      </c>
      <c r="E107" s="394">
        <f>(SUM(C107:D107))/1000</f>
        <v>6.5950000000000002E-3</v>
      </c>
      <c r="F107" s="394">
        <v>62.255300000000005</v>
      </c>
      <c r="G107" s="394">
        <v>0.52190000000000003</v>
      </c>
      <c r="H107" s="394">
        <v>-16.100300000000001</v>
      </c>
      <c r="I107" s="394">
        <v>43.416400000000003</v>
      </c>
      <c r="J107" s="394">
        <v>0</v>
      </c>
      <c r="K107" s="394">
        <v>1.7213000000000001</v>
      </c>
      <c r="L107" s="394">
        <v>63.908999999999999</v>
      </c>
      <c r="M107" s="430">
        <f>SUM(F107:L107,E107)</f>
        <v>155.73019500000001</v>
      </c>
      <c r="N107" s="376"/>
    </row>
    <row r="108" spans="2:14" ht="15.6" hidden="1">
      <c r="B108" s="433"/>
      <c r="C108" s="429"/>
      <c r="D108" s="429"/>
      <c r="E108" s="430"/>
      <c r="F108" s="429"/>
      <c r="G108" s="429"/>
      <c r="H108" s="429"/>
      <c r="I108" s="429"/>
      <c r="J108" s="429"/>
      <c r="K108" s="408"/>
      <c r="L108" s="428"/>
      <c r="M108" s="430"/>
      <c r="N108" s="376"/>
    </row>
    <row r="109" spans="2:14" ht="15.6" hidden="1">
      <c r="B109" s="433" t="s">
        <v>16</v>
      </c>
      <c r="C109" s="394">
        <v>1.2519</v>
      </c>
      <c r="D109" s="394">
        <v>4.5614999999999997</v>
      </c>
      <c r="E109" s="394">
        <v>5.8133999999999997</v>
      </c>
      <c r="F109" s="394">
        <v>61.868699999999997</v>
      </c>
      <c r="G109" s="394">
        <v>0.52190000000000003</v>
      </c>
      <c r="H109" s="394">
        <v>-9.1629000000000005</v>
      </c>
      <c r="I109" s="394">
        <v>63.874199999999995</v>
      </c>
      <c r="J109" s="394">
        <v>0</v>
      </c>
      <c r="K109" s="394">
        <v>1.7463</v>
      </c>
      <c r="L109" s="394">
        <v>58.191600000000001</v>
      </c>
      <c r="M109" s="430">
        <f>SUM(F109:L109,E109)</f>
        <v>182.85320000000002</v>
      </c>
      <c r="N109" s="376"/>
    </row>
    <row r="110" spans="2:14" ht="15.6" hidden="1">
      <c r="B110" s="433"/>
      <c r="C110" s="429"/>
      <c r="D110" s="429"/>
      <c r="E110" s="430"/>
      <c r="F110" s="429"/>
      <c r="G110" s="429"/>
      <c r="H110" s="429"/>
      <c r="I110" s="429"/>
      <c r="J110" s="429"/>
      <c r="K110" s="408"/>
      <c r="L110" s="428"/>
      <c r="M110" s="430"/>
      <c r="N110" s="376"/>
    </row>
    <row r="111" spans="2:14" ht="15.6" hidden="1">
      <c r="B111" s="464">
        <v>2003</v>
      </c>
      <c r="C111" s="429"/>
      <c r="D111" s="429"/>
      <c r="E111" s="430"/>
      <c r="F111" s="429"/>
      <c r="G111" s="429"/>
      <c r="H111" s="429"/>
      <c r="I111" s="429"/>
      <c r="J111" s="429"/>
      <c r="K111" s="408"/>
      <c r="L111" s="428"/>
      <c r="M111" s="430"/>
      <c r="N111" s="376"/>
    </row>
    <row r="112" spans="2:14" ht="15.6" hidden="1">
      <c r="B112" s="433"/>
      <c r="C112" s="429"/>
      <c r="D112" s="429"/>
      <c r="E112" s="430"/>
      <c r="F112" s="429"/>
      <c r="G112" s="429"/>
      <c r="H112" s="429"/>
      <c r="I112" s="429"/>
      <c r="J112" s="429"/>
      <c r="K112" s="408"/>
      <c r="L112" s="428"/>
      <c r="M112" s="430"/>
      <c r="N112" s="376"/>
    </row>
    <row r="113" spans="2:14" ht="15.6" hidden="1">
      <c r="B113" s="433" t="s">
        <v>8</v>
      </c>
      <c r="C113" s="394">
        <v>1.2519</v>
      </c>
      <c r="D113" s="394">
        <v>4.5653000000000006</v>
      </c>
      <c r="E113" s="394">
        <f>(SUM(C113:D113))/1000</f>
        <v>5.8172000000000007E-3</v>
      </c>
      <c r="F113" s="394">
        <v>70.859700000000004</v>
      </c>
      <c r="G113" s="394">
        <v>0.52190000000000003</v>
      </c>
      <c r="H113" s="394">
        <v>25.6752</v>
      </c>
      <c r="I113" s="394">
        <v>33.317800000000005</v>
      </c>
      <c r="J113" s="394">
        <v>0</v>
      </c>
      <c r="K113" s="394">
        <v>1.7462000000000001E-6</v>
      </c>
      <c r="L113" s="394">
        <v>60.376800000000003</v>
      </c>
      <c r="M113" s="430">
        <f>SUM(F113:L113,E113)</f>
        <v>190.75721894620003</v>
      </c>
      <c r="N113" s="376"/>
    </row>
    <row r="114" spans="2:14" ht="15.6" hidden="1">
      <c r="B114" s="433"/>
      <c r="C114" s="429"/>
      <c r="D114" s="429"/>
      <c r="E114" s="430"/>
      <c r="F114" s="429"/>
      <c r="G114" s="429"/>
      <c r="H114" s="429"/>
      <c r="I114" s="429"/>
      <c r="J114" s="429"/>
      <c r="K114" s="408"/>
      <c r="L114" s="428"/>
      <c r="M114" s="430"/>
      <c r="N114" s="376"/>
    </row>
    <row r="115" spans="2:14" ht="15.6" hidden="1">
      <c r="B115" s="433" t="s">
        <v>9</v>
      </c>
      <c r="C115" s="394">
        <v>1.2519</v>
      </c>
      <c r="D115" s="394">
        <v>2.8714</v>
      </c>
      <c r="E115" s="394">
        <f>(SUM(C115:D115))/1000</f>
        <v>4.1233000000000007E-3</v>
      </c>
      <c r="F115" s="394">
        <v>75.156800000000004</v>
      </c>
      <c r="G115" s="394">
        <v>0</v>
      </c>
      <c r="H115" s="394">
        <v>28.849</v>
      </c>
      <c r="I115" s="394">
        <v>48.101699999999994</v>
      </c>
      <c r="J115" s="394">
        <v>0</v>
      </c>
      <c r="K115" s="394">
        <v>1.7463</v>
      </c>
      <c r="L115" s="394">
        <v>64.920900000000003</v>
      </c>
      <c r="M115" s="430">
        <f>SUM(F115:L115,E115)</f>
        <v>218.7788233</v>
      </c>
      <c r="N115" s="376"/>
    </row>
    <row r="116" spans="2:14" ht="15.6" hidden="1">
      <c r="B116" s="433"/>
      <c r="C116" s="429"/>
      <c r="D116" s="429"/>
      <c r="E116" s="430"/>
      <c r="F116" s="429"/>
      <c r="G116" s="429"/>
      <c r="H116" s="429"/>
      <c r="I116" s="429"/>
      <c r="J116" s="429"/>
      <c r="K116" s="408"/>
      <c r="L116" s="428"/>
      <c r="M116" s="430"/>
      <c r="N116" s="376"/>
    </row>
    <row r="117" spans="2:14" ht="15.6" hidden="1">
      <c r="B117" s="433" t="s">
        <v>10</v>
      </c>
      <c r="C117" s="394">
        <v>1.1957</v>
      </c>
      <c r="D117" s="394">
        <v>9.7668999999999997</v>
      </c>
      <c r="E117" s="394">
        <f>(SUM(C117:D117))/1000</f>
        <v>1.0962599999999999E-2</v>
      </c>
      <c r="F117" s="394">
        <v>104.55500000000001</v>
      </c>
      <c r="G117" s="394">
        <v>0</v>
      </c>
      <c r="H117" s="394">
        <v>10.631500000000001</v>
      </c>
      <c r="I117" s="394">
        <v>46.081800000000001</v>
      </c>
      <c r="J117" s="394">
        <v>0</v>
      </c>
      <c r="K117" s="394">
        <v>1.7463</v>
      </c>
      <c r="L117" s="394">
        <v>102.41489999999999</v>
      </c>
      <c r="M117" s="430">
        <f>SUM(F117:L117,E117)</f>
        <v>265.44046259999999</v>
      </c>
      <c r="N117" s="376"/>
    </row>
    <row r="118" spans="2:14" ht="15.6" hidden="1">
      <c r="B118" s="433"/>
      <c r="C118" s="429"/>
      <c r="D118" s="429"/>
      <c r="E118" s="430"/>
      <c r="F118" s="429"/>
      <c r="G118" s="429"/>
      <c r="H118" s="429"/>
      <c r="I118" s="429"/>
      <c r="J118" s="429"/>
      <c r="K118" s="408"/>
      <c r="L118" s="428"/>
      <c r="M118" s="430"/>
      <c r="N118" s="376"/>
    </row>
    <row r="119" spans="2:14" ht="15.6" hidden="1">
      <c r="B119" s="433" t="s">
        <v>11</v>
      </c>
      <c r="C119" s="394">
        <v>1.2412999999999998</v>
      </c>
      <c r="D119" s="394">
        <v>61.303199999999997</v>
      </c>
      <c r="E119" s="394">
        <v>62.544499999999999</v>
      </c>
      <c r="F119" s="394">
        <v>98.351900000000001</v>
      </c>
      <c r="G119" s="394">
        <v>0</v>
      </c>
      <c r="H119" s="394">
        <v>26.205599999999997</v>
      </c>
      <c r="I119" s="394">
        <v>40.543900000000001</v>
      </c>
      <c r="J119" s="394">
        <v>0</v>
      </c>
      <c r="K119" s="394">
        <v>1.7463</v>
      </c>
      <c r="L119" s="394">
        <v>208.98060000000001</v>
      </c>
      <c r="M119" s="430">
        <f>SUM(F119:L119,E119)</f>
        <v>438.37279999999998</v>
      </c>
      <c r="N119" s="376"/>
    </row>
    <row r="120" spans="2:14" ht="15.6" hidden="1">
      <c r="B120" s="433"/>
      <c r="C120" s="429"/>
      <c r="D120" s="429"/>
      <c r="E120" s="430"/>
      <c r="F120" s="429"/>
      <c r="G120" s="429"/>
      <c r="H120" s="429"/>
      <c r="I120" s="429"/>
      <c r="J120" s="429"/>
      <c r="K120" s="408"/>
      <c r="L120" s="428"/>
      <c r="M120" s="430"/>
      <c r="N120" s="376"/>
    </row>
    <row r="121" spans="2:14" ht="15.6" hidden="1">
      <c r="B121" s="433" t="s">
        <v>337</v>
      </c>
      <c r="C121" s="394">
        <v>-0.99509999999999998</v>
      </c>
      <c r="D121" s="394">
        <v>57.112400000000001</v>
      </c>
      <c r="E121" s="394">
        <v>58.107500000000002</v>
      </c>
      <c r="F121" s="394">
        <v>185.584</v>
      </c>
      <c r="G121" s="394">
        <v>0</v>
      </c>
      <c r="H121" s="394">
        <v>13.263999999999999</v>
      </c>
      <c r="I121" s="394">
        <v>37.423999999999999</v>
      </c>
      <c r="J121" s="394">
        <v>0</v>
      </c>
      <c r="K121" s="394">
        <v>1.7463</v>
      </c>
      <c r="L121" s="394">
        <v>219.02770000000001</v>
      </c>
      <c r="M121" s="430">
        <f>SUM(F121:L121,E121)</f>
        <v>515.15350000000001</v>
      </c>
      <c r="N121" s="376"/>
    </row>
    <row r="122" spans="2:14" ht="15.6" hidden="1">
      <c r="B122" s="433"/>
      <c r="C122" s="429"/>
      <c r="D122" s="429"/>
      <c r="E122" s="430"/>
      <c r="F122" s="429"/>
      <c r="G122" s="429"/>
      <c r="H122" s="429"/>
      <c r="I122" s="429"/>
      <c r="J122" s="429"/>
      <c r="K122" s="408"/>
      <c r="L122" s="428"/>
      <c r="M122" s="430"/>
      <c r="N122" s="376"/>
    </row>
    <row r="123" spans="2:14" ht="15.6" hidden="1">
      <c r="B123" s="433" t="s">
        <v>346</v>
      </c>
      <c r="C123" s="394">
        <v>17.468599999999999</v>
      </c>
      <c r="D123" s="394">
        <v>58.776900000000005</v>
      </c>
      <c r="E123" s="394">
        <v>76.445499999999996</v>
      </c>
      <c r="F123" s="394">
        <v>200.4606</v>
      </c>
      <c r="G123" s="394">
        <v>0</v>
      </c>
      <c r="H123" s="394">
        <v>9.6159999999999997</v>
      </c>
      <c r="I123" s="394">
        <v>43.122</v>
      </c>
      <c r="J123" s="394">
        <v>0</v>
      </c>
      <c r="K123" s="394">
        <v>5.7462999999999997</v>
      </c>
      <c r="L123" s="394">
        <v>233.7825</v>
      </c>
      <c r="M123" s="430">
        <f>SUM(F123:L123,E123)</f>
        <v>569.17290000000003</v>
      </c>
      <c r="N123" s="376"/>
    </row>
    <row r="124" spans="2:14" ht="15.6" hidden="1">
      <c r="B124" s="433"/>
      <c r="C124" s="429"/>
      <c r="D124" s="429"/>
      <c r="E124" s="430"/>
      <c r="F124" s="429"/>
      <c r="G124" s="429"/>
      <c r="H124" s="429"/>
      <c r="I124" s="429"/>
      <c r="J124" s="429"/>
      <c r="K124" s="408"/>
      <c r="L124" s="428"/>
      <c r="M124" s="430"/>
      <c r="N124" s="376"/>
    </row>
    <row r="125" spans="2:14" ht="15.6" hidden="1">
      <c r="B125" s="464">
        <v>2003</v>
      </c>
      <c r="C125" s="429"/>
      <c r="D125" s="429"/>
      <c r="E125" s="430"/>
      <c r="F125" s="429"/>
      <c r="G125" s="429"/>
      <c r="H125" s="429"/>
      <c r="I125" s="429"/>
      <c r="J125" s="429"/>
      <c r="K125" s="408"/>
      <c r="L125" s="428"/>
      <c r="M125" s="430"/>
      <c r="N125" s="376"/>
    </row>
    <row r="126" spans="2:14" ht="15.6" hidden="1">
      <c r="B126" s="433"/>
      <c r="C126" s="429"/>
      <c r="D126" s="429"/>
      <c r="E126" s="430"/>
      <c r="F126" s="429"/>
      <c r="G126" s="429"/>
      <c r="H126" s="429"/>
      <c r="I126" s="429"/>
      <c r="J126" s="429"/>
      <c r="K126" s="408"/>
      <c r="L126" s="428"/>
      <c r="M126" s="430"/>
      <c r="N126" s="376"/>
    </row>
    <row r="127" spans="2:14" ht="15.6" hidden="1">
      <c r="B127" s="433" t="s">
        <v>347</v>
      </c>
      <c r="C127" s="394">
        <v>15.5199</v>
      </c>
      <c r="D127" s="394">
        <v>52.438900000000004</v>
      </c>
      <c r="E127" s="394">
        <v>67.958799999999997</v>
      </c>
      <c r="F127" s="394">
        <v>211.16929999999999</v>
      </c>
      <c r="G127" s="394">
        <v>0</v>
      </c>
      <c r="H127" s="394">
        <v>-12.468</v>
      </c>
      <c r="I127" s="394">
        <v>48.1145</v>
      </c>
      <c r="J127" s="394">
        <v>0</v>
      </c>
      <c r="K127" s="394">
        <v>5.7462999999999997</v>
      </c>
      <c r="L127" s="394">
        <v>260.50709999999998</v>
      </c>
      <c r="M127" s="430">
        <f>SUM(F127:L127,E127)</f>
        <v>581.02799999999991</v>
      </c>
      <c r="N127" s="376"/>
    </row>
    <row r="128" spans="2:14" ht="15.6" hidden="1">
      <c r="B128" s="433"/>
      <c r="C128" s="429"/>
      <c r="D128" s="429"/>
      <c r="E128" s="430"/>
      <c r="F128" s="429"/>
      <c r="G128" s="429"/>
      <c r="H128" s="429"/>
      <c r="I128" s="429"/>
      <c r="J128" s="429"/>
      <c r="K128" s="408"/>
      <c r="L128" s="428"/>
      <c r="M128" s="430"/>
      <c r="N128" s="376"/>
    </row>
    <row r="129" spans="2:14" ht="15.6" hidden="1">
      <c r="B129" s="433" t="s">
        <v>12</v>
      </c>
      <c r="C129" s="394">
        <v>14.417399999999999</v>
      </c>
      <c r="D129" s="394">
        <v>60.134800000000006</v>
      </c>
      <c r="E129" s="394">
        <v>74.552199999999999</v>
      </c>
      <c r="F129" s="394">
        <v>211.13670000000002</v>
      </c>
      <c r="G129" s="394">
        <v>0</v>
      </c>
      <c r="H129" s="394">
        <v>-17.663</v>
      </c>
      <c r="I129" s="394">
        <v>95.986999999999995</v>
      </c>
      <c r="J129" s="394">
        <v>0</v>
      </c>
      <c r="K129" s="394">
        <v>5.7462999999999997</v>
      </c>
      <c r="L129" s="394">
        <v>288.24650000000003</v>
      </c>
      <c r="M129" s="430">
        <f>SUM(F129:L129,E129)</f>
        <v>658.00570000000005</v>
      </c>
      <c r="N129" s="376"/>
    </row>
    <row r="130" spans="2:14" ht="15.6" hidden="1">
      <c r="B130" s="433"/>
      <c r="C130" s="429"/>
      <c r="D130" s="429"/>
      <c r="E130" s="430"/>
      <c r="F130" s="429"/>
      <c r="G130" s="429"/>
      <c r="H130" s="429"/>
      <c r="I130" s="429"/>
      <c r="J130" s="429"/>
      <c r="K130" s="408"/>
      <c r="L130" s="428"/>
      <c r="M130" s="430"/>
      <c r="N130" s="376"/>
    </row>
    <row r="131" spans="2:14" ht="15.6" hidden="1">
      <c r="B131" s="433" t="s">
        <v>13</v>
      </c>
      <c r="C131" s="394">
        <v>16.2743</v>
      </c>
      <c r="D131" s="394">
        <v>58.943199999999997</v>
      </c>
      <c r="E131" s="394">
        <v>75.217500000000001</v>
      </c>
      <c r="F131" s="394">
        <v>276.79559999999998</v>
      </c>
      <c r="G131" s="394">
        <v>0</v>
      </c>
      <c r="H131" s="394">
        <v>20.928699999999999</v>
      </c>
      <c r="I131" s="394">
        <v>139.01439999999999</v>
      </c>
      <c r="J131" s="394">
        <v>0</v>
      </c>
      <c r="K131" s="394">
        <v>5.7213000000000003</v>
      </c>
      <c r="L131" s="394">
        <v>292.04740000000004</v>
      </c>
      <c r="M131" s="430">
        <f>SUM(F131:L131,E131)</f>
        <v>809.72489999999993</v>
      </c>
      <c r="N131" s="376"/>
    </row>
    <row r="132" spans="2:14" ht="15.6" hidden="1">
      <c r="B132" s="433"/>
      <c r="C132" s="429"/>
      <c r="D132" s="429"/>
      <c r="E132" s="430"/>
      <c r="F132" s="429"/>
      <c r="G132" s="429"/>
      <c r="H132" s="429"/>
      <c r="I132" s="429"/>
      <c r="J132" s="429"/>
      <c r="K132" s="408"/>
      <c r="L132" s="428"/>
      <c r="M132" s="430"/>
      <c r="N132" s="376"/>
    </row>
    <row r="133" spans="2:14" ht="15.6" hidden="1">
      <c r="B133" s="433" t="s">
        <v>14</v>
      </c>
      <c r="C133" s="394">
        <v>15.499799999999999</v>
      </c>
      <c r="D133" s="394">
        <v>82.0124</v>
      </c>
      <c r="E133" s="394">
        <v>97.512199999999993</v>
      </c>
      <c r="F133" s="394">
        <v>285.40909999999997</v>
      </c>
      <c r="G133" s="394">
        <v>0</v>
      </c>
      <c r="H133" s="394">
        <v>52.798099999999998</v>
      </c>
      <c r="I133" s="394">
        <v>210.6765</v>
      </c>
      <c r="J133" s="394">
        <v>0</v>
      </c>
      <c r="K133" s="394">
        <v>5.7213000000000003</v>
      </c>
      <c r="L133" s="394">
        <v>306.60829999999999</v>
      </c>
      <c r="M133" s="430">
        <f>SUM(F133:L133,E133)</f>
        <v>958.72550000000001</v>
      </c>
      <c r="N133" s="376"/>
    </row>
    <row r="134" spans="2:14" ht="15.6" hidden="1">
      <c r="B134" s="433"/>
      <c r="C134" s="429"/>
      <c r="D134" s="429"/>
      <c r="E134" s="430"/>
      <c r="F134" s="429"/>
      <c r="G134" s="429"/>
      <c r="H134" s="429"/>
      <c r="I134" s="429"/>
      <c r="J134" s="429"/>
      <c r="K134" s="408"/>
      <c r="L134" s="428"/>
      <c r="M134" s="430"/>
      <c r="N134" s="376"/>
    </row>
    <row r="135" spans="2:14" ht="15.6" hidden="1">
      <c r="B135" s="433" t="s">
        <v>15</v>
      </c>
      <c r="C135" s="394">
        <v>19.216200000000001</v>
      </c>
      <c r="D135" s="394">
        <v>67.990600000000001</v>
      </c>
      <c r="E135" s="394">
        <v>87.206800000000001</v>
      </c>
      <c r="F135" s="394">
        <v>297.21590000000003</v>
      </c>
      <c r="G135" s="394">
        <v>0</v>
      </c>
      <c r="H135" s="394">
        <v>19.778599999999997</v>
      </c>
      <c r="I135" s="394">
        <v>284.63940000000002</v>
      </c>
      <c r="J135" s="394">
        <v>0</v>
      </c>
      <c r="K135" s="394">
        <v>5.7213000000000003</v>
      </c>
      <c r="L135" s="394">
        <v>477.2527</v>
      </c>
      <c r="M135" s="430">
        <f>SUM(F135:L135,E135)</f>
        <v>1171.8146999999999</v>
      </c>
      <c r="N135" s="376"/>
    </row>
    <row r="136" spans="2:14" ht="15.6" hidden="1">
      <c r="B136" s="433"/>
      <c r="C136" s="429"/>
      <c r="D136" s="429"/>
      <c r="E136" s="430"/>
      <c r="F136" s="429"/>
      <c r="G136" s="429"/>
      <c r="H136" s="429"/>
      <c r="I136" s="429"/>
      <c r="J136" s="429"/>
      <c r="K136" s="408"/>
      <c r="L136" s="428"/>
      <c r="M136" s="430"/>
      <c r="N136" s="376"/>
    </row>
    <row r="137" spans="2:14" ht="15.6" hidden="1">
      <c r="B137" s="433" t="s">
        <v>16</v>
      </c>
      <c r="C137" s="394">
        <v>19.2075</v>
      </c>
      <c r="D137" s="394">
        <v>70.282800000000009</v>
      </c>
      <c r="E137" s="394">
        <v>89.490300000000005</v>
      </c>
      <c r="F137" s="394">
        <v>289.70459999999997</v>
      </c>
      <c r="G137" s="394">
        <v>0</v>
      </c>
      <c r="H137" s="394">
        <v>2.2854000000000001</v>
      </c>
      <c r="I137" s="394">
        <v>425.33340000000004</v>
      </c>
      <c r="J137" s="394">
        <v>0</v>
      </c>
      <c r="K137" s="394">
        <v>5.7213000000000003</v>
      </c>
      <c r="L137" s="394">
        <v>379.19590000000005</v>
      </c>
      <c r="M137" s="430">
        <f>SUM(F137:L137,E137)</f>
        <v>1191.7309</v>
      </c>
      <c r="N137" s="376"/>
    </row>
    <row r="138" spans="2:14" ht="15.6" hidden="1">
      <c r="B138" s="433"/>
      <c r="C138" s="429"/>
      <c r="D138" s="429"/>
      <c r="E138" s="430"/>
      <c r="F138" s="429"/>
      <c r="G138" s="429"/>
      <c r="H138" s="429"/>
      <c r="I138" s="429"/>
      <c r="J138" s="429"/>
      <c r="K138" s="408"/>
      <c r="L138" s="428"/>
      <c r="M138" s="430"/>
      <c r="N138" s="376"/>
    </row>
    <row r="139" spans="2:14" ht="15.6" hidden="1">
      <c r="B139" s="464">
        <v>2004</v>
      </c>
      <c r="C139" s="429"/>
      <c r="D139" s="429"/>
      <c r="E139" s="430"/>
      <c r="F139" s="429"/>
      <c r="G139" s="429"/>
      <c r="H139" s="429"/>
      <c r="I139" s="429"/>
      <c r="J139" s="429"/>
      <c r="K139" s="408"/>
      <c r="L139" s="428"/>
      <c r="M139" s="430"/>
      <c r="N139" s="376"/>
    </row>
    <row r="140" spans="2:14" ht="15.6" hidden="1">
      <c r="B140" s="386"/>
      <c r="C140" s="394"/>
      <c r="D140" s="394"/>
      <c r="E140" s="350"/>
      <c r="F140" s="394"/>
      <c r="G140" s="394"/>
      <c r="H140" s="394"/>
      <c r="I140" s="394"/>
      <c r="J140" s="394"/>
      <c r="K140" s="394"/>
      <c r="L140" s="428"/>
      <c r="M140" s="430"/>
      <c r="N140" s="376"/>
    </row>
    <row r="141" spans="2:14" ht="15.6" hidden="1">
      <c r="B141" s="386" t="s">
        <v>8</v>
      </c>
      <c r="C141" s="394">
        <v>3.5289999999999999</v>
      </c>
      <c r="D141" s="394">
        <v>115.79939999999999</v>
      </c>
      <c r="E141" s="394">
        <v>119.32839999999999</v>
      </c>
      <c r="F141" s="394">
        <v>305.97909999999996</v>
      </c>
      <c r="G141" s="394">
        <v>0</v>
      </c>
      <c r="H141" s="394">
        <v>-122.68010000000001</v>
      </c>
      <c r="I141" s="394">
        <v>909.07719999999995</v>
      </c>
      <c r="J141" s="394">
        <v>0</v>
      </c>
      <c r="K141" s="394">
        <v>5.7213000000000003</v>
      </c>
      <c r="L141" s="394">
        <v>823.50869999999998</v>
      </c>
      <c r="M141" s="430">
        <f>SUM(F141:L141,E141)</f>
        <v>2040.9345999999996</v>
      </c>
      <c r="N141" s="376"/>
    </row>
    <row r="142" spans="2:14" ht="15.6" hidden="1">
      <c r="B142" s="386"/>
      <c r="C142" s="394"/>
      <c r="D142" s="394"/>
      <c r="E142" s="350"/>
      <c r="F142" s="394"/>
      <c r="G142" s="394"/>
      <c r="H142" s="394"/>
      <c r="I142" s="394"/>
      <c r="J142" s="394"/>
      <c r="K142" s="394"/>
      <c r="L142" s="428"/>
      <c r="M142" s="430"/>
      <c r="N142" s="376"/>
    </row>
    <row r="143" spans="2:14" ht="15.6" hidden="1">
      <c r="B143" s="386" t="s">
        <v>9</v>
      </c>
      <c r="C143" s="394">
        <v>3.5341</v>
      </c>
      <c r="D143" s="394">
        <v>399.6336</v>
      </c>
      <c r="E143" s="394">
        <v>403.16770000000002</v>
      </c>
      <c r="F143" s="394">
        <v>301.38040000000001</v>
      </c>
      <c r="G143" s="394">
        <v>0</v>
      </c>
      <c r="H143" s="394">
        <v>-409.0917</v>
      </c>
      <c r="I143" s="394">
        <v>1420.741</v>
      </c>
      <c r="J143" s="394">
        <v>0</v>
      </c>
      <c r="K143" s="394">
        <v>5.7213000000000003</v>
      </c>
      <c r="L143" s="394">
        <v>1125.0611000000001</v>
      </c>
      <c r="M143" s="430">
        <f>SUM(F143:L143,E143)</f>
        <v>2846.9798000000001</v>
      </c>
      <c r="N143" s="376"/>
    </row>
    <row r="144" spans="2:14" ht="15.6" hidden="1">
      <c r="B144" s="386"/>
      <c r="C144" s="394"/>
      <c r="D144" s="394"/>
      <c r="E144" s="350"/>
      <c r="F144" s="394"/>
      <c r="G144" s="394"/>
      <c r="H144" s="394"/>
      <c r="I144" s="394"/>
      <c r="J144" s="394"/>
      <c r="K144" s="394"/>
      <c r="L144" s="428"/>
      <c r="M144" s="430"/>
      <c r="N144" s="376"/>
    </row>
    <row r="145" spans="2:14" ht="15.6" hidden="1">
      <c r="B145" s="386" t="s">
        <v>10</v>
      </c>
      <c r="C145" s="394">
        <v>4.5983000000000001</v>
      </c>
      <c r="D145" s="394">
        <v>724.63699999999994</v>
      </c>
      <c r="E145" s="394">
        <v>729.23530000000005</v>
      </c>
      <c r="F145" s="394">
        <v>295.73759999999999</v>
      </c>
      <c r="G145" s="394">
        <v>0</v>
      </c>
      <c r="H145" s="394">
        <v>-355.24549999999999</v>
      </c>
      <c r="I145" s="394">
        <v>1992.9268999999999</v>
      </c>
      <c r="J145" s="394">
        <v>0</v>
      </c>
      <c r="K145" s="394">
        <v>5.7213000000000003</v>
      </c>
      <c r="L145" s="394">
        <v>1306.2336</v>
      </c>
      <c r="M145" s="430">
        <f>SUM(F145:L145,E145)</f>
        <v>3974.6091999999999</v>
      </c>
      <c r="N145" s="376"/>
    </row>
    <row r="146" spans="2:14" ht="15.6" hidden="1">
      <c r="B146" s="386"/>
      <c r="C146" s="394"/>
      <c r="D146" s="394"/>
      <c r="E146" s="350"/>
      <c r="F146" s="394"/>
      <c r="G146" s="394"/>
      <c r="H146" s="394"/>
      <c r="I146" s="394"/>
      <c r="J146" s="394"/>
      <c r="K146" s="394"/>
      <c r="L146" s="428"/>
      <c r="M146" s="430"/>
      <c r="N146" s="376"/>
    </row>
    <row r="147" spans="2:14" ht="15.6" hidden="1">
      <c r="B147" s="386" t="s">
        <v>11</v>
      </c>
      <c r="C147" s="394">
        <v>38.927599999999998</v>
      </c>
      <c r="D147" s="394">
        <v>875.64119999999991</v>
      </c>
      <c r="E147" s="394">
        <v>914.56880000000001</v>
      </c>
      <c r="F147" s="394">
        <v>265.81140000000005</v>
      </c>
      <c r="G147" s="394">
        <v>0</v>
      </c>
      <c r="H147" s="394">
        <v>62.831900000000005</v>
      </c>
      <c r="I147" s="394">
        <v>2525.3344999999999</v>
      </c>
      <c r="J147" s="394">
        <v>0</v>
      </c>
      <c r="K147" s="394">
        <v>5.7213000000000003</v>
      </c>
      <c r="L147" s="394">
        <v>1487.2750000000001</v>
      </c>
      <c r="M147" s="430">
        <f>SUM(F147:L147,E147)</f>
        <v>5261.5429000000004</v>
      </c>
      <c r="N147" s="376"/>
    </row>
    <row r="148" spans="2:14" ht="15.6" hidden="1">
      <c r="B148" s="386"/>
      <c r="C148" s="394"/>
      <c r="D148" s="394"/>
      <c r="E148" s="350"/>
      <c r="F148" s="394"/>
      <c r="G148" s="394"/>
      <c r="H148" s="394"/>
      <c r="I148" s="394"/>
      <c r="J148" s="394"/>
      <c r="K148" s="394"/>
      <c r="L148" s="428"/>
      <c r="M148" s="430"/>
      <c r="N148" s="376"/>
    </row>
    <row r="149" spans="2:14" ht="15.6" hidden="1">
      <c r="B149" s="386" t="s">
        <v>337</v>
      </c>
      <c r="C149" s="394">
        <v>38.927599999999998</v>
      </c>
      <c r="D149" s="394">
        <v>803.38519999999994</v>
      </c>
      <c r="E149" s="394">
        <v>842.31280000000004</v>
      </c>
      <c r="F149" s="394">
        <v>187.86840000000001</v>
      </c>
      <c r="G149" s="394">
        <v>0</v>
      </c>
      <c r="H149" s="394">
        <v>-169.37090000000001</v>
      </c>
      <c r="I149" s="394">
        <v>2823.6382000000003</v>
      </c>
      <c r="J149" s="394">
        <v>0</v>
      </c>
      <c r="K149" s="394">
        <v>22.106300000000001</v>
      </c>
      <c r="L149" s="394">
        <v>1985.1321</v>
      </c>
      <c r="M149" s="430">
        <f>SUM(F149:L149,E149)</f>
        <v>5691.6868999999997</v>
      </c>
      <c r="N149" s="376"/>
    </row>
    <row r="150" spans="2:14" ht="15.6" hidden="1">
      <c r="B150" s="386"/>
      <c r="C150" s="394"/>
      <c r="D150" s="394"/>
      <c r="E150" s="350"/>
      <c r="F150" s="394"/>
      <c r="G150" s="394"/>
      <c r="H150" s="394"/>
      <c r="I150" s="394"/>
      <c r="J150" s="394"/>
      <c r="K150" s="394"/>
      <c r="L150" s="428"/>
      <c r="M150" s="430"/>
      <c r="N150" s="376"/>
    </row>
    <row r="151" spans="2:14" ht="15.6" hidden="1">
      <c r="B151" s="386" t="s">
        <v>346</v>
      </c>
      <c r="C151" s="394">
        <v>165.60290000000001</v>
      </c>
      <c r="D151" s="394">
        <v>792.96940000000006</v>
      </c>
      <c r="E151" s="394">
        <v>958.57230000000004</v>
      </c>
      <c r="F151" s="394">
        <v>623.00509999999997</v>
      </c>
      <c r="G151" s="394">
        <v>0</v>
      </c>
      <c r="H151" s="394">
        <v>-300.32279999999997</v>
      </c>
      <c r="I151" s="394">
        <v>4027.0619999999999</v>
      </c>
      <c r="J151" s="394">
        <v>0</v>
      </c>
      <c r="K151" s="394">
        <v>22.106300000000001</v>
      </c>
      <c r="L151" s="394">
        <v>2836.0364</v>
      </c>
      <c r="M151" s="430">
        <f>SUM(F151:L151,E151)</f>
        <v>8166.4593000000004</v>
      </c>
      <c r="N151" s="376"/>
    </row>
    <row r="152" spans="2:14" ht="15.6" hidden="1">
      <c r="B152" s="386"/>
      <c r="C152" s="394"/>
      <c r="D152" s="394"/>
      <c r="E152" s="350"/>
      <c r="F152" s="394"/>
      <c r="G152" s="394"/>
      <c r="H152" s="394"/>
      <c r="I152" s="394"/>
      <c r="J152" s="394"/>
      <c r="K152" s="394"/>
      <c r="L152" s="428"/>
      <c r="M152" s="430"/>
      <c r="N152" s="376"/>
    </row>
    <row r="153" spans="2:14" ht="15.6" hidden="1">
      <c r="B153" s="386" t="s">
        <v>347</v>
      </c>
      <c r="C153" s="394">
        <v>56.924500000000002</v>
      </c>
      <c r="D153" s="394">
        <v>1258.4593</v>
      </c>
      <c r="E153" s="394">
        <v>1315.3838000000001</v>
      </c>
      <c r="F153" s="394">
        <v>120.8618</v>
      </c>
      <c r="G153" s="394">
        <v>0</v>
      </c>
      <c r="H153" s="394">
        <v>-568.32359999999994</v>
      </c>
      <c r="I153" s="394">
        <v>1928.3803</v>
      </c>
      <c r="J153" s="394">
        <v>0</v>
      </c>
      <c r="K153" s="394">
        <v>24.206299999999999</v>
      </c>
      <c r="L153" s="394">
        <v>3005.6197999999999</v>
      </c>
      <c r="M153" s="430">
        <f>SUM(F153:L153,E153)</f>
        <v>5826.1283999999996</v>
      </c>
      <c r="N153" s="376"/>
    </row>
    <row r="154" spans="2:14" ht="15.6" hidden="1">
      <c r="B154" s="386"/>
      <c r="C154" s="394"/>
      <c r="D154" s="394"/>
      <c r="E154" s="350"/>
      <c r="F154" s="394"/>
      <c r="G154" s="394"/>
      <c r="H154" s="394"/>
      <c r="I154" s="394"/>
      <c r="J154" s="394"/>
      <c r="K154" s="394"/>
      <c r="L154" s="428"/>
      <c r="M154" s="430"/>
      <c r="N154" s="376"/>
    </row>
    <row r="155" spans="2:14" ht="15.6" hidden="1">
      <c r="B155" s="386" t="s">
        <v>12</v>
      </c>
      <c r="C155" s="394">
        <v>1.0234000000000001</v>
      </c>
      <c r="D155" s="394">
        <v>1537.7645</v>
      </c>
      <c r="E155" s="394">
        <v>1538.7878999999998</v>
      </c>
      <c r="F155" s="394">
        <v>126.0217</v>
      </c>
      <c r="G155" s="394">
        <v>0</v>
      </c>
      <c r="H155" s="394">
        <v>-273.36529999999999</v>
      </c>
      <c r="I155" s="394">
        <v>2098.2685000000001</v>
      </c>
      <c r="J155" s="394">
        <v>0</v>
      </c>
      <c r="K155" s="394">
        <v>24.206299999999999</v>
      </c>
      <c r="L155" s="394">
        <v>3496.1248999999998</v>
      </c>
      <c r="M155" s="430">
        <f>SUM(F155:L155,E155)</f>
        <v>7010.0439999999999</v>
      </c>
      <c r="N155" s="376"/>
    </row>
    <row r="156" spans="2:14" ht="15.6" hidden="1">
      <c r="B156" s="386"/>
      <c r="C156" s="394"/>
      <c r="D156" s="394"/>
      <c r="E156" s="350"/>
      <c r="F156" s="394"/>
      <c r="G156" s="394"/>
      <c r="H156" s="394"/>
      <c r="I156" s="394"/>
      <c r="J156" s="394"/>
      <c r="K156" s="394"/>
      <c r="L156" s="428"/>
      <c r="M156" s="430"/>
      <c r="N156" s="376"/>
    </row>
    <row r="157" spans="2:14" ht="15.6" hidden="1">
      <c r="B157" s="386" t="s">
        <v>13</v>
      </c>
      <c r="C157" s="394">
        <v>159.92099999999999</v>
      </c>
      <c r="D157" s="394">
        <v>1233.8704</v>
      </c>
      <c r="E157" s="394">
        <v>1393.7913999999998</v>
      </c>
      <c r="F157" s="394">
        <v>94.772800000000004</v>
      </c>
      <c r="G157" s="394">
        <v>0</v>
      </c>
      <c r="H157" s="394">
        <v>-312.20159999999998</v>
      </c>
      <c r="I157" s="394">
        <v>2720.0039999999999</v>
      </c>
      <c r="J157" s="394">
        <v>0</v>
      </c>
      <c r="K157" s="394">
        <v>22.223200000000002</v>
      </c>
      <c r="L157" s="394">
        <v>3680.5691000000002</v>
      </c>
      <c r="M157" s="430">
        <f>SUM(F157:L157,E157)</f>
        <v>7599.1589000000004</v>
      </c>
      <c r="N157" s="376"/>
    </row>
    <row r="158" spans="2:14" ht="15.6" hidden="1">
      <c r="B158" s="386"/>
      <c r="C158" s="394"/>
      <c r="D158" s="394"/>
      <c r="E158" s="350"/>
      <c r="F158" s="394"/>
      <c r="G158" s="394"/>
      <c r="H158" s="394"/>
      <c r="I158" s="394"/>
      <c r="J158" s="394"/>
      <c r="K158" s="394"/>
      <c r="L158" s="428"/>
      <c r="M158" s="430"/>
      <c r="N158" s="376"/>
    </row>
    <row r="159" spans="2:14" ht="15.6" hidden="1">
      <c r="B159" s="394" t="s">
        <v>14</v>
      </c>
      <c r="C159" s="394">
        <v>55.847900000000003</v>
      </c>
      <c r="D159" s="394">
        <v>1386.739</v>
      </c>
      <c r="E159" s="394">
        <v>1442.5869</v>
      </c>
      <c r="F159" s="394">
        <v>1055.7519</v>
      </c>
      <c r="G159" s="394">
        <v>0</v>
      </c>
      <c r="H159" s="394">
        <v>-289.75059999999996</v>
      </c>
      <c r="I159" s="394">
        <v>2423.7089000000001</v>
      </c>
      <c r="J159" s="394">
        <v>0</v>
      </c>
      <c r="K159" s="394">
        <v>22.223200000000002</v>
      </c>
      <c r="L159" s="394">
        <v>3109.0906</v>
      </c>
      <c r="M159" s="430">
        <f>SUM(F159:L159,E159)</f>
        <v>7763.6108999999997</v>
      </c>
      <c r="N159" s="376"/>
    </row>
    <row r="160" spans="2:14" ht="15.6" hidden="1">
      <c r="B160" s="386"/>
      <c r="C160" s="394"/>
      <c r="D160" s="394"/>
      <c r="E160" s="350"/>
      <c r="F160" s="394"/>
      <c r="G160" s="394"/>
      <c r="H160" s="394"/>
      <c r="I160" s="394"/>
      <c r="J160" s="394"/>
      <c r="K160" s="394"/>
      <c r="L160" s="428"/>
      <c r="M160" s="430"/>
      <c r="N160" s="376"/>
    </row>
    <row r="161" spans="2:14" ht="15.6" hidden="1">
      <c r="B161" s="386" t="s">
        <v>15</v>
      </c>
      <c r="C161" s="394">
        <v>73.61630000000001</v>
      </c>
      <c r="D161" s="394">
        <v>1485.1379999999999</v>
      </c>
      <c r="E161" s="394">
        <v>1558.7543000000001</v>
      </c>
      <c r="F161" s="394">
        <v>864.85709999999995</v>
      </c>
      <c r="G161" s="394">
        <v>0</v>
      </c>
      <c r="H161" s="394">
        <v>-265.58709999999996</v>
      </c>
      <c r="I161" s="394">
        <v>3262.6673999999998</v>
      </c>
      <c r="J161" s="394">
        <v>0</v>
      </c>
      <c r="K161" s="394">
        <v>22.223200000000002</v>
      </c>
      <c r="L161" s="394">
        <v>5131.1659</v>
      </c>
      <c r="M161" s="430">
        <f>SUM(F161:L161,E161)</f>
        <v>10574.0808</v>
      </c>
      <c r="N161" s="376"/>
    </row>
    <row r="162" spans="2:14" ht="15.6" hidden="1">
      <c r="B162" s="386"/>
      <c r="C162" s="394"/>
      <c r="D162" s="394"/>
      <c r="E162" s="350"/>
      <c r="F162" s="394"/>
      <c r="G162" s="394"/>
      <c r="H162" s="394"/>
      <c r="I162" s="394"/>
      <c r="J162" s="394"/>
      <c r="K162" s="394"/>
      <c r="L162" s="428"/>
      <c r="M162" s="430"/>
      <c r="N162" s="376"/>
    </row>
    <row r="163" spans="2:14" ht="15.6" hidden="1">
      <c r="B163" s="386" t="s">
        <v>16</v>
      </c>
      <c r="C163" s="394">
        <v>119.05889999999999</v>
      </c>
      <c r="D163" s="394">
        <v>1521.9465</v>
      </c>
      <c r="E163" s="394">
        <v>1641.0054</v>
      </c>
      <c r="F163" s="394">
        <v>900.84669999999994</v>
      </c>
      <c r="G163" s="394">
        <v>0</v>
      </c>
      <c r="H163" s="394">
        <v>-393.42609999999996</v>
      </c>
      <c r="I163" s="394">
        <v>3258.3923</v>
      </c>
      <c r="J163" s="394">
        <v>0</v>
      </c>
      <c r="K163" s="394">
        <v>27.026799999999998</v>
      </c>
      <c r="L163" s="394">
        <v>6219.3644000000004</v>
      </c>
      <c r="M163" s="430">
        <f>SUM(F163:L163,E163)</f>
        <v>11653.209500000001</v>
      </c>
      <c r="N163" s="376"/>
    </row>
    <row r="164" spans="2:14" ht="15.6" hidden="1">
      <c r="B164" s="386"/>
      <c r="C164" s="394"/>
      <c r="D164" s="394"/>
      <c r="E164" s="350"/>
      <c r="F164" s="394"/>
      <c r="G164" s="394"/>
      <c r="H164" s="394"/>
      <c r="I164" s="394"/>
      <c r="J164" s="394"/>
      <c r="K164" s="394"/>
      <c r="L164" s="428"/>
      <c r="M164" s="430"/>
      <c r="N164" s="376"/>
    </row>
    <row r="165" spans="2:14" ht="15.6" hidden="1">
      <c r="B165" s="410">
        <v>2005</v>
      </c>
      <c r="C165" s="394"/>
      <c r="D165" s="394"/>
      <c r="E165" s="350"/>
      <c r="F165" s="394"/>
      <c r="G165" s="394"/>
      <c r="H165" s="394"/>
      <c r="I165" s="394"/>
      <c r="J165" s="394"/>
      <c r="K165" s="394"/>
      <c r="L165" s="428"/>
      <c r="M165" s="430"/>
      <c r="N165" s="376"/>
    </row>
    <row r="166" spans="2:14" ht="15.6" hidden="1">
      <c r="B166" s="386"/>
      <c r="C166" s="394"/>
      <c r="D166" s="394"/>
      <c r="E166" s="350"/>
      <c r="F166" s="394"/>
      <c r="G166" s="394"/>
      <c r="H166" s="394"/>
      <c r="I166" s="394"/>
      <c r="J166" s="394"/>
      <c r="K166" s="394"/>
      <c r="L166" s="428"/>
      <c r="M166" s="430"/>
      <c r="N166" s="376"/>
    </row>
    <row r="167" spans="2:14" ht="15.6" hidden="1">
      <c r="B167" s="386" t="s">
        <v>8</v>
      </c>
      <c r="C167" s="394">
        <v>51.282499999999999</v>
      </c>
      <c r="D167" s="394">
        <v>1303.1723</v>
      </c>
      <c r="E167" s="394">
        <f>(SUM(C167:D167))/1000</f>
        <v>1.3544548000000001</v>
      </c>
      <c r="F167" s="394">
        <v>889.5806</v>
      </c>
      <c r="G167" s="394">
        <v>0</v>
      </c>
      <c r="H167" s="394">
        <v>418.49290000000002</v>
      </c>
      <c r="I167" s="394">
        <v>2743.4868999999999</v>
      </c>
      <c r="J167" s="394">
        <v>0</v>
      </c>
      <c r="K167" s="394">
        <v>72.682699999999997</v>
      </c>
      <c r="L167" s="394">
        <v>7306.0120999999999</v>
      </c>
      <c r="M167" s="430">
        <f>SUM(F167:L167,E167)</f>
        <v>11431.6096548</v>
      </c>
      <c r="N167" s="376"/>
    </row>
    <row r="168" spans="2:14" ht="15.6" hidden="1">
      <c r="B168" s="386"/>
      <c r="C168" s="394"/>
      <c r="D168" s="394"/>
      <c r="E168" s="350"/>
      <c r="F168" s="394"/>
      <c r="G168" s="394"/>
      <c r="H168" s="394"/>
      <c r="I168" s="394"/>
      <c r="J168" s="394"/>
      <c r="K168" s="394"/>
      <c r="L168" s="428"/>
      <c r="M168" s="430"/>
      <c r="N168" s="376"/>
    </row>
    <row r="169" spans="2:14" ht="15.6" hidden="1">
      <c r="B169" s="386" t="s">
        <v>9</v>
      </c>
      <c r="C169" s="394">
        <v>44.808999999999997</v>
      </c>
      <c r="D169" s="394">
        <v>1101.1411000000001</v>
      </c>
      <c r="E169" s="394">
        <f>(SUM(C169:D169))/1000</f>
        <v>1.1459501000000001</v>
      </c>
      <c r="F169" s="394">
        <v>855.93380000000002</v>
      </c>
      <c r="G169" s="394">
        <v>0</v>
      </c>
      <c r="H169" s="394">
        <v>-416.78209999999996</v>
      </c>
      <c r="I169" s="394">
        <v>3652.4957999999997</v>
      </c>
      <c r="J169" s="394">
        <v>0</v>
      </c>
      <c r="K169" s="394">
        <v>104.8954</v>
      </c>
      <c r="L169" s="394">
        <v>8738.0470000000005</v>
      </c>
      <c r="M169" s="430">
        <f>SUM(F169:L169,E169)</f>
        <v>12935.7358501</v>
      </c>
      <c r="N169" s="376"/>
    </row>
    <row r="170" spans="2:14" ht="15.6" hidden="1">
      <c r="B170" s="386"/>
      <c r="C170" s="394"/>
      <c r="D170" s="394"/>
      <c r="E170" s="350"/>
      <c r="F170" s="394"/>
      <c r="G170" s="394"/>
      <c r="H170" s="394"/>
      <c r="I170" s="394"/>
      <c r="J170" s="394"/>
      <c r="K170" s="394"/>
      <c r="L170" s="428"/>
      <c r="M170" s="430"/>
      <c r="N170" s="376"/>
    </row>
    <row r="171" spans="2:14" ht="15.6" hidden="1">
      <c r="B171" s="386" t="s">
        <v>10</v>
      </c>
      <c r="C171" s="394">
        <v>28.603300000000001</v>
      </c>
      <c r="D171" s="394">
        <v>1078.2233000000001</v>
      </c>
      <c r="E171" s="394">
        <f>(SUM(C171:D171))/1000</f>
        <v>1.1068266</v>
      </c>
      <c r="F171" s="394">
        <v>850.74869999999999</v>
      </c>
      <c r="G171" s="394">
        <v>0</v>
      </c>
      <c r="H171" s="394">
        <v>1170.7228</v>
      </c>
      <c r="I171" s="394">
        <v>4646.7218000000003</v>
      </c>
      <c r="J171" s="394">
        <v>0</v>
      </c>
      <c r="K171" s="394">
        <v>104.8954</v>
      </c>
      <c r="L171" s="394">
        <v>8385.3242000000009</v>
      </c>
      <c r="M171" s="430">
        <f>SUM(F171:L171,E171)</f>
        <v>15159.519726600003</v>
      </c>
      <c r="N171" s="376"/>
    </row>
    <row r="172" spans="2:14" ht="15.6" hidden="1">
      <c r="B172" s="386"/>
      <c r="C172" s="394"/>
      <c r="D172" s="394"/>
      <c r="E172" s="350"/>
      <c r="F172" s="394"/>
      <c r="G172" s="394"/>
      <c r="H172" s="394"/>
      <c r="I172" s="394"/>
      <c r="J172" s="394"/>
      <c r="K172" s="394"/>
      <c r="L172" s="428"/>
      <c r="M172" s="430"/>
      <c r="N172" s="376"/>
    </row>
    <row r="173" spans="2:14" ht="15.6" hidden="1">
      <c r="B173" s="386" t="s">
        <v>11</v>
      </c>
      <c r="C173" s="394">
        <v>43.2303</v>
      </c>
      <c r="D173" s="394">
        <v>786.55469999999991</v>
      </c>
      <c r="E173" s="394">
        <f>(SUM(C173:D173))/1000</f>
        <v>0.82978499999999988</v>
      </c>
      <c r="F173" s="394">
        <v>828.20349999999996</v>
      </c>
      <c r="G173" s="394">
        <v>0</v>
      </c>
      <c r="H173" s="394">
        <v>-135.6454</v>
      </c>
      <c r="I173" s="394">
        <v>4022.2111</v>
      </c>
      <c r="J173" s="394">
        <v>0</v>
      </c>
      <c r="K173" s="394">
        <v>104.8954</v>
      </c>
      <c r="L173" s="394">
        <v>10071.237499999999</v>
      </c>
      <c r="M173" s="430">
        <f>SUM(F173:L173,E173)</f>
        <v>14891.731884999999</v>
      </c>
      <c r="N173" s="376"/>
    </row>
    <row r="174" spans="2:14" ht="15.6" hidden="1">
      <c r="B174" s="386"/>
      <c r="C174" s="394"/>
      <c r="D174" s="394"/>
      <c r="E174" s="350"/>
      <c r="F174" s="394"/>
      <c r="G174" s="394"/>
      <c r="H174" s="394"/>
      <c r="I174" s="394"/>
      <c r="J174" s="394"/>
      <c r="K174" s="394"/>
      <c r="L174" s="428"/>
      <c r="M174" s="430"/>
      <c r="N174" s="376"/>
    </row>
    <row r="175" spans="2:14" ht="15.6" hidden="1">
      <c r="B175" s="433" t="s">
        <v>337</v>
      </c>
      <c r="C175" s="394">
        <v>64.423400000000001</v>
      </c>
      <c r="D175" s="394">
        <v>1374.9367</v>
      </c>
      <c r="E175" s="394">
        <v>1439.3601000000001</v>
      </c>
      <c r="F175" s="394">
        <v>819.49739999999997</v>
      </c>
      <c r="G175" s="394">
        <v>0</v>
      </c>
      <c r="H175" s="394">
        <v>101.5763</v>
      </c>
      <c r="I175" s="394">
        <v>3179.6509000000001</v>
      </c>
      <c r="J175" s="394">
        <v>0</v>
      </c>
      <c r="K175" s="394">
        <v>104.8954</v>
      </c>
      <c r="L175" s="394">
        <v>12048.404699999999</v>
      </c>
      <c r="M175" s="350">
        <f>SUM(F175:L175,E175)</f>
        <v>17693.3848</v>
      </c>
      <c r="N175" s="376"/>
    </row>
    <row r="176" spans="2:14" ht="15.6" hidden="1">
      <c r="B176" s="433"/>
      <c r="C176" s="394"/>
      <c r="D176" s="394"/>
      <c r="E176" s="350"/>
      <c r="F176" s="394"/>
      <c r="G176" s="394"/>
      <c r="H176" s="394"/>
      <c r="I176" s="394"/>
      <c r="J176" s="394"/>
      <c r="K176" s="394"/>
      <c r="L176" s="394"/>
      <c r="M176" s="350"/>
      <c r="N176" s="376"/>
    </row>
    <row r="177" spans="2:14" ht="15.6" hidden="1">
      <c r="B177" s="433" t="s">
        <v>346</v>
      </c>
      <c r="C177" s="394">
        <v>0</v>
      </c>
      <c r="D177" s="394">
        <v>792.96940000000006</v>
      </c>
      <c r="E177" s="394">
        <v>792.96940000000006</v>
      </c>
      <c r="F177" s="394">
        <v>623.00509999999997</v>
      </c>
      <c r="G177" s="394">
        <v>0</v>
      </c>
      <c r="H177" s="394">
        <v>-300.32279999999997</v>
      </c>
      <c r="I177" s="394">
        <v>4027.0619999999999</v>
      </c>
      <c r="J177" s="394">
        <v>0</v>
      </c>
      <c r="K177" s="394">
        <v>22.106300000000001</v>
      </c>
      <c r="L177" s="394">
        <v>383.0095</v>
      </c>
      <c r="M177" s="350">
        <f>SUM(F177:L177,E177)</f>
        <v>5547.8295000000007</v>
      </c>
      <c r="N177" s="376"/>
    </row>
    <row r="178" spans="2:14" ht="15.6" hidden="1">
      <c r="B178" s="465"/>
      <c r="C178" s="391"/>
      <c r="D178" s="391"/>
      <c r="E178" s="431"/>
      <c r="F178" s="391"/>
      <c r="G178" s="391"/>
      <c r="H178" s="391"/>
      <c r="I178" s="391"/>
      <c r="J178" s="391"/>
      <c r="K178" s="391"/>
      <c r="L178" s="391"/>
      <c r="M178" s="431"/>
      <c r="N178" s="285"/>
    </row>
    <row r="179" spans="2:14" ht="15.6" hidden="1">
      <c r="B179" s="433" t="s">
        <v>347</v>
      </c>
      <c r="C179" s="394">
        <v>86.0244</v>
      </c>
      <c r="D179" s="394">
        <v>1253.9981</v>
      </c>
      <c r="E179" s="394">
        <v>1340.0225</v>
      </c>
      <c r="F179" s="394">
        <v>822.78290000000004</v>
      </c>
      <c r="G179" s="394">
        <v>0</v>
      </c>
      <c r="H179" s="394">
        <v>284.9119</v>
      </c>
      <c r="I179" s="394">
        <v>3176.9544000000001</v>
      </c>
      <c r="J179" s="394">
        <v>0</v>
      </c>
      <c r="K179" s="394">
        <v>223.0591</v>
      </c>
      <c r="L179" s="394">
        <v>2398.2563</v>
      </c>
      <c r="M179" s="350">
        <f>SUM(F179:L179,E179)</f>
        <v>8245.9871000000003</v>
      </c>
      <c r="N179" s="376"/>
    </row>
    <row r="180" spans="2:14" ht="15.6" hidden="1">
      <c r="B180" s="433"/>
      <c r="C180" s="394"/>
      <c r="D180" s="394"/>
      <c r="E180" s="350"/>
      <c r="F180" s="394"/>
      <c r="G180" s="394"/>
      <c r="H180" s="394"/>
      <c r="I180" s="394"/>
      <c r="J180" s="394"/>
      <c r="K180" s="394"/>
      <c r="L180" s="394"/>
      <c r="M180" s="350"/>
      <c r="N180" s="376"/>
    </row>
    <row r="181" spans="2:14" ht="15.6" hidden="1">
      <c r="B181" s="433" t="s">
        <v>12</v>
      </c>
      <c r="C181" s="394">
        <v>147.32029999999997</v>
      </c>
      <c r="D181" s="394">
        <v>4624.9798000000001</v>
      </c>
      <c r="E181" s="394">
        <v>4772.3000999999995</v>
      </c>
      <c r="F181" s="394">
        <v>787.49430000000007</v>
      </c>
      <c r="G181" s="394">
        <v>0</v>
      </c>
      <c r="H181" s="394">
        <v>703.62909999999999</v>
      </c>
      <c r="I181" s="394">
        <v>3868.3531000000003</v>
      </c>
      <c r="J181" s="394">
        <v>0</v>
      </c>
      <c r="K181" s="394">
        <v>226.1173</v>
      </c>
      <c r="L181" s="394">
        <v>2506.9657000000002</v>
      </c>
      <c r="M181" s="350">
        <f>SUM(F181:L181,E181)</f>
        <v>12864.8596</v>
      </c>
      <c r="N181" s="376"/>
    </row>
    <row r="182" spans="2:14" ht="15.6" hidden="1">
      <c r="B182" s="433"/>
      <c r="C182" s="394"/>
      <c r="D182" s="394"/>
      <c r="E182" s="350"/>
      <c r="F182" s="394"/>
      <c r="G182" s="394"/>
      <c r="H182" s="394"/>
      <c r="I182" s="394"/>
      <c r="J182" s="394"/>
      <c r="K182" s="394"/>
      <c r="L182" s="394"/>
      <c r="M182" s="350"/>
      <c r="N182" s="376"/>
    </row>
    <row r="183" spans="2:14" ht="15.6" hidden="1">
      <c r="B183" s="433" t="s">
        <v>13</v>
      </c>
      <c r="C183" s="394">
        <v>196.90100000000001</v>
      </c>
      <c r="D183" s="394">
        <v>1235.518</v>
      </c>
      <c r="E183" s="394">
        <v>1432.4190000000001</v>
      </c>
      <c r="F183" s="394">
        <v>800.39499999999998</v>
      </c>
      <c r="G183" s="394">
        <v>0</v>
      </c>
      <c r="H183" s="394">
        <v>202.0223</v>
      </c>
      <c r="I183" s="394">
        <v>4079.8516</v>
      </c>
      <c r="J183" s="394">
        <v>0</v>
      </c>
      <c r="K183" s="394">
        <v>451.1173</v>
      </c>
      <c r="L183" s="394">
        <v>3212.7615000000001</v>
      </c>
      <c r="M183" s="350">
        <f>SUM(F183:L183,E183)</f>
        <v>10178.566699999999</v>
      </c>
      <c r="N183" s="376"/>
    </row>
    <row r="184" spans="2:14" ht="15.6" hidden="1">
      <c r="B184" s="433"/>
      <c r="C184" s="394"/>
      <c r="D184" s="394"/>
      <c r="E184" s="350"/>
      <c r="F184" s="394"/>
      <c r="G184" s="394"/>
      <c r="H184" s="394"/>
      <c r="I184" s="394"/>
      <c r="J184" s="394"/>
      <c r="K184" s="394"/>
      <c r="L184" s="394"/>
      <c r="M184" s="350"/>
      <c r="N184" s="376"/>
    </row>
    <row r="185" spans="2:14" ht="15.6" hidden="1">
      <c r="B185" s="433" t="s">
        <v>14</v>
      </c>
      <c r="C185" s="394">
        <v>515.64639999999997</v>
      </c>
      <c r="D185" s="394">
        <v>1399.4809</v>
      </c>
      <c r="E185" s="394">
        <v>1915.1273000000001</v>
      </c>
      <c r="F185" s="394">
        <v>810.32719999999995</v>
      </c>
      <c r="G185" s="394">
        <v>0</v>
      </c>
      <c r="H185" s="394">
        <v>1291.9543000000001</v>
      </c>
      <c r="I185" s="394">
        <v>4875.1382999999996</v>
      </c>
      <c r="J185" s="394">
        <v>0</v>
      </c>
      <c r="K185" s="394">
        <v>449.09690000000001</v>
      </c>
      <c r="L185" s="394">
        <v>7747.9488000000001</v>
      </c>
      <c r="M185" s="350">
        <f>SUM(F185:L185,E185)</f>
        <v>17089.592799999999</v>
      </c>
      <c r="N185" s="376"/>
    </row>
    <row r="186" spans="2:14" ht="15.6" hidden="1">
      <c r="B186" s="433"/>
      <c r="C186" s="394"/>
      <c r="D186" s="394"/>
      <c r="E186" s="350"/>
      <c r="F186" s="394"/>
      <c r="G186" s="394"/>
      <c r="H186" s="394"/>
      <c r="I186" s="394"/>
      <c r="J186" s="394"/>
      <c r="K186" s="394"/>
      <c r="L186" s="394"/>
      <c r="M186" s="350"/>
      <c r="N186" s="376"/>
    </row>
    <row r="187" spans="2:14" ht="15.6" hidden="1">
      <c r="B187" s="433" t="s">
        <v>15</v>
      </c>
      <c r="C187" s="394">
        <v>92.290800000000004</v>
      </c>
      <c r="D187" s="394">
        <v>7787.0024999999996</v>
      </c>
      <c r="E187" s="394">
        <v>7879.2932999999994</v>
      </c>
      <c r="F187" s="394">
        <v>770.55740000000003</v>
      </c>
      <c r="G187" s="394">
        <v>0</v>
      </c>
      <c r="H187" s="394">
        <v>1281.9203</v>
      </c>
      <c r="I187" s="394">
        <v>5077.0977999999996</v>
      </c>
      <c r="J187" s="394">
        <v>0</v>
      </c>
      <c r="K187" s="394">
        <v>503.6585</v>
      </c>
      <c r="L187" s="394">
        <v>47369.864200000004</v>
      </c>
      <c r="M187" s="350">
        <f>SUM(F187:L187,E187)</f>
        <v>62882.391499999998</v>
      </c>
      <c r="N187" s="376"/>
    </row>
    <row r="188" spans="2:14" ht="15.6" hidden="1">
      <c r="B188" s="433"/>
      <c r="C188" s="394"/>
      <c r="D188" s="394"/>
      <c r="E188" s="350"/>
      <c r="F188" s="394"/>
      <c r="G188" s="394"/>
      <c r="H188" s="394"/>
      <c r="I188" s="394"/>
      <c r="J188" s="394"/>
      <c r="K188" s="394"/>
      <c r="L188" s="394"/>
      <c r="M188" s="350"/>
      <c r="N188" s="376"/>
    </row>
    <row r="189" spans="2:14" ht="15.6" hidden="1">
      <c r="B189" s="433" t="s">
        <v>16</v>
      </c>
      <c r="C189" s="394">
        <v>495.91879999999998</v>
      </c>
      <c r="D189" s="394">
        <v>8182.2714999999998</v>
      </c>
      <c r="E189" s="394">
        <v>8678.1903000000002</v>
      </c>
      <c r="F189" s="394">
        <v>828.75119999999993</v>
      </c>
      <c r="G189" s="394">
        <v>0</v>
      </c>
      <c r="H189" s="394">
        <v>-2439.3762000000002</v>
      </c>
      <c r="I189" s="394">
        <v>4657.7765999999992</v>
      </c>
      <c r="J189" s="394">
        <v>0</v>
      </c>
      <c r="K189" s="394">
        <v>3154.1194999999998</v>
      </c>
      <c r="L189" s="394">
        <v>58889.834799999997</v>
      </c>
      <c r="M189" s="350">
        <f>SUM(F189:L189,E189)</f>
        <v>73769.296199999997</v>
      </c>
      <c r="N189" s="376"/>
    </row>
    <row r="190" spans="2:14" ht="15.6" hidden="1">
      <c r="B190" s="433"/>
      <c r="C190" s="394"/>
      <c r="D190" s="394"/>
      <c r="E190" s="350"/>
      <c r="F190" s="394"/>
      <c r="G190" s="394"/>
      <c r="H190" s="394"/>
      <c r="I190" s="394"/>
      <c r="J190" s="394"/>
      <c r="K190" s="394"/>
      <c r="L190" s="394"/>
      <c r="M190" s="350"/>
      <c r="N190" s="376"/>
    </row>
    <row r="191" spans="2:14" ht="15.6" hidden="1">
      <c r="B191" s="466">
        <v>2006</v>
      </c>
      <c r="C191" s="394"/>
      <c r="D191" s="394"/>
      <c r="E191" s="350"/>
      <c r="F191" s="394"/>
      <c r="G191" s="394"/>
      <c r="H191" s="394"/>
      <c r="I191" s="394"/>
      <c r="J191" s="394"/>
      <c r="K191" s="394"/>
      <c r="L191" s="394"/>
      <c r="M191" s="350"/>
      <c r="N191" s="376"/>
    </row>
    <row r="192" spans="2:14" ht="15.6" hidden="1">
      <c r="B192" s="386"/>
      <c r="C192" s="394"/>
      <c r="D192" s="394"/>
      <c r="E192" s="350"/>
      <c r="F192" s="394"/>
      <c r="G192" s="394"/>
      <c r="H192" s="394"/>
      <c r="I192" s="394"/>
      <c r="J192" s="394"/>
      <c r="K192" s="394"/>
      <c r="L192" s="394"/>
      <c r="M192" s="350"/>
      <c r="N192" s="376"/>
    </row>
    <row r="193" spans="2:14" ht="15.6" hidden="1">
      <c r="B193" s="438" t="s">
        <v>8</v>
      </c>
      <c r="C193" s="394">
        <v>1040.6033</v>
      </c>
      <c r="D193" s="394">
        <v>10323.2016</v>
      </c>
      <c r="E193" s="394">
        <f>(SUM(C193:D193))/1000</f>
        <v>11.363804900000002</v>
      </c>
      <c r="F193" s="394">
        <v>827.56419999999991</v>
      </c>
      <c r="G193" s="394">
        <v>0</v>
      </c>
      <c r="H193" s="394">
        <v>-1444.8079</v>
      </c>
      <c r="I193" s="394">
        <v>4335.3760000000002</v>
      </c>
      <c r="J193" s="394">
        <v>0</v>
      </c>
      <c r="K193" s="394">
        <v>3322.0468999999998</v>
      </c>
      <c r="L193" s="394">
        <v>95110.282400000011</v>
      </c>
      <c r="M193" s="350">
        <f>SUM(F193:L193,E193)</f>
        <v>102161.82540490001</v>
      </c>
      <c r="N193" s="376"/>
    </row>
    <row r="194" spans="2:14" ht="15.6" hidden="1">
      <c r="B194" s="438"/>
      <c r="C194" s="431"/>
      <c r="D194" s="394"/>
      <c r="E194" s="350"/>
      <c r="F194" s="394"/>
      <c r="G194" s="394"/>
      <c r="H194" s="394"/>
      <c r="I194" s="394"/>
      <c r="J194" s="394"/>
      <c r="K194" s="394"/>
      <c r="L194" s="431"/>
      <c r="M194" s="431"/>
      <c r="N194" s="376"/>
    </row>
    <row r="195" spans="2:14" ht="15.6" hidden="1">
      <c r="B195" s="438" t="s">
        <v>9</v>
      </c>
      <c r="C195" s="394">
        <v>604.63909999999998</v>
      </c>
      <c r="D195" s="394">
        <v>11048.285199999998</v>
      </c>
      <c r="E195" s="394">
        <f>(SUM(C195:D195))/1000</f>
        <v>11.652924299999999</v>
      </c>
      <c r="F195" s="394">
        <v>847.64190000000008</v>
      </c>
      <c r="G195" s="394">
        <v>0</v>
      </c>
      <c r="H195" s="394">
        <v>618.63499999999999</v>
      </c>
      <c r="I195" s="394">
        <v>8965.9816999999985</v>
      </c>
      <c r="J195" s="394">
        <v>0</v>
      </c>
      <c r="K195" s="394">
        <v>3558.3352</v>
      </c>
      <c r="L195" s="394">
        <v>106058.25629999999</v>
      </c>
      <c r="M195" s="350">
        <f>SUM(F195:L195,E195)</f>
        <v>120060.50302429999</v>
      </c>
      <c r="N195" s="376"/>
    </row>
    <row r="196" spans="2:14" ht="15.6" hidden="1">
      <c r="B196" s="438"/>
      <c r="C196" s="431"/>
      <c r="D196" s="394"/>
      <c r="E196" s="350"/>
      <c r="F196" s="431"/>
      <c r="G196" s="431"/>
      <c r="H196" s="431"/>
      <c r="I196" s="394"/>
      <c r="J196" s="431"/>
      <c r="K196" s="394"/>
      <c r="L196" s="394"/>
      <c r="M196" s="350"/>
      <c r="N196" s="376"/>
    </row>
    <row r="197" spans="2:14" ht="15.6" hidden="1">
      <c r="B197" s="438" t="s">
        <v>10</v>
      </c>
      <c r="C197" s="394">
        <v>725.77539999999999</v>
      </c>
      <c r="D197" s="394">
        <v>12410.8645</v>
      </c>
      <c r="E197" s="394">
        <f>(SUM(C197:D197))/1000</f>
        <v>13.1366399</v>
      </c>
      <c r="F197" s="394">
        <v>852.93280000000004</v>
      </c>
      <c r="G197" s="394">
        <v>0</v>
      </c>
      <c r="H197" s="394">
        <v>-1565.1489999999999</v>
      </c>
      <c r="I197" s="394">
        <v>10684.538600000002</v>
      </c>
      <c r="J197" s="394">
        <v>0</v>
      </c>
      <c r="K197" s="394">
        <v>3558.9360000000001</v>
      </c>
      <c r="L197" s="394">
        <v>3279.9744999999998</v>
      </c>
      <c r="M197" s="350">
        <f>SUM(F197:L197,E197)</f>
        <v>16824.369539899999</v>
      </c>
      <c r="N197" s="376"/>
    </row>
    <row r="198" spans="2:14" ht="15.6" hidden="1">
      <c r="B198" s="438"/>
      <c r="C198" s="394"/>
      <c r="D198" s="394"/>
      <c r="E198" s="350"/>
      <c r="F198" s="394"/>
      <c r="G198" s="394"/>
      <c r="H198" s="394"/>
      <c r="I198" s="394"/>
      <c r="J198" s="394"/>
      <c r="K198" s="394"/>
      <c r="L198" s="394"/>
      <c r="M198" s="350"/>
      <c r="N198" s="376"/>
    </row>
    <row r="199" spans="2:14" ht="15.6" hidden="1">
      <c r="B199" s="438" t="s">
        <v>11</v>
      </c>
      <c r="C199" s="394">
        <v>772.84860000000003</v>
      </c>
      <c r="D199" s="394">
        <v>14146.562300000001</v>
      </c>
      <c r="E199" s="394">
        <v>14919.410900000001</v>
      </c>
      <c r="F199" s="394">
        <v>863.19439999999997</v>
      </c>
      <c r="G199" s="394">
        <v>0</v>
      </c>
      <c r="H199" s="394">
        <v>-3477.4843999999998</v>
      </c>
      <c r="I199" s="394">
        <v>8482.7461000000003</v>
      </c>
      <c r="J199" s="394">
        <v>0</v>
      </c>
      <c r="K199" s="394">
        <v>3558.9360000000001</v>
      </c>
      <c r="L199" s="394">
        <v>3456.5962000000004</v>
      </c>
      <c r="M199" s="350">
        <f>SUM(F199:L199,E199)</f>
        <v>27803.3992</v>
      </c>
      <c r="N199" s="376"/>
    </row>
    <row r="200" spans="2:14" ht="15.6" hidden="1">
      <c r="B200" s="438"/>
      <c r="C200" s="394"/>
      <c r="D200" s="394"/>
      <c r="E200" s="350"/>
      <c r="F200" s="394"/>
      <c r="G200" s="394"/>
      <c r="H200" s="394"/>
      <c r="I200" s="394"/>
      <c r="J200" s="394"/>
      <c r="K200" s="394"/>
      <c r="L200" s="394"/>
      <c r="M200" s="350"/>
      <c r="N200" s="376"/>
    </row>
    <row r="201" spans="2:14" ht="15.6" hidden="1">
      <c r="B201" s="438" t="s">
        <v>337</v>
      </c>
      <c r="C201" s="394">
        <v>755.57309999999995</v>
      </c>
      <c r="D201" s="394">
        <v>13584.8187</v>
      </c>
      <c r="E201" s="394">
        <v>14340.391800000001</v>
      </c>
      <c r="F201" s="394">
        <v>1641.9111</v>
      </c>
      <c r="G201" s="394">
        <v>0</v>
      </c>
      <c r="H201" s="394">
        <v>2256.864</v>
      </c>
      <c r="I201" s="394">
        <v>9048.9161000000004</v>
      </c>
      <c r="J201" s="394">
        <v>0</v>
      </c>
      <c r="K201" s="394">
        <v>3558.9352000000003</v>
      </c>
      <c r="L201" s="394">
        <v>2108.8915000000002</v>
      </c>
      <c r="M201" s="350">
        <f>SUM(F201:L201,E201)</f>
        <v>32955.909700000004</v>
      </c>
      <c r="N201" s="376"/>
    </row>
    <row r="202" spans="2:14" ht="15.6" hidden="1">
      <c r="B202" s="438"/>
      <c r="C202" s="394"/>
      <c r="D202" s="394"/>
      <c r="E202" s="350"/>
      <c r="F202" s="394"/>
      <c r="G202" s="394"/>
      <c r="H202" s="394"/>
      <c r="I202" s="394"/>
      <c r="J202" s="394"/>
      <c r="K202" s="394"/>
      <c r="L202" s="394"/>
      <c r="M202" s="350"/>
      <c r="N202" s="376"/>
    </row>
    <row r="203" spans="2:14" ht="15.6" hidden="1">
      <c r="B203" s="438" t="s">
        <v>346</v>
      </c>
      <c r="C203" s="394">
        <v>675.8963</v>
      </c>
      <c r="D203" s="394">
        <v>12950.147800000001</v>
      </c>
      <c r="E203" s="394">
        <v>13626.044099999999</v>
      </c>
      <c r="F203" s="394">
        <v>847.51609999999994</v>
      </c>
      <c r="G203" s="394">
        <v>0</v>
      </c>
      <c r="H203" s="394">
        <v>299.89890000000003</v>
      </c>
      <c r="I203" s="394">
        <v>6603.393</v>
      </c>
      <c r="J203" s="394">
        <v>0</v>
      </c>
      <c r="K203" s="394">
        <v>9035.8726999999999</v>
      </c>
      <c r="L203" s="394">
        <v>235826.68909999999</v>
      </c>
      <c r="M203" s="350">
        <f>SUM(F203:L203,E203)</f>
        <v>266239.41389999999</v>
      </c>
      <c r="N203" s="376"/>
    </row>
    <row r="204" spans="2:14" ht="15.6" hidden="1">
      <c r="B204" s="438"/>
      <c r="C204" s="394"/>
      <c r="D204" s="394"/>
      <c r="E204" s="350"/>
      <c r="F204" s="394"/>
      <c r="G204" s="394"/>
      <c r="H204" s="394"/>
      <c r="I204" s="394"/>
      <c r="J204" s="394"/>
      <c r="K204" s="394"/>
      <c r="L204" s="394"/>
      <c r="M204" s="350"/>
      <c r="N204" s="376"/>
    </row>
    <row r="205" spans="2:14" ht="15.6" hidden="1">
      <c r="B205" s="438" t="s">
        <v>347</v>
      </c>
      <c r="C205" s="394">
        <v>710.35669999999993</v>
      </c>
      <c r="D205" s="394">
        <v>13034.8621</v>
      </c>
      <c r="E205" s="394">
        <v>13745.218800000001</v>
      </c>
      <c r="F205" s="394">
        <v>14.3178</v>
      </c>
      <c r="G205" s="394">
        <v>0</v>
      </c>
      <c r="H205" s="394">
        <v>-775.41680000000008</v>
      </c>
      <c r="I205" s="394">
        <v>10105.3135</v>
      </c>
      <c r="J205" s="394">
        <v>0</v>
      </c>
      <c r="K205" s="394">
        <v>12602.238599999999</v>
      </c>
      <c r="L205" s="394">
        <v>302427.36300000001</v>
      </c>
      <c r="M205" s="350">
        <f>SUM(F205:L205,E205)</f>
        <v>338119.03489999997</v>
      </c>
      <c r="N205" s="376"/>
    </row>
    <row r="206" spans="2:14" ht="15.6" hidden="1">
      <c r="B206" s="438"/>
      <c r="C206" s="394"/>
      <c r="D206" s="394"/>
      <c r="E206" s="350"/>
      <c r="F206" s="394"/>
      <c r="G206" s="394"/>
      <c r="H206" s="394"/>
      <c r="I206" s="394"/>
      <c r="J206" s="394"/>
      <c r="K206" s="394"/>
      <c r="L206" s="394"/>
      <c r="M206" s="350"/>
      <c r="N206" s="376"/>
    </row>
    <row r="207" spans="2:14" ht="15.6" hidden="1">
      <c r="B207" s="438" t="s">
        <v>12</v>
      </c>
      <c r="C207" s="394">
        <v>322.81380000000001</v>
      </c>
      <c r="D207" s="394">
        <v>40518.085299999999</v>
      </c>
      <c r="E207" s="394">
        <v>40840.899100000002</v>
      </c>
      <c r="F207" s="394">
        <v>925.93259999999998</v>
      </c>
      <c r="G207" s="394">
        <v>0</v>
      </c>
      <c r="H207" s="394">
        <v>-777.96580000000006</v>
      </c>
      <c r="I207" s="394">
        <v>6273.0667999999996</v>
      </c>
      <c r="J207" s="394">
        <v>0</v>
      </c>
      <c r="K207" s="394">
        <v>33005.428200000002</v>
      </c>
      <c r="L207" s="394">
        <v>3600.4697000000001</v>
      </c>
      <c r="M207" s="350">
        <f>SUM(F207:L207,E207)</f>
        <v>83867.830600000016</v>
      </c>
      <c r="N207" s="376"/>
    </row>
    <row r="208" spans="2:14" ht="15.6" hidden="1">
      <c r="B208" s="438"/>
      <c r="C208" s="394"/>
      <c r="D208" s="394"/>
      <c r="E208" s="350"/>
      <c r="F208" s="394"/>
      <c r="G208" s="394"/>
      <c r="H208" s="394"/>
      <c r="I208" s="394"/>
      <c r="J208" s="394"/>
      <c r="K208" s="394"/>
      <c r="L208" s="394"/>
      <c r="M208" s="350"/>
      <c r="N208" s="376"/>
    </row>
    <row r="209" spans="2:14" ht="15.6" hidden="1">
      <c r="B209" s="438" t="s">
        <v>13</v>
      </c>
      <c r="C209" s="394">
        <v>861.11159999999995</v>
      </c>
      <c r="D209" s="394">
        <v>40801.915300000001</v>
      </c>
      <c r="E209" s="394">
        <v>41663.026899999997</v>
      </c>
      <c r="F209" s="394">
        <v>688.61569999999995</v>
      </c>
      <c r="G209" s="394">
        <v>0</v>
      </c>
      <c r="H209" s="394">
        <v>-15208.941999999999</v>
      </c>
      <c r="I209" s="394">
        <v>7065.6800999999996</v>
      </c>
      <c r="J209" s="394">
        <v>0</v>
      </c>
      <c r="K209" s="394">
        <v>56542.943399999996</v>
      </c>
      <c r="L209" s="394">
        <v>517039.3222</v>
      </c>
      <c r="M209" s="350">
        <f>SUM(F209:L209,E209)</f>
        <v>607790.64629999991</v>
      </c>
      <c r="N209" s="376"/>
    </row>
    <row r="210" spans="2:14" ht="15.6" hidden="1">
      <c r="B210" s="438"/>
      <c r="C210" s="394"/>
      <c r="D210" s="394"/>
      <c r="E210" s="350"/>
      <c r="F210" s="394"/>
      <c r="G210" s="394"/>
      <c r="H210" s="394"/>
      <c r="I210" s="394"/>
      <c r="J210" s="394"/>
      <c r="K210" s="394"/>
      <c r="L210" s="394"/>
      <c r="M210" s="350"/>
      <c r="N210" s="376"/>
    </row>
    <row r="211" spans="2:14" ht="15.6" hidden="1">
      <c r="B211" s="438" t="s">
        <v>14</v>
      </c>
      <c r="C211" s="394">
        <v>1227.9000000000001</v>
      </c>
      <c r="D211" s="394">
        <v>37841.199999999997</v>
      </c>
      <c r="E211" s="350">
        <v>39069.1</v>
      </c>
      <c r="F211" s="394">
        <v>589.20000000000005</v>
      </c>
      <c r="G211" s="394">
        <v>0</v>
      </c>
      <c r="H211" s="394">
        <v>463.1</v>
      </c>
      <c r="I211" s="394">
        <v>20767.3</v>
      </c>
      <c r="J211" s="394">
        <v>0</v>
      </c>
      <c r="K211" s="394">
        <v>48719.5</v>
      </c>
      <c r="L211" s="394">
        <v>663138.6</v>
      </c>
      <c r="M211" s="350">
        <v>772746.8</v>
      </c>
      <c r="N211" s="376"/>
    </row>
    <row r="212" spans="2:14" ht="15.6" hidden="1">
      <c r="B212" s="438"/>
      <c r="C212" s="394"/>
      <c r="D212" s="394"/>
      <c r="E212" s="350"/>
      <c r="F212" s="394"/>
      <c r="G212" s="394"/>
      <c r="H212" s="394"/>
      <c r="I212" s="394"/>
      <c r="J212" s="394"/>
      <c r="K212" s="394"/>
      <c r="L212" s="394"/>
      <c r="M212" s="350"/>
      <c r="N212" s="376"/>
    </row>
    <row r="213" spans="2:14" ht="15.6" hidden="1">
      <c r="B213" s="438" t="s">
        <v>15</v>
      </c>
      <c r="C213" s="394">
        <v>2645.4</v>
      </c>
      <c r="D213" s="350">
        <v>34195.5</v>
      </c>
      <c r="E213" s="350">
        <v>36840.9</v>
      </c>
      <c r="F213" s="394">
        <v>434.2</v>
      </c>
      <c r="G213" s="394">
        <v>0</v>
      </c>
      <c r="H213" s="394">
        <v>-11995.9</v>
      </c>
      <c r="I213" s="394">
        <v>31798</v>
      </c>
      <c r="J213" s="394">
        <v>0</v>
      </c>
      <c r="K213" s="394">
        <v>60678.1</v>
      </c>
      <c r="L213" s="394">
        <v>842946.5</v>
      </c>
      <c r="M213" s="350">
        <v>960701.7</v>
      </c>
      <c r="N213" s="376"/>
    </row>
    <row r="214" spans="2:14" ht="15.6" hidden="1">
      <c r="B214" s="438"/>
      <c r="C214" s="394"/>
      <c r="D214" s="350"/>
      <c r="E214" s="350"/>
      <c r="F214" s="394"/>
      <c r="G214" s="394"/>
      <c r="H214" s="394"/>
      <c r="I214" s="394"/>
      <c r="J214" s="394"/>
      <c r="K214" s="394"/>
      <c r="L214" s="394"/>
      <c r="M214" s="350"/>
      <c r="N214" s="376"/>
    </row>
    <row r="215" spans="2:14" ht="15.6" hidden="1">
      <c r="B215" s="438" t="s">
        <v>16</v>
      </c>
      <c r="C215" s="394">
        <v>2402.6</v>
      </c>
      <c r="D215" s="350">
        <v>17866.7</v>
      </c>
      <c r="E215" s="467">
        <v>20269.3</v>
      </c>
      <c r="F215" s="394">
        <v>3.9</v>
      </c>
      <c r="G215" s="394">
        <v>0</v>
      </c>
      <c r="H215" s="394">
        <v>-66143.5</v>
      </c>
      <c r="I215" s="408">
        <v>39731.699999999997</v>
      </c>
      <c r="J215" s="394">
        <v>0</v>
      </c>
      <c r="K215" s="394">
        <v>78146</v>
      </c>
      <c r="L215" s="394">
        <v>1076982.8</v>
      </c>
      <c r="M215" s="350">
        <v>1148990.2</v>
      </c>
      <c r="N215" s="376"/>
    </row>
    <row r="216" spans="2:14" ht="15.6" hidden="1">
      <c r="B216" s="438"/>
      <c r="C216" s="394"/>
      <c r="D216" s="350"/>
      <c r="E216" s="350"/>
      <c r="F216" s="394"/>
      <c r="G216" s="394"/>
      <c r="H216" s="394"/>
      <c r="I216" s="394"/>
      <c r="J216" s="394"/>
      <c r="K216" s="394"/>
      <c r="L216" s="394"/>
      <c r="M216" s="350"/>
      <c r="N216" s="376"/>
    </row>
    <row r="217" spans="2:14" ht="15.6" hidden="1">
      <c r="B217" s="468">
        <v>2007</v>
      </c>
      <c r="C217" s="394"/>
      <c r="D217" s="350"/>
      <c r="E217" s="350"/>
      <c r="F217" s="394"/>
      <c r="G217" s="394"/>
      <c r="H217" s="394"/>
      <c r="I217" s="394"/>
      <c r="J217" s="394"/>
      <c r="K217" s="394"/>
      <c r="L217" s="394"/>
      <c r="M217" s="350"/>
      <c r="N217" s="376"/>
    </row>
    <row r="218" spans="2:14" ht="15.6" hidden="1">
      <c r="B218" s="438"/>
      <c r="C218" s="394"/>
      <c r="D218" s="350"/>
      <c r="E218" s="350"/>
      <c r="F218" s="394"/>
      <c r="G218" s="394"/>
      <c r="H218" s="394"/>
      <c r="I218" s="394"/>
      <c r="J218" s="394"/>
      <c r="K218" s="394"/>
      <c r="L218" s="394"/>
      <c r="M218" s="350"/>
      <c r="N218" s="376"/>
    </row>
    <row r="219" spans="2:14" ht="15.6" hidden="1">
      <c r="B219" s="438" t="s">
        <v>8</v>
      </c>
      <c r="C219" s="394">
        <v>1551.5</v>
      </c>
      <c r="D219" s="350">
        <v>22551.9</v>
      </c>
      <c r="E219" s="350">
        <v>24103.4</v>
      </c>
      <c r="F219" s="394">
        <v>3.9</v>
      </c>
      <c r="G219" s="394">
        <v>0</v>
      </c>
      <c r="H219" s="394">
        <v>-16210</v>
      </c>
      <c r="I219" s="394">
        <v>5492</v>
      </c>
      <c r="J219" s="394">
        <v>0</v>
      </c>
      <c r="K219" s="394">
        <v>209722.5</v>
      </c>
      <c r="L219" s="394">
        <v>1368150</v>
      </c>
      <c r="M219" s="350">
        <v>1591261.7</v>
      </c>
      <c r="N219" s="376"/>
    </row>
    <row r="220" spans="2:14" ht="15.6" hidden="1">
      <c r="B220" s="438"/>
      <c r="C220" s="394"/>
      <c r="D220" s="350"/>
      <c r="E220" s="350"/>
      <c r="F220" s="394"/>
      <c r="G220" s="394"/>
      <c r="H220" s="394"/>
      <c r="I220" s="394"/>
      <c r="J220" s="394"/>
      <c r="K220" s="394"/>
      <c r="L220" s="394"/>
      <c r="M220" s="350"/>
      <c r="N220" s="376"/>
    </row>
    <row r="221" spans="2:14" ht="15.6" hidden="1">
      <c r="B221" s="438" t="s">
        <v>9</v>
      </c>
      <c r="C221" s="394">
        <v>1843</v>
      </c>
      <c r="D221" s="350">
        <v>32684.799999999999</v>
      </c>
      <c r="E221" s="350">
        <v>34527.800000000003</v>
      </c>
      <c r="F221" s="394">
        <v>1.7</v>
      </c>
      <c r="G221" s="394">
        <v>0</v>
      </c>
      <c r="H221" s="394">
        <v>21976.1</v>
      </c>
      <c r="I221" s="394">
        <v>44008.2</v>
      </c>
      <c r="J221" s="394">
        <v>0</v>
      </c>
      <c r="K221" s="394">
        <v>267699.3</v>
      </c>
      <c r="L221" s="394">
        <v>1676004.5</v>
      </c>
      <c r="M221" s="350">
        <v>2044217.5</v>
      </c>
      <c r="N221" s="376"/>
    </row>
    <row r="222" spans="2:14" ht="15.6" hidden="1">
      <c r="B222" s="438"/>
      <c r="C222" s="394"/>
      <c r="D222" s="350"/>
      <c r="E222" s="350"/>
      <c r="F222" s="394"/>
      <c r="G222" s="394"/>
      <c r="H222" s="394"/>
      <c r="I222" s="394"/>
      <c r="J222" s="394"/>
      <c r="K222" s="394"/>
      <c r="L222" s="394"/>
      <c r="M222" s="350"/>
      <c r="N222" s="376"/>
    </row>
    <row r="223" spans="2:14" ht="15.6" hidden="1">
      <c r="B223" s="438" t="s">
        <v>10</v>
      </c>
      <c r="C223" s="394">
        <v>1352.1</v>
      </c>
      <c r="D223" s="350">
        <v>33875</v>
      </c>
      <c r="E223" s="350">
        <v>35227.1</v>
      </c>
      <c r="F223" s="394">
        <v>1.7</v>
      </c>
      <c r="G223" s="394">
        <v>0</v>
      </c>
      <c r="H223" s="394">
        <v>-113251.8</v>
      </c>
      <c r="I223" s="394">
        <v>98469</v>
      </c>
      <c r="J223" s="394">
        <v>0</v>
      </c>
      <c r="K223" s="394">
        <v>700805.2</v>
      </c>
      <c r="L223" s="394">
        <v>2213825.5</v>
      </c>
      <c r="M223" s="350">
        <v>2935076.6</v>
      </c>
      <c r="N223" s="376"/>
    </row>
    <row r="224" spans="2:14" ht="15.6" hidden="1">
      <c r="B224" s="438"/>
      <c r="C224" s="394"/>
      <c r="D224" s="350"/>
      <c r="E224" s="350"/>
      <c r="F224" s="394"/>
      <c r="G224" s="394"/>
      <c r="H224" s="394"/>
      <c r="I224" s="394"/>
      <c r="J224" s="394"/>
      <c r="K224" s="394"/>
      <c r="L224" s="394"/>
      <c r="M224" s="350"/>
      <c r="N224" s="376"/>
    </row>
    <row r="225" spans="2:14" ht="15.6" hidden="1">
      <c r="B225" s="438" t="s">
        <v>11</v>
      </c>
      <c r="C225" s="394">
        <v>667.1</v>
      </c>
      <c r="D225" s="350">
        <v>22714.1</v>
      </c>
      <c r="E225" s="350">
        <v>23381.200000000001</v>
      </c>
      <c r="F225" s="394">
        <v>1.7</v>
      </c>
      <c r="G225" s="394">
        <v>0</v>
      </c>
      <c r="H225" s="394">
        <v>67090.3</v>
      </c>
      <c r="I225" s="394">
        <v>179961</v>
      </c>
      <c r="J225" s="394">
        <v>0</v>
      </c>
      <c r="K225" s="394">
        <v>910762.4</v>
      </c>
      <c r="L225" s="394">
        <v>3409764.7</v>
      </c>
      <c r="M225" s="350">
        <v>4590961.2</v>
      </c>
      <c r="N225" s="376"/>
    </row>
    <row r="226" spans="2:14" ht="15.6" hidden="1">
      <c r="B226" s="438"/>
      <c r="C226" s="394"/>
      <c r="D226" s="350"/>
      <c r="E226" s="350"/>
      <c r="F226" s="394"/>
      <c r="G226" s="394"/>
      <c r="H226" s="394"/>
      <c r="I226" s="394"/>
      <c r="J226" s="394"/>
      <c r="K226" s="394"/>
      <c r="L226" s="394"/>
      <c r="M226" s="350"/>
      <c r="N226" s="376"/>
    </row>
    <row r="227" spans="2:14" ht="15.6" hidden="1">
      <c r="B227" s="438" t="s">
        <v>337</v>
      </c>
      <c r="C227" s="394">
        <v>1521.9</v>
      </c>
      <c r="D227" s="350">
        <v>27992.1</v>
      </c>
      <c r="E227" s="350">
        <v>29514</v>
      </c>
      <c r="F227" s="394">
        <v>980.9</v>
      </c>
      <c r="G227" s="394">
        <v>0</v>
      </c>
      <c r="H227" s="394">
        <v>36972.1</v>
      </c>
      <c r="I227" s="394">
        <v>87042.8</v>
      </c>
      <c r="J227" s="394">
        <v>0</v>
      </c>
      <c r="K227" s="394">
        <v>2074872.1</v>
      </c>
      <c r="L227" s="394">
        <v>7111227.2999999998</v>
      </c>
      <c r="M227" s="350">
        <v>9340609.0999999996</v>
      </c>
      <c r="N227" s="376"/>
    </row>
    <row r="228" spans="2:14" ht="15.6" hidden="1">
      <c r="B228" s="438"/>
      <c r="C228" s="394"/>
      <c r="D228" s="350"/>
      <c r="E228" s="350"/>
      <c r="F228" s="394"/>
      <c r="G228" s="394"/>
      <c r="H228" s="394"/>
      <c r="I228" s="394"/>
      <c r="J228" s="394"/>
      <c r="K228" s="394"/>
      <c r="L228" s="394"/>
      <c r="M228" s="350"/>
      <c r="N228" s="376"/>
    </row>
    <row r="229" spans="2:14" ht="15.6" hidden="1">
      <c r="B229" s="438" t="s">
        <v>346</v>
      </c>
      <c r="C229" s="394">
        <v>835.7</v>
      </c>
      <c r="D229" s="350">
        <v>35786</v>
      </c>
      <c r="E229" s="350">
        <v>36621.699999999997</v>
      </c>
      <c r="F229" s="394">
        <v>68065.8</v>
      </c>
      <c r="G229" s="394">
        <v>0</v>
      </c>
      <c r="H229" s="394">
        <v>-1183375.8999999999</v>
      </c>
      <c r="I229" s="394">
        <v>435564.1</v>
      </c>
      <c r="J229" s="394">
        <v>0</v>
      </c>
      <c r="K229" s="394">
        <v>6861003.2999999998</v>
      </c>
      <c r="L229" s="394">
        <v>15343318.9</v>
      </c>
      <c r="M229" s="350">
        <v>21561197.800000001</v>
      </c>
      <c r="N229" s="376"/>
    </row>
    <row r="230" spans="2:14" ht="15.6" hidden="1">
      <c r="B230" s="438"/>
      <c r="C230" s="394"/>
      <c r="D230" s="350"/>
      <c r="E230" s="350"/>
      <c r="F230" s="394"/>
      <c r="G230" s="394"/>
      <c r="H230" s="394"/>
      <c r="I230" s="394"/>
      <c r="J230" s="394"/>
      <c r="K230" s="394"/>
      <c r="L230" s="394"/>
      <c r="M230" s="350"/>
      <c r="N230" s="376"/>
    </row>
    <row r="231" spans="2:14" ht="15.6" hidden="1">
      <c r="B231" s="438" t="s">
        <v>347</v>
      </c>
      <c r="C231" s="394">
        <v>974</v>
      </c>
      <c r="D231" s="350">
        <v>35144.9</v>
      </c>
      <c r="E231" s="350">
        <v>36118.9</v>
      </c>
      <c r="F231" s="394">
        <v>68472.399999999994</v>
      </c>
      <c r="G231" s="394">
        <v>0</v>
      </c>
      <c r="H231" s="394">
        <v>-1109208.1000000001</v>
      </c>
      <c r="I231" s="394">
        <v>815447.1</v>
      </c>
      <c r="J231" s="394">
        <v>0</v>
      </c>
      <c r="K231" s="394">
        <v>5727901.5</v>
      </c>
      <c r="L231" s="394">
        <v>29624901.5</v>
      </c>
      <c r="M231" s="350">
        <f>SUM(F231:L231,E231)</f>
        <v>35163633.299999997</v>
      </c>
      <c r="N231" s="376"/>
    </row>
    <row r="232" spans="2:14" ht="15.6" hidden="1">
      <c r="B232" s="438"/>
      <c r="C232" s="394"/>
      <c r="D232" s="350"/>
      <c r="E232" s="350"/>
      <c r="F232" s="394"/>
      <c r="G232" s="394"/>
      <c r="H232" s="394"/>
      <c r="I232" s="394"/>
      <c r="J232" s="394"/>
      <c r="K232" s="394"/>
      <c r="L232" s="394"/>
      <c r="M232" s="350"/>
      <c r="N232" s="376"/>
    </row>
    <row r="233" spans="2:14" ht="15.6" hidden="1">
      <c r="B233" s="438" t="s">
        <v>12</v>
      </c>
      <c r="C233" s="394">
        <v>1453.6</v>
      </c>
      <c r="D233" s="350">
        <v>39528.5</v>
      </c>
      <c r="E233" s="350">
        <v>40982.1</v>
      </c>
      <c r="F233" s="394">
        <v>68472.399999999994</v>
      </c>
      <c r="G233" s="394">
        <v>0</v>
      </c>
      <c r="H233" s="394">
        <v>-2638817.2999999998</v>
      </c>
      <c r="I233" s="394">
        <v>732861.3</v>
      </c>
      <c r="J233" s="394">
        <v>0</v>
      </c>
      <c r="K233" s="394">
        <v>6894445.5999999996</v>
      </c>
      <c r="L233" s="394">
        <v>4439434.9000000004</v>
      </c>
      <c r="M233" s="350">
        <v>49492879</v>
      </c>
      <c r="N233" s="376"/>
    </row>
    <row r="234" spans="2:14" ht="15.6" hidden="1">
      <c r="B234" s="438"/>
      <c r="C234" s="394"/>
      <c r="D234" s="350"/>
      <c r="E234" s="350"/>
      <c r="F234" s="394"/>
      <c r="G234" s="394"/>
      <c r="H234" s="394"/>
      <c r="I234" s="394"/>
      <c r="J234" s="394"/>
      <c r="K234" s="394"/>
      <c r="L234" s="394"/>
      <c r="M234" s="350"/>
      <c r="N234" s="376"/>
    </row>
    <row r="235" spans="2:14" ht="15.6" hidden="1">
      <c r="B235" s="438" t="s">
        <v>13</v>
      </c>
      <c r="C235" s="394">
        <v>182141.1</v>
      </c>
      <c r="D235" s="350">
        <v>4302548</v>
      </c>
      <c r="E235" s="350">
        <v>4484689.0999999996</v>
      </c>
      <c r="F235" s="394">
        <v>68470.7</v>
      </c>
      <c r="G235" s="394">
        <v>0</v>
      </c>
      <c r="H235" s="394">
        <v>-9003583.3000000007</v>
      </c>
      <c r="I235" s="394">
        <v>741013.2</v>
      </c>
      <c r="J235" s="394">
        <v>0</v>
      </c>
      <c r="K235" s="394">
        <v>13383062</v>
      </c>
      <c r="L235" s="394">
        <v>72591125</v>
      </c>
      <c r="M235" s="350">
        <v>82264776.700000003</v>
      </c>
      <c r="N235" s="376"/>
    </row>
    <row r="236" spans="2:14" ht="15.6" hidden="1">
      <c r="B236" s="438"/>
      <c r="C236" s="394"/>
      <c r="D236" s="350"/>
      <c r="E236" s="350"/>
      <c r="F236" s="394"/>
      <c r="G236" s="394"/>
      <c r="H236" s="394"/>
      <c r="I236" s="394"/>
      <c r="J236" s="394"/>
      <c r="K236" s="394"/>
      <c r="L236" s="394"/>
      <c r="M236" s="350"/>
      <c r="N236" s="376"/>
    </row>
    <row r="237" spans="2:14" ht="15.6" hidden="1">
      <c r="B237" s="438" t="s">
        <v>14</v>
      </c>
      <c r="C237" s="394">
        <v>238861</v>
      </c>
      <c r="D237" s="350">
        <v>5876258.9000000004</v>
      </c>
      <c r="E237" s="350">
        <v>6115119.9000000004</v>
      </c>
      <c r="F237" s="394">
        <v>68469.7</v>
      </c>
      <c r="G237" s="394">
        <v>0</v>
      </c>
      <c r="H237" s="394">
        <v>-6801687.9000000004</v>
      </c>
      <c r="I237" s="394">
        <v>1499978.8</v>
      </c>
      <c r="J237" s="394">
        <v>0</v>
      </c>
      <c r="K237" s="394">
        <v>59253801.5</v>
      </c>
      <c r="L237" s="394">
        <v>121984509.8</v>
      </c>
      <c r="M237" s="350">
        <f>SUM(F237:L237,E237)</f>
        <v>182120191.80000001</v>
      </c>
      <c r="N237" s="376"/>
    </row>
    <row r="238" spans="2:14" ht="15.6" hidden="1">
      <c r="B238" s="438"/>
      <c r="C238" s="394"/>
      <c r="D238" s="350"/>
      <c r="E238" s="350"/>
      <c r="F238" s="394"/>
      <c r="G238" s="394"/>
      <c r="H238" s="394"/>
      <c r="I238" s="394"/>
      <c r="J238" s="394"/>
      <c r="K238" s="394"/>
      <c r="L238" s="394"/>
      <c r="M238" s="350"/>
      <c r="N238" s="376"/>
    </row>
    <row r="239" spans="2:14" ht="15.6" hidden="1">
      <c r="B239" s="438" t="s">
        <v>15</v>
      </c>
      <c r="C239" s="394">
        <v>189176.5</v>
      </c>
      <c r="D239" s="350">
        <v>4939885.5</v>
      </c>
      <c r="E239" s="350">
        <v>5129062</v>
      </c>
      <c r="F239" s="394">
        <v>68470.7</v>
      </c>
      <c r="G239" s="394">
        <v>0</v>
      </c>
      <c r="H239" s="394">
        <v>-10455827.1</v>
      </c>
      <c r="I239" s="394">
        <v>3265387.8</v>
      </c>
      <c r="J239" s="394">
        <v>0</v>
      </c>
      <c r="K239" s="394">
        <v>162661493.59999999</v>
      </c>
      <c r="L239" s="394">
        <v>228397068</v>
      </c>
      <c r="M239" s="350">
        <f>SUM(F239:L239,E239)</f>
        <v>389065655</v>
      </c>
      <c r="N239" s="376"/>
    </row>
    <row r="240" spans="2:14" ht="15.6" hidden="1">
      <c r="B240" s="438"/>
      <c r="C240" s="394"/>
      <c r="D240" s="350"/>
      <c r="E240" s="350"/>
      <c r="F240" s="394"/>
      <c r="G240" s="394"/>
      <c r="H240" s="394"/>
      <c r="I240" s="394"/>
      <c r="J240" s="394"/>
      <c r="K240" s="394"/>
      <c r="L240" s="394"/>
      <c r="M240" s="350"/>
      <c r="N240" s="376"/>
    </row>
    <row r="241" spans="2:14" ht="15.6" hidden="1">
      <c r="B241" s="438" t="s">
        <v>16</v>
      </c>
      <c r="C241" s="394">
        <v>2313649</v>
      </c>
      <c r="D241" s="350">
        <v>4366549.2</v>
      </c>
      <c r="E241" s="350">
        <v>6680198.2000000002</v>
      </c>
      <c r="F241" s="394">
        <v>68470.7</v>
      </c>
      <c r="G241" s="394">
        <v>0</v>
      </c>
      <c r="H241" s="394">
        <v>-40603928.200000003</v>
      </c>
      <c r="I241" s="394">
        <v>18637086.199999999</v>
      </c>
      <c r="J241" s="394">
        <v>0</v>
      </c>
      <c r="K241" s="394">
        <v>353180442.19999999</v>
      </c>
      <c r="L241" s="394">
        <v>404652591.30000001</v>
      </c>
      <c r="M241" s="350">
        <f>SUM(F241:L241,E241)</f>
        <v>742614860.4000001</v>
      </c>
      <c r="N241" s="376"/>
    </row>
    <row r="242" spans="2:14" ht="15.6" hidden="1">
      <c r="B242" s="438"/>
      <c r="C242" s="394"/>
      <c r="D242" s="350"/>
      <c r="E242" s="350"/>
      <c r="F242" s="394"/>
      <c r="G242" s="394"/>
      <c r="H242" s="394"/>
      <c r="I242" s="394"/>
      <c r="J242" s="394"/>
      <c r="K242" s="394"/>
      <c r="L242" s="394"/>
      <c r="M242" s="350"/>
      <c r="N242" s="376"/>
    </row>
    <row r="243" spans="2:14" ht="15.6" hidden="1">
      <c r="B243" s="468">
        <v>2008</v>
      </c>
      <c r="C243" s="394"/>
      <c r="D243" s="350"/>
      <c r="E243" s="350"/>
      <c r="F243" s="394"/>
      <c r="G243" s="394"/>
      <c r="H243" s="394"/>
      <c r="I243" s="394"/>
      <c r="J243" s="394"/>
      <c r="K243" s="394"/>
      <c r="L243" s="394"/>
      <c r="M243" s="350"/>
      <c r="N243" s="376"/>
    </row>
    <row r="244" spans="2:14" ht="15.6" hidden="1">
      <c r="B244" s="438"/>
      <c r="C244" s="394"/>
      <c r="D244" s="350"/>
      <c r="E244" s="350"/>
      <c r="F244" s="394"/>
      <c r="G244" s="394"/>
      <c r="H244" s="394"/>
      <c r="I244" s="394"/>
      <c r="J244" s="394"/>
      <c r="K244" s="394"/>
      <c r="L244" s="394"/>
      <c r="M244" s="350"/>
      <c r="N244" s="376"/>
    </row>
    <row r="245" spans="2:14" ht="15.6" hidden="1">
      <c r="B245" s="438" t="s">
        <v>8</v>
      </c>
      <c r="C245" s="394">
        <v>1.0812710000000001E-5</v>
      </c>
      <c r="D245" s="350">
        <v>5.1800489999999995E-4</v>
      </c>
      <c r="E245" s="350">
        <v>5.2881760999999995E-4</v>
      </c>
      <c r="F245" s="394">
        <v>6.8470699999999996E-6</v>
      </c>
      <c r="G245" s="394">
        <v>0</v>
      </c>
      <c r="H245" s="394">
        <v>3.9364315600000001E-3</v>
      </c>
      <c r="I245" s="394">
        <v>6.4216741899999997E-3</v>
      </c>
      <c r="J245" s="394">
        <v>0</v>
      </c>
      <c r="K245" s="394">
        <v>2.9828235250000001E-2</v>
      </c>
      <c r="L245" s="394">
        <v>7.7619667810000001E-2</v>
      </c>
      <c r="M245" s="350">
        <v>0.11834167349000001</v>
      </c>
      <c r="N245" s="469"/>
    </row>
    <row r="246" spans="2:14" ht="15.6" hidden="1">
      <c r="B246" s="438"/>
      <c r="C246" s="394"/>
      <c r="D246" s="350"/>
      <c r="E246" s="350"/>
      <c r="F246" s="394"/>
      <c r="G246" s="394"/>
      <c r="H246" s="394"/>
      <c r="I246" s="394"/>
      <c r="J246" s="394"/>
      <c r="K246" s="394"/>
      <c r="L246" s="394"/>
      <c r="M246" s="350"/>
      <c r="N246" s="469"/>
    </row>
    <row r="247" spans="2:14" ht="15.6" hidden="1">
      <c r="B247" s="438" t="s">
        <v>9</v>
      </c>
      <c r="C247" s="394">
        <v>3.8095029999999996E-5</v>
      </c>
      <c r="D247" s="350">
        <v>4.0349261000000003E-4</v>
      </c>
      <c r="E247" s="350">
        <v>4.4158764000000006E-4</v>
      </c>
      <c r="F247" s="394">
        <v>6.8470699999999996E-6</v>
      </c>
      <c r="G247" s="394">
        <v>0</v>
      </c>
      <c r="H247" s="394">
        <v>5.3756484220000005E-2</v>
      </c>
      <c r="I247" s="394">
        <v>2.9789795399999997E-3</v>
      </c>
      <c r="J247" s="394">
        <v>0</v>
      </c>
      <c r="K247" s="394">
        <v>3.5535172389999994E-2</v>
      </c>
      <c r="L247" s="394">
        <v>0.15172048615</v>
      </c>
      <c r="M247" s="350">
        <v>0.24443955701</v>
      </c>
      <c r="N247" s="469"/>
    </row>
    <row r="248" spans="2:14" ht="15.6" hidden="1">
      <c r="B248" s="438"/>
      <c r="C248" s="394"/>
      <c r="D248" s="350"/>
      <c r="E248" s="350"/>
      <c r="F248" s="394"/>
      <c r="G248" s="394"/>
      <c r="H248" s="394"/>
      <c r="I248" s="394"/>
      <c r="J248" s="394"/>
      <c r="K248" s="394"/>
      <c r="L248" s="394"/>
      <c r="M248" s="350"/>
      <c r="N248" s="469"/>
    </row>
    <row r="249" spans="2:14" ht="15.6" hidden="1">
      <c r="B249" s="438" t="s">
        <v>10</v>
      </c>
      <c r="C249" s="394">
        <v>3.0590483000000001E-4</v>
      </c>
      <c r="D249" s="350">
        <v>4.0929201000000003E-4</v>
      </c>
      <c r="E249" s="350">
        <v>7.1519684000000009E-4</v>
      </c>
      <c r="F249" s="394">
        <v>6.8470699999999996E-6</v>
      </c>
      <c r="G249" s="394">
        <v>0</v>
      </c>
      <c r="H249" s="394">
        <v>0.20016010042000001</v>
      </c>
      <c r="I249" s="394">
        <v>5.4252834399999995E-3</v>
      </c>
      <c r="J249" s="394">
        <v>0</v>
      </c>
      <c r="K249" s="394">
        <v>0.20819547720999998</v>
      </c>
      <c r="L249" s="394">
        <v>0.40098397336999997</v>
      </c>
      <c r="M249" s="350">
        <v>0.86435687834999997</v>
      </c>
      <c r="N249" s="469"/>
    </row>
    <row r="250" spans="2:14" ht="15.6" hidden="1">
      <c r="B250" s="438"/>
      <c r="C250" s="394"/>
      <c r="D250" s="350"/>
      <c r="E250" s="350"/>
      <c r="F250" s="394"/>
      <c r="G250" s="394"/>
      <c r="H250" s="394"/>
      <c r="I250" s="394"/>
      <c r="J250" s="394"/>
      <c r="K250" s="394"/>
      <c r="L250" s="394"/>
      <c r="M250" s="350"/>
      <c r="N250" s="469"/>
    </row>
    <row r="251" spans="2:14" ht="15.6" hidden="1">
      <c r="B251" s="438" t="s">
        <v>11</v>
      </c>
      <c r="C251" s="394">
        <v>0.11752060597000001</v>
      </c>
      <c r="D251" s="350">
        <v>3.2693195999999999E-4</v>
      </c>
      <c r="E251" s="350">
        <v>0.11784753793</v>
      </c>
      <c r="F251" s="394">
        <v>5.8978800000000002E-6</v>
      </c>
      <c r="G251" s="394">
        <v>0</v>
      </c>
      <c r="H251" s="394">
        <v>5.006006851E-2</v>
      </c>
      <c r="I251" s="394">
        <v>2.1800000430000001E-2</v>
      </c>
      <c r="J251" s="394">
        <v>0</v>
      </c>
      <c r="K251" s="394">
        <v>0.22359842429000001</v>
      </c>
      <c r="L251" s="394">
        <v>0.81721808921999994</v>
      </c>
      <c r="M251" s="350">
        <v>1.6810709182600001</v>
      </c>
      <c r="N251" s="469"/>
    </row>
    <row r="252" spans="2:14" ht="15.6" hidden="1">
      <c r="B252" s="438"/>
      <c r="C252" s="394"/>
      <c r="D252" s="350"/>
      <c r="E252" s="350"/>
      <c r="F252" s="394"/>
      <c r="G252" s="394"/>
      <c r="H252" s="394"/>
      <c r="I252" s="394"/>
      <c r="J252" s="394"/>
      <c r="K252" s="394"/>
      <c r="L252" s="394"/>
      <c r="M252" s="350"/>
      <c r="N252" s="469"/>
    </row>
    <row r="253" spans="2:14" ht="15.6" hidden="1">
      <c r="B253" s="438" t="s">
        <v>337</v>
      </c>
      <c r="C253" s="394">
        <v>1.3513965997200001</v>
      </c>
      <c r="D253" s="350">
        <v>7.5608579071100008</v>
      </c>
      <c r="E253" s="350">
        <v>8.912254506830001</v>
      </c>
      <c r="F253" s="394">
        <v>1.020977E-4</v>
      </c>
      <c r="G253" s="394">
        <v>0</v>
      </c>
      <c r="H253" s="394">
        <v>0.36101421939</v>
      </c>
      <c r="I253" s="394">
        <v>2.9962286369999997E-2</v>
      </c>
      <c r="J253" s="394">
        <v>0</v>
      </c>
      <c r="K253" s="394">
        <v>1.55931919402</v>
      </c>
      <c r="L253" s="394">
        <v>34.652326787329997</v>
      </c>
      <c r="M253" s="350">
        <v>45.514979091640001</v>
      </c>
      <c r="N253" s="469"/>
    </row>
    <row r="254" spans="2:14" ht="15.6" hidden="1">
      <c r="B254" s="438"/>
      <c r="C254" s="394"/>
      <c r="D254" s="350"/>
      <c r="E254" s="350"/>
      <c r="F254" s="394"/>
      <c r="G254" s="394"/>
      <c r="H254" s="394"/>
      <c r="I254" s="394"/>
      <c r="J254" s="394"/>
      <c r="K254" s="394"/>
      <c r="L254" s="394"/>
      <c r="M254" s="350"/>
      <c r="N254" s="469"/>
    </row>
    <row r="255" spans="2:14" ht="15.6" hidden="1">
      <c r="B255" s="438" t="s">
        <v>346</v>
      </c>
      <c r="C255" s="394">
        <v>4.6100030784300001</v>
      </c>
      <c r="D255" s="350">
        <v>80.801040697609992</v>
      </c>
      <c r="E255" s="350">
        <v>85.411043776040003</v>
      </c>
      <c r="F255" s="394">
        <v>1E-4</v>
      </c>
      <c r="G255" s="394">
        <v>0</v>
      </c>
      <c r="H255" s="394">
        <v>8.1725518351000002</v>
      </c>
      <c r="I255" s="394">
        <v>13.877538334960001</v>
      </c>
      <c r="J255" s="394">
        <v>0</v>
      </c>
      <c r="K255" s="394">
        <v>510.86349784177997</v>
      </c>
      <c r="L255" s="394">
        <v>1433.78416673774</v>
      </c>
      <c r="M255" s="350">
        <v>2052.1088985256201</v>
      </c>
      <c r="N255" s="469"/>
    </row>
    <row r="256" spans="2:14" ht="15.6" hidden="1">
      <c r="B256" s="438"/>
      <c r="C256" s="394"/>
      <c r="D256" s="350"/>
      <c r="E256" s="350"/>
      <c r="F256" s="394"/>
      <c r="G256" s="394"/>
      <c r="H256" s="394"/>
      <c r="I256" s="394"/>
      <c r="J256" s="394"/>
      <c r="K256" s="394"/>
      <c r="L256" s="394"/>
      <c r="M256" s="350"/>
      <c r="N256" s="469"/>
    </row>
    <row r="257" spans="2:14" ht="15.6" hidden="1">
      <c r="B257" s="438" t="s">
        <v>347</v>
      </c>
      <c r="C257" s="470">
        <v>9.2200061568600002</v>
      </c>
      <c r="D257" s="471">
        <v>702.65995953521997</v>
      </c>
      <c r="E257" s="471">
        <v>711.87996569207996</v>
      </c>
      <c r="F257" s="470">
        <v>9.840548000000001E-5</v>
      </c>
      <c r="G257" s="470">
        <v>0</v>
      </c>
      <c r="H257" s="470">
        <v>-29.023378071070002</v>
      </c>
      <c r="I257" s="470">
        <v>1.62438605231</v>
      </c>
      <c r="J257" s="470">
        <v>0</v>
      </c>
      <c r="K257" s="470">
        <v>0</v>
      </c>
      <c r="L257" s="470">
        <v>11572.2175101051</v>
      </c>
      <c r="M257" s="471">
        <v>12256.698582183901</v>
      </c>
      <c r="N257" s="469"/>
    </row>
    <row r="258" spans="2:14" ht="15.6" hidden="1">
      <c r="B258" s="438"/>
      <c r="C258" s="394"/>
      <c r="D258" s="350"/>
      <c r="E258" s="350"/>
      <c r="F258" s="394"/>
      <c r="G258" s="394"/>
      <c r="H258" s="394"/>
      <c r="I258" s="394"/>
      <c r="J258" s="394"/>
      <c r="K258" s="394"/>
      <c r="L258" s="394"/>
      <c r="M258" s="350"/>
      <c r="N258" s="405"/>
    </row>
    <row r="259" spans="2:14" ht="15.6" hidden="1">
      <c r="B259" s="386" t="s">
        <v>12</v>
      </c>
      <c r="C259" s="415">
        <v>35.799999999999997</v>
      </c>
      <c r="D259" s="414">
        <v>9453.7999999999993</v>
      </c>
      <c r="E259" s="414">
        <v>9489.6</v>
      </c>
      <c r="F259" s="415">
        <v>0</v>
      </c>
      <c r="G259" s="415">
        <v>0</v>
      </c>
      <c r="H259" s="415">
        <v>-1244.5999999999999</v>
      </c>
      <c r="I259" s="415">
        <v>4393.7</v>
      </c>
      <c r="J259" s="415">
        <v>0</v>
      </c>
      <c r="K259" s="415">
        <v>92264.3</v>
      </c>
      <c r="L259" s="415">
        <v>210672</v>
      </c>
      <c r="M259" s="414">
        <v>315574.90000000002</v>
      </c>
      <c r="N259" s="405"/>
    </row>
    <row r="260" spans="2:14" ht="15.6" hidden="1">
      <c r="B260" s="386"/>
      <c r="C260" s="394"/>
      <c r="D260" s="350"/>
      <c r="E260" s="350"/>
      <c r="F260" s="394"/>
      <c r="G260" s="394"/>
      <c r="H260" s="394"/>
      <c r="I260" s="394"/>
      <c r="J260" s="394"/>
      <c r="K260" s="394"/>
      <c r="L260" s="394"/>
      <c r="M260" s="350"/>
      <c r="N260" s="405"/>
    </row>
    <row r="261" spans="2:14" ht="15.6" hidden="1">
      <c r="B261" s="386" t="s">
        <v>13</v>
      </c>
      <c r="C261" s="415">
        <v>235.5</v>
      </c>
      <c r="D261" s="414">
        <v>13884.2</v>
      </c>
      <c r="E261" s="414">
        <v>14119.7</v>
      </c>
      <c r="F261" s="415">
        <v>0</v>
      </c>
      <c r="G261" s="415">
        <v>0</v>
      </c>
      <c r="H261" s="415">
        <v>-245140.4</v>
      </c>
      <c r="I261" s="415">
        <v>1190448.7</v>
      </c>
      <c r="J261" s="415">
        <v>0</v>
      </c>
      <c r="K261" s="415">
        <v>15833515.6</v>
      </c>
      <c r="L261" s="415">
        <v>33598796.899999999</v>
      </c>
      <c r="M261" s="414">
        <v>50391740.5</v>
      </c>
      <c r="N261" s="405"/>
    </row>
    <row r="262" spans="2:14" ht="15.6" hidden="1">
      <c r="B262" s="386"/>
      <c r="C262" s="415"/>
      <c r="D262" s="414"/>
      <c r="E262" s="414"/>
      <c r="F262" s="415"/>
      <c r="G262" s="415"/>
      <c r="H262" s="415"/>
      <c r="I262" s="415"/>
      <c r="J262" s="415"/>
      <c r="K262" s="415"/>
      <c r="L262" s="415"/>
      <c r="M262" s="414"/>
      <c r="N262" s="405"/>
    </row>
    <row r="263" spans="2:14" ht="15.6" hidden="1">
      <c r="B263" s="386" t="s">
        <v>14</v>
      </c>
      <c r="C263" s="415">
        <v>2501.9</v>
      </c>
      <c r="D263" s="414">
        <v>62526.400000000001</v>
      </c>
      <c r="E263" s="414">
        <v>65028.3</v>
      </c>
      <c r="F263" s="415">
        <v>0</v>
      </c>
      <c r="G263" s="415">
        <v>0</v>
      </c>
      <c r="H263" s="415">
        <v>-2637680290.1999998</v>
      </c>
      <c r="I263" s="415">
        <v>54325949872.900002</v>
      </c>
      <c r="J263" s="415">
        <v>0</v>
      </c>
      <c r="K263" s="415">
        <v>8286326817306.4004</v>
      </c>
      <c r="L263" s="415">
        <v>2028890675457.2</v>
      </c>
      <c r="M263" s="414">
        <v>10366905827374.6</v>
      </c>
      <c r="N263" s="405"/>
    </row>
    <row r="264" spans="2:14" ht="15.6" hidden="1">
      <c r="B264" s="386"/>
      <c r="C264" s="415"/>
      <c r="D264" s="414"/>
      <c r="E264" s="414"/>
      <c r="F264" s="415"/>
      <c r="G264" s="415"/>
      <c r="H264" s="415"/>
      <c r="I264" s="415"/>
      <c r="J264" s="415"/>
      <c r="K264" s="415"/>
      <c r="L264" s="415"/>
      <c r="M264" s="414"/>
      <c r="N264" s="405"/>
    </row>
    <row r="265" spans="2:14" ht="15.6" hidden="1">
      <c r="B265" s="386" t="s">
        <v>15</v>
      </c>
      <c r="C265" s="415">
        <v>219143.8</v>
      </c>
      <c r="D265" s="414">
        <v>6315280.5999999996</v>
      </c>
      <c r="E265" s="414">
        <v>6534424.4000000004</v>
      </c>
      <c r="F265" s="415">
        <v>0</v>
      </c>
      <c r="G265" s="415">
        <v>0</v>
      </c>
      <c r="H265" s="415">
        <v>3477324302988190</v>
      </c>
      <c r="I265" s="415">
        <v>26222856243.700001</v>
      </c>
      <c r="J265" s="415">
        <v>0</v>
      </c>
      <c r="K265" s="415">
        <v>5.4576784089204998E+17</v>
      </c>
      <c r="L265" s="415">
        <v>4.20551745317602E+16</v>
      </c>
      <c r="M265" s="414">
        <v>5.9130036595618906E+17</v>
      </c>
      <c r="N265" s="405"/>
    </row>
    <row r="266" spans="2:14" ht="15.6" hidden="1">
      <c r="B266" s="386"/>
      <c r="C266" s="415"/>
      <c r="D266" s="414"/>
      <c r="E266" s="414"/>
      <c r="F266" s="415"/>
      <c r="G266" s="415"/>
      <c r="H266" s="415"/>
      <c r="I266" s="415"/>
      <c r="J266" s="415"/>
      <c r="K266" s="415"/>
      <c r="L266" s="415"/>
      <c r="M266" s="414"/>
      <c r="N266" s="405"/>
    </row>
    <row r="267" spans="2:14" ht="15.6" hidden="1">
      <c r="B267" s="386" t="s">
        <v>16</v>
      </c>
      <c r="C267" s="415">
        <v>8055631.7000000002</v>
      </c>
      <c r="D267" s="414">
        <v>393079902.5</v>
      </c>
      <c r="E267" s="414">
        <v>401135534.19999999</v>
      </c>
      <c r="F267" s="415">
        <v>4000000000000000</v>
      </c>
      <c r="G267" s="415">
        <v>0</v>
      </c>
      <c r="H267" s="415">
        <v>-4.0569288471624096E+16</v>
      </c>
      <c r="I267" s="415">
        <v>26287513386.299999</v>
      </c>
      <c r="J267" s="415">
        <v>0</v>
      </c>
      <c r="K267" s="415">
        <v>6.2572301658402099E+17</v>
      </c>
      <c r="L267" s="415">
        <v>5.1083678786223196E+18</v>
      </c>
      <c r="M267" s="414">
        <v>5.6975216334233702E+18</v>
      </c>
      <c r="N267" s="405"/>
    </row>
    <row r="268" spans="2:14" ht="16.2" hidden="1" thickBot="1">
      <c r="B268" s="472"/>
      <c r="C268" s="473"/>
      <c r="D268" s="473"/>
      <c r="E268" s="474"/>
      <c r="F268" s="473"/>
      <c r="G268" s="473"/>
      <c r="H268" s="473"/>
      <c r="I268" s="473"/>
      <c r="J268" s="473"/>
      <c r="K268" s="473"/>
      <c r="L268" s="473"/>
      <c r="M268" s="474"/>
      <c r="N268" s="376"/>
    </row>
    <row r="269" spans="2:14" ht="16.2" hidden="1" thickTop="1">
      <c r="B269" s="437"/>
      <c r="C269" s="444"/>
      <c r="D269" s="444"/>
      <c r="E269" s="445"/>
      <c r="F269" s="444"/>
      <c r="G269" s="444"/>
      <c r="H269" s="444"/>
      <c r="I269" s="444"/>
      <c r="J269" s="444"/>
      <c r="K269" s="444"/>
      <c r="L269" s="444"/>
      <c r="M269" s="445"/>
      <c r="N269" s="376"/>
    </row>
    <row r="270" spans="2:14" hidden="1"/>
    <row r="271" spans="2:14" hidden="1"/>
    <row r="272" spans="2:14" ht="15.6" hidden="1" thickBot="1">
      <c r="C272" s="475">
        <v>10000000000</v>
      </c>
    </row>
    <row r="273" spans="2:14" ht="16.2" hidden="1" thickTop="1">
      <c r="B273" s="476">
        <v>2009</v>
      </c>
      <c r="C273" s="477"/>
      <c r="D273" s="478"/>
      <c r="E273" s="478"/>
      <c r="F273" s="477"/>
      <c r="G273" s="477"/>
      <c r="H273" s="477"/>
      <c r="I273" s="477"/>
      <c r="J273" s="477"/>
      <c r="K273" s="477"/>
      <c r="L273" s="477"/>
      <c r="M273" s="478"/>
    </row>
    <row r="274" spans="2:14" ht="15.6" hidden="1">
      <c r="B274" s="438"/>
      <c r="C274" s="394"/>
      <c r="D274" s="350"/>
      <c r="E274" s="350"/>
      <c r="F274" s="394"/>
      <c r="G274" s="394"/>
      <c r="H274" s="394"/>
      <c r="I274" s="394"/>
      <c r="J274" s="394"/>
      <c r="K274" s="394"/>
      <c r="L274" s="394"/>
      <c r="M274" s="350"/>
    </row>
    <row r="275" spans="2:14" ht="15.6" hidden="1">
      <c r="B275" s="438" t="s">
        <v>8</v>
      </c>
      <c r="C275" s="415">
        <v>1.0812710000000001E-5</v>
      </c>
      <c r="D275" s="414">
        <v>68.949376000000001</v>
      </c>
      <c r="E275" s="414">
        <f>C275+D275</f>
        <v>68.949386812710003</v>
      </c>
      <c r="F275" s="415">
        <v>0.1142857</v>
      </c>
      <c r="G275" s="415">
        <v>-6.9999999999999994E-5</v>
      </c>
      <c r="H275" s="415">
        <v>1015.5032808999999</v>
      </c>
      <c r="I275" s="415">
        <v>1.3999999999999999E-6</v>
      </c>
      <c r="J275" s="415">
        <v>0</v>
      </c>
      <c r="K275" s="415">
        <v>15.4855429</v>
      </c>
      <c r="L275" s="415">
        <v>142.421561</v>
      </c>
      <c r="M275" s="414">
        <f>E275+F275+G275+H275+I275+J275+K275+L275</f>
        <v>1242.4739887127098</v>
      </c>
      <c r="N275" s="479"/>
    </row>
    <row r="276" spans="2:14" ht="15.6" hidden="1">
      <c r="B276" s="438"/>
      <c r="C276" s="415"/>
      <c r="D276" s="414">
        <v>0</v>
      </c>
      <c r="E276" s="414"/>
      <c r="F276" s="415"/>
      <c r="G276" s="415"/>
      <c r="H276" s="415"/>
      <c r="I276" s="415"/>
      <c r="J276" s="415"/>
      <c r="K276" s="415"/>
      <c r="L276" s="415"/>
      <c r="M276" s="414"/>
    </row>
    <row r="277" spans="2:14" ht="15.6" hidden="1">
      <c r="B277" s="438" t="s">
        <v>9</v>
      </c>
      <c r="C277" s="415">
        <v>3.8095029999999996E-5</v>
      </c>
      <c r="D277" s="414">
        <v>76.007940000000005</v>
      </c>
      <c r="E277" s="414">
        <f>C277+D277</f>
        <v>76.007978095030012</v>
      </c>
      <c r="F277" s="415">
        <v>0.1142857</v>
      </c>
      <c r="G277" s="415">
        <v>-3.4480000000000003E-4</v>
      </c>
      <c r="H277" s="415">
        <v>1025.2251348</v>
      </c>
      <c r="I277" s="415">
        <v>8.4000000000000009E-6</v>
      </c>
      <c r="J277" s="415">
        <v>0</v>
      </c>
      <c r="K277" s="415">
        <v>15.4855429</v>
      </c>
      <c r="L277" s="415">
        <v>154.84665959999998</v>
      </c>
      <c r="M277" s="414">
        <f>E277+F277+G277+H277+I277+J277+K277+L277</f>
        <v>1271.67926469503</v>
      </c>
    </row>
    <row r="278" spans="2:14" ht="15.6" hidden="1">
      <c r="B278" s="438"/>
      <c r="C278" s="415"/>
      <c r="D278" s="414">
        <v>0</v>
      </c>
      <c r="E278" s="414"/>
      <c r="F278" s="415"/>
      <c r="G278" s="415"/>
      <c r="H278" s="415"/>
      <c r="I278" s="415"/>
      <c r="J278" s="415"/>
      <c r="K278" s="415"/>
      <c r="L278" s="415"/>
      <c r="M278" s="414"/>
    </row>
    <row r="279" spans="2:14" ht="15.6" hidden="1">
      <c r="B279" s="438" t="s">
        <v>10</v>
      </c>
      <c r="C279" s="415">
        <v>3.0590483000000001E-4</v>
      </c>
      <c r="D279" s="414">
        <v>78.532039999999995</v>
      </c>
      <c r="E279" s="414">
        <f>C279+D279</f>
        <v>78.532345904829995</v>
      </c>
      <c r="F279" s="415">
        <v>0.1142857</v>
      </c>
      <c r="G279" s="415">
        <v>-3.4480000000000003E-4</v>
      </c>
      <c r="H279" s="415">
        <v>1030.0427296</v>
      </c>
      <c r="I279" s="415">
        <v>4.0439999999999996E-4</v>
      </c>
      <c r="J279" s="415">
        <v>0</v>
      </c>
      <c r="K279" s="415">
        <v>15.4855429</v>
      </c>
      <c r="L279" s="415">
        <v>7519.3941256999997</v>
      </c>
      <c r="M279" s="414">
        <f>E279+F279+G279+H279+I279+J279+K279+L279</f>
        <v>8643.5690894048294</v>
      </c>
    </row>
    <row r="280" spans="2:14" ht="15.6" hidden="1">
      <c r="B280" s="438"/>
      <c r="C280" s="415"/>
      <c r="D280" s="414">
        <v>0</v>
      </c>
      <c r="E280" s="414"/>
      <c r="F280" s="415"/>
      <c r="G280" s="415"/>
      <c r="H280" s="415"/>
      <c r="I280" s="415"/>
      <c r="J280" s="415"/>
      <c r="K280" s="415"/>
      <c r="L280" s="415"/>
      <c r="M280" s="414"/>
    </row>
    <row r="281" spans="2:14" ht="15.6" hidden="1">
      <c r="B281" s="438" t="s">
        <v>11</v>
      </c>
      <c r="C281" s="415">
        <v>0</v>
      </c>
      <c r="D281" s="414">
        <v>53.185958299999996</v>
      </c>
      <c r="E281" s="414">
        <f>C281+D281</f>
        <v>53.185958299999996</v>
      </c>
      <c r="F281" s="415">
        <v>5.8978800000000002E-6</v>
      </c>
      <c r="G281" s="415">
        <v>0</v>
      </c>
      <c r="H281" s="415">
        <v>1554.7452880000001</v>
      </c>
      <c r="I281" s="415">
        <v>4.0561E-2</v>
      </c>
      <c r="J281" s="415">
        <v>0</v>
      </c>
      <c r="K281" s="415">
        <v>35.457618600000004</v>
      </c>
      <c r="L281" s="415">
        <v>143.02202780000002</v>
      </c>
      <c r="M281" s="414">
        <f>E281+F281+G281+H281+I281+J281+K281+L281</f>
        <v>1786.4514595978799</v>
      </c>
    </row>
    <row r="282" spans="2:14" ht="15.6" hidden="1">
      <c r="B282" s="438"/>
      <c r="C282" s="415"/>
      <c r="D282" s="414">
        <v>0</v>
      </c>
      <c r="E282" s="414"/>
      <c r="F282" s="415"/>
      <c r="G282" s="415"/>
      <c r="H282" s="415"/>
      <c r="I282" s="415"/>
      <c r="J282" s="415"/>
      <c r="K282" s="415"/>
      <c r="L282" s="415"/>
      <c r="M282" s="414"/>
    </row>
    <row r="283" spans="2:14" ht="15.6" hidden="1">
      <c r="B283" s="438" t="s">
        <v>337</v>
      </c>
      <c r="C283" s="415">
        <v>0</v>
      </c>
      <c r="D283" s="414">
        <v>60.491001799999999</v>
      </c>
      <c r="E283" s="414">
        <f>C283+D283</f>
        <v>60.491001799999999</v>
      </c>
      <c r="F283" s="415">
        <v>1.020977E-4</v>
      </c>
      <c r="G283" s="415">
        <v>0</v>
      </c>
      <c r="H283" s="415">
        <v>1554.2594750000001</v>
      </c>
      <c r="I283" s="415">
        <v>7.2908000000000001E-2</v>
      </c>
      <c r="J283" s="415">
        <v>0</v>
      </c>
      <c r="K283" s="415">
        <v>41.463796600000002</v>
      </c>
      <c r="L283" s="415">
        <v>144.49536749999999</v>
      </c>
      <c r="M283" s="414">
        <f>E283+F283+G283+H283+I283+J283+K283+L283</f>
        <v>1800.7826509977001</v>
      </c>
    </row>
    <row r="284" spans="2:14" ht="15.6" hidden="1">
      <c r="B284" s="438"/>
      <c r="C284" s="415"/>
      <c r="D284" s="414">
        <v>0</v>
      </c>
      <c r="E284" s="414"/>
      <c r="F284" s="415"/>
      <c r="G284" s="415"/>
      <c r="H284" s="415"/>
      <c r="I284" s="415"/>
      <c r="J284" s="415"/>
      <c r="K284" s="415"/>
      <c r="L284" s="415"/>
      <c r="M284" s="414"/>
    </row>
    <row r="285" spans="2:14" ht="15.6" hidden="1">
      <c r="B285" s="438" t="s">
        <v>346</v>
      </c>
      <c r="C285" s="415">
        <v>0</v>
      </c>
      <c r="D285" s="414">
        <v>84.266728999999998</v>
      </c>
      <c r="E285" s="414">
        <f>C285+D285</f>
        <v>84.266728999999998</v>
      </c>
      <c r="F285" s="415">
        <v>1E-4</v>
      </c>
      <c r="G285" s="415">
        <v>0</v>
      </c>
      <c r="H285" s="415">
        <v>1554.0493723</v>
      </c>
      <c r="I285" s="415">
        <v>0.121435</v>
      </c>
      <c r="J285" s="415">
        <v>0</v>
      </c>
      <c r="K285" s="415">
        <v>34.841173299999994</v>
      </c>
      <c r="L285" s="415">
        <v>148.8434647</v>
      </c>
      <c r="M285" s="414">
        <f>E285+F285+G285+H285+I285+J285+K285+L285</f>
        <v>1822.1222742999998</v>
      </c>
    </row>
    <row r="286" spans="2:14" ht="15.6" hidden="1">
      <c r="B286" s="438"/>
      <c r="C286" s="415"/>
      <c r="D286" s="414">
        <v>0</v>
      </c>
      <c r="E286" s="414"/>
      <c r="F286" s="415"/>
      <c r="G286" s="415"/>
      <c r="H286" s="415"/>
      <c r="I286" s="415"/>
      <c r="J286" s="415"/>
      <c r="K286" s="415"/>
      <c r="L286" s="415"/>
      <c r="M286" s="414"/>
    </row>
    <row r="287" spans="2:14" ht="15.6" hidden="1">
      <c r="B287" s="438" t="s">
        <v>347</v>
      </c>
      <c r="C287" s="415">
        <v>0</v>
      </c>
      <c r="D287" s="414">
        <v>74.8585317</v>
      </c>
      <c r="E287" s="414">
        <f>C287+D287</f>
        <v>74.8585317</v>
      </c>
      <c r="F287" s="415">
        <v>9.840548000000001E-5</v>
      </c>
      <c r="G287" s="415">
        <v>0</v>
      </c>
      <c r="H287" s="415">
        <v>1554.551414</v>
      </c>
      <c r="I287" s="415">
        <v>0.122485</v>
      </c>
      <c r="J287" s="415">
        <v>0</v>
      </c>
      <c r="K287" s="415">
        <v>30.017433899999997</v>
      </c>
      <c r="L287" s="415">
        <v>155.89360780000001</v>
      </c>
      <c r="M287" s="414">
        <f>E287+F287+G287+H287+I287+J287+K287+L287</f>
        <v>1815.44357080548</v>
      </c>
    </row>
    <row r="288" spans="2:14" ht="15.6" hidden="1">
      <c r="B288" s="438"/>
      <c r="C288" s="415"/>
      <c r="D288" s="414">
        <v>0</v>
      </c>
      <c r="E288" s="414"/>
      <c r="F288" s="415"/>
      <c r="G288" s="415"/>
      <c r="H288" s="415"/>
      <c r="I288" s="415"/>
      <c r="J288" s="415"/>
      <c r="K288" s="415"/>
      <c r="L288" s="415"/>
      <c r="M288" s="414"/>
    </row>
    <row r="289" spans="2:13" ht="15.6" hidden="1">
      <c r="B289" s="438" t="s">
        <v>12</v>
      </c>
      <c r="C289" s="415">
        <v>0</v>
      </c>
      <c r="D289" s="414">
        <v>494.24576100000002</v>
      </c>
      <c r="E289" s="414">
        <v>494.24576100000002</v>
      </c>
      <c r="F289" s="415">
        <v>0</v>
      </c>
      <c r="G289" s="415">
        <v>0</v>
      </c>
      <c r="H289" s="415">
        <v>1555.8202597</v>
      </c>
      <c r="I289" s="415">
        <v>0.88539199999999996</v>
      </c>
      <c r="J289" s="415">
        <v>0</v>
      </c>
      <c r="K289" s="415">
        <v>28.217244000000001</v>
      </c>
      <c r="L289" s="415">
        <v>182.94309430000001</v>
      </c>
      <c r="M289" s="414">
        <f>E289+F289+G289+H289+I289+J289+K289+L289</f>
        <v>2262.1117510000004</v>
      </c>
    </row>
    <row r="290" spans="2:13" ht="15.6" hidden="1">
      <c r="B290" s="438"/>
      <c r="C290" s="415"/>
      <c r="D290" s="414">
        <v>0</v>
      </c>
      <c r="E290" s="414"/>
      <c r="F290" s="415"/>
      <c r="G290" s="415"/>
      <c r="H290" s="415"/>
      <c r="I290" s="415"/>
      <c r="J290" s="415"/>
      <c r="K290" s="415"/>
      <c r="L290" s="415"/>
      <c r="M290" s="414"/>
    </row>
    <row r="291" spans="2:13" ht="15.6" hidden="1">
      <c r="B291" s="438" t="s">
        <v>13</v>
      </c>
      <c r="C291" s="415">
        <v>0</v>
      </c>
      <c r="D291" s="414">
        <v>523.352621</v>
      </c>
      <c r="E291" s="414">
        <v>523.352621</v>
      </c>
      <c r="F291" s="415">
        <v>0</v>
      </c>
      <c r="G291" s="415">
        <v>0</v>
      </c>
      <c r="H291" s="415">
        <v>1574.0903824000002</v>
      </c>
      <c r="I291" s="415">
        <v>0.894984</v>
      </c>
      <c r="J291" s="415">
        <v>0</v>
      </c>
      <c r="K291" s="415">
        <v>22.489846</v>
      </c>
      <c r="L291" s="415">
        <v>170.02969160000001</v>
      </c>
      <c r="M291" s="414">
        <f>E291+F291+G291+H291+I291+J291+K291+L291</f>
        <v>2290.8575250000004</v>
      </c>
    </row>
    <row r="292" spans="2:13" ht="15.6" hidden="1">
      <c r="B292" s="438"/>
      <c r="C292" s="415"/>
      <c r="D292" s="414">
        <v>0</v>
      </c>
      <c r="E292" s="414"/>
      <c r="F292" s="415"/>
      <c r="G292" s="415"/>
      <c r="H292" s="415"/>
      <c r="I292" s="415"/>
      <c r="J292" s="415"/>
      <c r="K292" s="415"/>
      <c r="L292" s="415"/>
      <c r="M292" s="414"/>
    </row>
    <row r="293" spans="2:13" ht="15.6" hidden="1">
      <c r="B293" s="438" t="s">
        <v>14</v>
      </c>
      <c r="C293" s="415">
        <v>0</v>
      </c>
      <c r="D293" s="414">
        <v>518.04861900000003</v>
      </c>
      <c r="E293" s="414">
        <v>518.04861900000003</v>
      </c>
      <c r="F293" s="415">
        <v>0</v>
      </c>
      <c r="G293" s="415">
        <v>0</v>
      </c>
      <c r="H293" s="415">
        <v>1576.9815560999998</v>
      </c>
      <c r="I293" s="415">
        <v>0.91395199999999999</v>
      </c>
      <c r="J293" s="415">
        <v>0</v>
      </c>
      <c r="K293" s="415">
        <v>24.423732000000001</v>
      </c>
      <c r="L293" s="415">
        <v>179.68816390000001</v>
      </c>
      <c r="M293" s="414">
        <f>E293+F293+G293+H293+I293+J293+K293+L293</f>
        <v>2300.0560229999996</v>
      </c>
    </row>
    <row r="294" spans="2:13" ht="15.6" hidden="1">
      <c r="B294" s="438"/>
      <c r="C294" s="415"/>
      <c r="D294" s="414">
        <v>0</v>
      </c>
      <c r="E294" s="414"/>
      <c r="F294" s="415"/>
      <c r="G294" s="415"/>
      <c r="H294" s="415"/>
      <c r="I294" s="415"/>
      <c r="J294" s="415"/>
      <c r="K294" s="415"/>
      <c r="L294" s="415"/>
      <c r="M294" s="414"/>
    </row>
    <row r="295" spans="2:13" ht="15.6" hidden="1">
      <c r="B295" s="438" t="s">
        <v>15</v>
      </c>
      <c r="C295" s="415">
        <v>0</v>
      </c>
      <c r="D295" s="414">
        <v>508.10840999999999</v>
      </c>
      <c r="E295" s="414">
        <v>508.10840999999999</v>
      </c>
      <c r="F295" s="415">
        <v>0</v>
      </c>
      <c r="G295" s="415">
        <v>0</v>
      </c>
      <c r="H295" s="415">
        <v>1595.0956695</v>
      </c>
      <c r="I295" s="415">
        <v>0.89970099999999997</v>
      </c>
      <c r="J295" s="415">
        <v>0</v>
      </c>
      <c r="K295" s="415">
        <v>22.964396000000001</v>
      </c>
      <c r="L295" s="415">
        <v>180.9826395</v>
      </c>
      <c r="M295" s="414">
        <f>E295+F295+G295+H295+I295+J295+K295+L295</f>
        <v>2308.0508159999995</v>
      </c>
    </row>
    <row r="296" spans="2:13" ht="15.6" hidden="1">
      <c r="B296" s="438"/>
      <c r="C296" s="415"/>
      <c r="D296" s="414">
        <v>0</v>
      </c>
      <c r="E296" s="414"/>
      <c r="F296" s="415"/>
      <c r="G296" s="415"/>
      <c r="H296" s="415"/>
      <c r="I296" s="415"/>
      <c r="J296" s="415"/>
      <c r="K296" s="415"/>
      <c r="L296" s="415"/>
      <c r="M296" s="414"/>
    </row>
    <row r="297" spans="2:13" ht="15.6" hidden="1">
      <c r="B297" s="438" t="s">
        <v>16</v>
      </c>
      <c r="C297" s="394">
        <v>0</v>
      </c>
      <c r="D297" s="350">
        <v>526.33102299999996</v>
      </c>
      <c r="E297" s="350">
        <v>526.33102299999996</v>
      </c>
      <c r="F297" s="394">
        <v>0</v>
      </c>
      <c r="G297" s="394">
        <v>0</v>
      </c>
      <c r="H297" s="394">
        <v>-1.8575839999999999</v>
      </c>
      <c r="I297" s="394">
        <v>0.93455299999999997</v>
      </c>
      <c r="J297" s="394">
        <v>0</v>
      </c>
      <c r="K297" s="394">
        <v>15.937091800000001</v>
      </c>
      <c r="L297" s="394">
        <v>142.94489320000005</v>
      </c>
      <c r="M297" s="350">
        <v>684.28997700000002</v>
      </c>
    </row>
    <row r="298" spans="2:13" ht="16.2" thickTop="1">
      <c r="B298" s="438"/>
      <c r="C298" s="415"/>
      <c r="D298" s="414"/>
      <c r="E298" s="414"/>
      <c r="F298" s="415"/>
      <c r="G298" s="415"/>
      <c r="H298" s="415"/>
      <c r="I298" s="415"/>
      <c r="J298" s="415"/>
      <c r="K298" s="415"/>
      <c r="L298" s="415"/>
      <c r="M298" s="414"/>
    </row>
    <row r="299" spans="2:13" ht="15.6">
      <c r="B299" s="468">
        <v>2010</v>
      </c>
      <c r="C299" s="415"/>
      <c r="D299" s="414"/>
      <c r="E299" s="414"/>
      <c r="F299" s="415"/>
      <c r="G299" s="415"/>
      <c r="H299" s="415"/>
      <c r="I299" s="415"/>
      <c r="J299" s="415"/>
      <c r="K299" s="415"/>
      <c r="L299" s="415"/>
      <c r="M299" s="414"/>
    </row>
    <row r="300" spans="2:13" ht="15.6">
      <c r="B300" s="438"/>
      <c r="C300" s="415"/>
      <c r="D300" s="414"/>
      <c r="E300" s="414"/>
      <c r="F300" s="415"/>
      <c r="G300" s="415"/>
      <c r="H300" s="415"/>
      <c r="I300" s="415"/>
      <c r="J300" s="415"/>
      <c r="K300" s="415"/>
      <c r="L300" s="415"/>
      <c r="M300" s="414"/>
    </row>
    <row r="301" spans="2:13" ht="15.6">
      <c r="B301" s="438" t="s">
        <v>8</v>
      </c>
      <c r="C301" s="415">
        <v>0</v>
      </c>
      <c r="D301" s="414">
        <v>68.949376000000001</v>
      </c>
      <c r="E301" s="414">
        <v>68.949376000000001</v>
      </c>
      <c r="F301" s="415">
        <v>0</v>
      </c>
      <c r="G301" s="415">
        <v>0</v>
      </c>
      <c r="H301" s="415">
        <v>-1.6359589999999999</v>
      </c>
      <c r="I301" s="415">
        <v>0.94680900000000001</v>
      </c>
      <c r="J301" s="415">
        <v>0</v>
      </c>
      <c r="K301" s="415">
        <v>20.865197999999999</v>
      </c>
      <c r="L301" s="415">
        <v>613.86067300000002</v>
      </c>
      <c r="M301" s="414">
        <v>702.98609699999997</v>
      </c>
    </row>
    <row r="302" spans="2:13" ht="15.6">
      <c r="B302" s="438"/>
      <c r="C302" s="415"/>
      <c r="D302" s="414"/>
      <c r="E302" s="414"/>
      <c r="F302" s="415"/>
      <c r="G302" s="415"/>
      <c r="H302" s="415"/>
      <c r="I302" s="415"/>
      <c r="J302" s="415"/>
      <c r="K302" s="415"/>
      <c r="L302" s="415"/>
      <c r="M302" s="414"/>
    </row>
    <row r="303" spans="2:13" ht="15.6">
      <c r="B303" s="438" t="s">
        <v>9</v>
      </c>
      <c r="C303" s="394">
        <v>0</v>
      </c>
      <c r="D303" s="350">
        <v>76.007940000000005</v>
      </c>
      <c r="E303" s="350">
        <v>76.007940000000005</v>
      </c>
      <c r="F303" s="394">
        <v>0</v>
      </c>
      <c r="G303" s="394">
        <v>0</v>
      </c>
      <c r="H303" s="394">
        <v>-1.704574</v>
      </c>
      <c r="I303" s="394">
        <v>0.95578200000000002</v>
      </c>
      <c r="J303" s="394">
        <v>0</v>
      </c>
      <c r="K303" s="394">
        <v>16.938524999999998</v>
      </c>
      <c r="L303" s="394">
        <v>595.02158299999996</v>
      </c>
      <c r="M303" s="350">
        <v>687.21925599999997</v>
      </c>
    </row>
    <row r="304" spans="2:13" ht="15.6">
      <c r="B304" s="438"/>
      <c r="C304" s="415"/>
      <c r="D304" s="414"/>
      <c r="E304" s="414"/>
      <c r="F304" s="415"/>
      <c r="G304" s="415"/>
      <c r="H304" s="415"/>
      <c r="I304" s="415"/>
      <c r="J304" s="415"/>
      <c r="K304" s="415"/>
      <c r="L304" s="415"/>
      <c r="M304" s="414"/>
    </row>
    <row r="305" spans="2:13" ht="15.6">
      <c r="B305" s="438" t="s">
        <v>10</v>
      </c>
      <c r="C305" s="394">
        <v>0</v>
      </c>
      <c r="D305" s="350">
        <v>78.532039999999995</v>
      </c>
      <c r="E305" s="350">
        <v>78.532039999999995</v>
      </c>
      <c r="F305" s="394">
        <v>0</v>
      </c>
      <c r="G305" s="394">
        <v>0</v>
      </c>
      <c r="H305" s="394">
        <v>-1.9590780000000001</v>
      </c>
      <c r="I305" s="394">
        <v>0.96694899999999995</v>
      </c>
      <c r="J305" s="394">
        <v>0</v>
      </c>
      <c r="K305" s="394">
        <v>16.938524999999998</v>
      </c>
      <c r="L305" s="394">
        <v>628.82802800000002</v>
      </c>
      <c r="M305" s="350">
        <v>723.30646400000001</v>
      </c>
    </row>
    <row r="306" spans="2:13" ht="15.6">
      <c r="B306" s="438"/>
      <c r="C306" s="415"/>
      <c r="D306" s="414"/>
      <c r="E306" s="414"/>
      <c r="F306" s="415"/>
      <c r="G306" s="415"/>
      <c r="H306" s="415"/>
      <c r="I306" s="415"/>
      <c r="J306" s="415"/>
      <c r="K306" s="415"/>
      <c r="L306" s="415"/>
      <c r="M306" s="414"/>
    </row>
    <row r="307" spans="2:13" ht="15.6">
      <c r="B307" s="438" t="s">
        <v>11</v>
      </c>
      <c r="C307" s="415">
        <v>0</v>
      </c>
      <c r="D307" s="414">
        <v>396.03949399999999</v>
      </c>
      <c r="E307" s="414">
        <f>+D307+C307</f>
        <v>396.03949399999999</v>
      </c>
      <c r="F307" s="415">
        <v>0</v>
      </c>
      <c r="G307" s="415">
        <v>0</v>
      </c>
      <c r="H307" s="415">
        <v>-2.2859539999999998</v>
      </c>
      <c r="I307" s="415">
        <v>0.97196899999999997</v>
      </c>
      <c r="J307" s="415">
        <v>0</v>
      </c>
      <c r="K307" s="415">
        <v>19.031853999999999</v>
      </c>
      <c r="L307" s="415">
        <v>341.63141999999999</v>
      </c>
      <c r="M307" s="414">
        <f>E307+F307+G307+H307+I307+J307+K307+L307</f>
        <v>755.38878299999999</v>
      </c>
    </row>
    <row r="308" spans="2:13" ht="15.6">
      <c r="B308" s="438"/>
      <c r="C308" s="415"/>
      <c r="D308" s="414"/>
      <c r="E308" s="414"/>
      <c r="F308" s="415"/>
      <c r="G308" s="415"/>
      <c r="H308" s="415"/>
      <c r="I308" s="415"/>
      <c r="J308" s="415"/>
      <c r="K308" s="415"/>
      <c r="L308" s="415"/>
      <c r="M308" s="414"/>
    </row>
    <row r="309" spans="2:13" ht="15.6">
      <c r="B309" s="438" t="s">
        <v>337</v>
      </c>
      <c r="C309" s="415">
        <v>0</v>
      </c>
      <c r="D309" s="414">
        <v>398.75381800000002</v>
      </c>
      <c r="E309" s="414">
        <f>+D309+C309</f>
        <v>398.75381800000002</v>
      </c>
      <c r="F309" s="415">
        <v>0</v>
      </c>
      <c r="G309" s="415">
        <v>0</v>
      </c>
      <c r="H309" s="415">
        <v>-2.285857</v>
      </c>
      <c r="I309" s="415">
        <v>0.97807200000000005</v>
      </c>
      <c r="J309" s="415">
        <v>0</v>
      </c>
      <c r="K309" s="415">
        <v>14.556438</v>
      </c>
      <c r="L309" s="415">
        <v>308.76866799999999</v>
      </c>
      <c r="M309" s="414">
        <f>E309+F309+G309+H309+I309+J309+K309+L309</f>
        <v>720.77113899999995</v>
      </c>
    </row>
    <row r="310" spans="2:13" ht="15.6">
      <c r="B310" s="438"/>
      <c r="C310" s="415"/>
      <c r="D310" s="414"/>
      <c r="E310" s="414"/>
      <c r="F310" s="415"/>
      <c r="G310" s="415"/>
      <c r="H310" s="415"/>
      <c r="I310" s="415"/>
      <c r="J310" s="415"/>
      <c r="K310" s="415"/>
      <c r="L310" s="415"/>
      <c r="M310" s="414"/>
    </row>
    <row r="311" spans="2:13" ht="15.6">
      <c r="B311" s="438" t="s">
        <v>346</v>
      </c>
      <c r="C311" s="415">
        <v>0</v>
      </c>
      <c r="D311" s="414">
        <v>411.00572599999998</v>
      </c>
      <c r="E311" s="414">
        <f>+D311+C311</f>
        <v>411.00572599999998</v>
      </c>
      <c r="F311" s="415">
        <v>0</v>
      </c>
      <c r="G311" s="415">
        <v>0</v>
      </c>
      <c r="H311" s="415">
        <v>-2.5206819999999999</v>
      </c>
      <c r="I311" s="415">
        <v>0.97931199999999996</v>
      </c>
      <c r="J311" s="415">
        <v>0</v>
      </c>
      <c r="K311" s="415">
        <v>15.245575000000001</v>
      </c>
      <c r="L311" s="415">
        <v>312.432388</v>
      </c>
      <c r="M311" s="414">
        <f>E311+F311+G311+H311+I311+J311+K311+L311</f>
        <v>737.14231899999993</v>
      </c>
    </row>
    <row r="312" spans="2:13" ht="15.6">
      <c r="B312" s="438"/>
      <c r="C312" s="415"/>
      <c r="D312" s="414"/>
      <c r="E312" s="414"/>
      <c r="F312" s="415"/>
      <c r="G312" s="415"/>
      <c r="H312" s="415"/>
      <c r="I312" s="415"/>
      <c r="J312" s="415"/>
      <c r="K312" s="415"/>
      <c r="L312" s="415"/>
      <c r="M312" s="414"/>
    </row>
    <row r="313" spans="2:13" ht="15.6">
      <c r="B313" s="438" t="s">
        <v>347</v>
      </c>
      <c r="C313" s="415">
        <v>0</v>
      </c>
      <c r="D313" s="414">
        <v>412.660774</v>
      </c>
      <c r="E313" s="414">
        <v>412.660774</v>
      </c>
      <c r="F313" s="415">
        <v>0</v>
      </c>
      <c r="G313" s="415">
        <v>0</v>
      </c>
      <c r="H313" s="415">
        <v>-1.9934259999999999</v>
      </c>
      <c r="I313" s="415">
        <v>0.98567199999999999</v>
      </c>
      <c r="J313" s="415">
        <v>0</v>
      </c>
      <c r="K313" s="415">
        <v>15.154014</v>
      </c>
      <c r="L313" s="415">
        <v>309.54212899999999</v>
      </c>
      <c r="M313" s="414">
        <f>E313+F313+G313+H313+I313+J313+K313+L313</f>
        <v>736.34916300000009</v>
      </c>
    </row>
    <row r="314" spans="2:13" ht="15.6">
      <c r="B314" s="438"/>
      <c r="C314" s="415"/>
      <c r="D314" s="414"/>
      <c r="E314" s="414"/>
      <c r="F314" s="415"/>
      <c r="G314" s="415"/>
      <c r="H314" s="415"/>
      <c r="I314" s="415"/>
      <c r="J314" s="415"/>
      <c r="K314" s="415"/>
      <c r="L314" s="415"/>
      <c r="M314" s="414"/>
    </row>
    <row r="315" spans="2:13" ht="15.6">
      <c r="B315" s="438" t="s">
        <v>12</v>
      </c>
      <c r="C315" s="415">
        <v>0</v>
      </c>
      <c r="D315" s="414">
        <v>424.26716900000002</v>
      </c>
      <c r="E315" s="414">
        <v>424.26716900000002</v>
      </c>
      <c r="F315" s="415">
        <v>0</v>
      </c>
      <c r="G315" s="415">
        <v>0</v>
      </c>
      <c r="H315" s="415">
        <v>-2.0925189999999998</v>
      </c>
      <c r="I315" s="415">
        <v>0.99165999999999999</v>
      </c>
      <c r="J315" s="415">
        <v>0</v>
      </c>
      <c r="K315" s="415">
        <v>13.702024</v>
      </c>
      <c r="L315" s="415">
        <v>312.11742900000002</v>
      </c>
      <c r="M315" s="414">
        <f>E315+F315+G315+H315+I315+J315+K315+L315</f>
        <v>748.98576300000013</v>
      </c>
    </row>
    <row r="316" spans="2:13" ht="15.6">
      <c r="B316" s="438"/>
      <c r="C316" s="415"/>
      <c r="D316" s="414"/>
      <c r="E316" s="414"/>
      <c r="F316" s="415"/>
      <c r="G316" s="415"/>
      <c r="H316" s="415"/>
      <c r="I316" s="415"/>
      <c r="J316" s="415"/>
      <c r="K316" s="415"/>
      <c r="L316" s="415"/>
      <c r="M316" s="414"/>
    </row>
    <row r="317" spans="2:13" ht="15.6">
      <c r="B317" s="438" t="s">
        <v>13</v>
      </c>
      <c r="C317" s="415">
        <v>0</v>
      </c>
      <c r="D317" s="414">
        <v>427.69556899999998</v>
      </c>
      <c r="E317" s="414">
        <f>+D317+C317</f>
        <v>427.69556899999998</v>
      </c>
      <c r="F317" s="415">
        <v>0</v>
      </c>
      <c r="G317" s="415">
        <v>0</v>
      </c>
      <c r="H317" s="415">
        <v>-2.553677</v>
      </c>
      <c r="I317" s="415">
        <v>1.000351</v>
      </c>
      <c r="J317" s="415">
        <v>0</v>
      </c>
      <c r="K317" s="415">
        <v>13.391698999999999</v>
      </c>
      <c r="L317" s="415">
        <v>320.77052400000002</v>
      </c>
      <c r="M317" s="414">
        <f>E317+F317+G317+H317+I317+J317+K317+L317</f>
        <v>760.30446600000005</v>
      </c>
    </row>
    <row r="318" spans="2:13" ht="15.6">
      <c r="B318" s="438"/>
      <c r="C318" s="415"/>
      <c r="D318" s="414"/>
      <c r="E318" s="414"/>
      <c r="F318" s="415"/>
      <c r="G318" s="415"/>
      <c r="H318" s="415"/>
      <c r="I318" s="415"/>
      <c r="J318" s="415"/>
      <c r="K318" s="415"/>
      <c r="L318" s="415"/>
      <c r="M318" s="414"/>
    </row>
    <row r="319" spans="2:13" ht="15.6">
      <c r="B319" s="438" t="s">
        <v>14</v>
      </c>
      <c r="C319" s="415">
        <v>0</v>
      </c>
      <c r="D319" s="414">
        <v>414.60118999999997</v>
      </c>
      <c r="E319" s="414">
        <v>414.60118999999997</v>
      </c>
      <c r="F319" s="415">
        <v>0</v>
      </c>
      <c r="G319" s="415">
        <v>0</v>
      </c>
      <c r="H319" s="415">
        <v>-2.8297759999999998</v>
      </c>
      <c r="I319" s="415">
        <v>1.0160560000000001</v>
      </c>
      <c r="J319" s="415">
        <v>0</v>
      </c>
      <c r="K319" s="415">
        <v>13.695171999999999</v>
      </c>
      <c r="L319" s="415">
        <v>325.54708900000003</v>
      </c>
      <c r="M319" s="414">
        <f>E319+F319+G319+H319+I319+J319+K319+L319</f>
        <v>752.02973100000008</v>
      </c>
    </row>
    <row r="320" spans="2:13" ht="15.6">
      <c r="B320" s="438"/>
      <c r="C320" s="415"/>
      <c r="D320" s="414"/>
      <c r="E320" s="414"/>
      <c r="F320" s="415"/>
      <c r="G320" s="415"/>
      <c r="H320" s="415"/>
      <c r="I320" s="415"/>
      <c r="J320" s="415"/>
      <c r="K320" s="415"/>
      <c r="L320" s="415"/>
      <c r="M320" s="414"/>
    </row>
    <row r="321" spans="2:13" ht="15.6">
      <c r="B321" s="438" t="s">
        <v>15</v>
      </c>
      <c r="C321" s="415">
        <v>0</v>
      </c>
      <c r="D321" s="414">
        <v>413.66602999999998</v>
      </c>
      <c r="E321" s="414">
        <v>413.66602999999998</v>
      </c>
      <c r="F321" s="415">
        <v>0</v>
      </c>
      <c r="G321" s="415">
        <v>0</v>
      </c>
      <c r="H321" s="415">
        <v>-3.9135770000000001</v>
      </c>
      <c r="I321" s="415">
        <v>1.217285</v>
      </c>
      <c r="J321" s="415">
        <v>0</v>
      </c>
      <c r="K321" s="415">
        <v>13.194430000000001</v>
      </c>
      <c r="L321" s="415">
        <v>329.030554</v>
      </c>
      <c r="M321" s="414">
        <f>E321+F321+G321+H321+I321+J321+K321+L321</f>
        <v>753.19472199999996</v>
      </c>
    </row>
    <row r="322" spans="2:13" ht="15.6">
      <c r="B322" s="438"/>
      <c r="C322" s="415"/>
      <c r="D322" s="414"/>
      <c r="E322" s="414"/>
      <c r="F322" s="415"/>
      <c r="G322" s="415"/>
      <c r="H322" s="415"/>
      <c r="I322" s="415"/>
      <c r="J322" s="415"/>
      <c r="K322" s="415"/>
      <c r="L322" s="415"/>
      <c r="M322" s="414"/>
    </row>
    <row r="323" spans="2:13" ht="15.6">
      <c r="B323" s="438" t="s">
        <v>16</v>
      </c>
      <c r="C323" s="415">
        <v>0</v>
      </c>
      <c r="D323" s="414">
        <v>484.200132</v>
      </c>
      <c r="E323" s="414">
        <v>484.200132</v>
      </c>
      <c r="F323" s="415">
        <v>0</v>
      </c>
      <c r="G323" s="415">
        <v>0</v>
      </c>
      <c r="H323" s="415">
        <v>-4.7292009999999998</v>
      </c>
      <c r="I323" s="415">
        <v>1.219077</v>
      </c>
      <c r="J323" s="415">
        <v>0</v>
      </c>
      <c r="K323" s="415">
        <v>12.242725999999999</v>
      </c>
      <c r="L323" s="415">
        <v>300.34408819999999</v>
      </c>
      <c r="M323" s="414">
        <f>E323+F323+G323+H323+I323+J323+K323+L323</f>
        <v>793.27682219999997</v>
      </c>
    </row>
    <row r="324" spans="2:13" ht="16.2" thickBot="1">
      <c r="B324" s="472"/>
      <c r="C324" s="480"/>
      <c r="D324" s="480"/>
      <c r="E324" s="481"/>
      <c r="F324" s="480"/>
      <c r="G324" s="480"/>
      <c r="H324" s="480"/>
      <c r="I324" s="480"/>
      <c r="J324" s="480"/>
      <c r="K324" s="480"/>
      <c r="L324" s="480"/>
      <c r="M324" s="481"/>
    </row>
    <row r="325" spans="2:13" ht="15.6" thickTop="1"/>
    <row r="332" spans="2:13">
      <c r="D332" s="218">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5" customWidth="1"/>
    <col min="2" max="2" width="15.1796875" style="285" customWidth="1"/>
    <col min="3" max="3" width="13" style="285" customWidth="1"/>
    <col min="4" max="4" width="12.90625" style="285" customWidth="1"/>
    <col min="5" max="5" width="9.54296875" style="285" bestFit="1" customWidth="1"/>
    <col min="6" max="6" width="12.54296875" style="285" customWidth="1"/>
    <col min="7" max="7" width="11.81640625" style="285" customWidth="1"/>
    <col min="8" max="8" width="8.6328125" style="285" customWidth="1"/>
    <col min="9" max="9" width="15.6328125" style="285" customWidth="1"/>
    <col min="10" max="10" width="13.453125" style="285" customWidth="1"/>
    <col min="11" max="11" width="14" style="285" customWidth="1"/>
    <col min="12" max="12" width="11.90625" style="285" customWidth="1"/>
    <col min="13" max="13" width="13.453125" style="285" customWidth="1"/>
    <col min="14" max="14" width="8.6328125" style="285" customWidth="1"/>
    <col min="15" max="15" width="16.90625" style="285" bestFit="1" customWidth="1"/>
    <col min="16" max="16384" width="8.6328125" style="285"/>
  </cols>
  <sheetData>
    <row r="1" spans="1:27" ht="26.25" customHeight="1">
      <c r="A1" s="284"/>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row>
    <row r="2" spans="1:27" ht="24" customHeight="1">
      <c r="A2" s="1902" t="s">
        <v>1009</v>
      </c>
      <c r="B2" s="1902"/>
      <c r="C2" s="1902"/>
      <c r="D2" s="1902"/>
      <c r="E2" s="1902"/>
      <c r="F2" s="1902"/>
      <c r="G2" s="1902"/>
      <c r="H2" s="1902"/>
      <c r="I2" s="1902"/>
      <c r="J2" s="1902"/>
      <c r="K2" s="1902"/>
      <c r="L2" s="1902"/>
      <c r="M2" s="1902"/>
      <c r="N2" s="284"/>
      <c r="O2" s="284"/>
      <c r="P2" s="284"/>
      <c r="Q2" s="284"/>
      <c r="R2" s="284"/>
      <c r="S2" s="284"/>
      <c r="T2" s="284"/>
      <c r="U2" s="284"/>
      <c r="V2" s="284"/>
      <c r="W2" s="284"/>
      <c r="X2" s="284"/>
      <c r="Y2" s="284"/>
      <c r="Z2" s="284"/>
      <c r="AA2" s="284"/>
    </row>
    <row r="3" spans="1:27" ht="16.95" customHeight="1">
      <c r="A3" s="286"/>
      <c r="B3" s="287"/>
      <c r="C3" s="287"/>
      <c r="D3" s="287"/>
      <c r="E3" s="287"/>
      <c r="F3" s="287"/>
      <c r="G3" s="287"/>
      <c r="H3" s="287"/>
      <c r="I3" s="287"/>
      <c r="J3" s="287"/>
      <c r="K3" s="287"/>
      <c r="L3" s="287"/>
      <c r="M3" s="287"/>
      <c r="N3" s="284"/>
      <c r="O3" s="284"/>
      <c r="P3" s="284"/>
      <c r="Q3" s="284"/>
      <c r="R3" s="284"/>
      <c r="S3" s="284"/>
      <c r="T3" s="284"/>
      <c r="U3" s="284"/>
      <c r="V3" s="284"/>
      <c r="W3" s="284"/>
      <c r="X3" s="284"/>
      <c r="Y3" s="284"/>
      <c r="Z3" s="284"/>
      <c r="AA3" s="284"/>
    </row>
    <row r="4" spans="1:27" ht="22.5" customHeight="1">
      <c r="A4" s="1896" t="s">
        <v>1039</v>
      </c>
      <c r="B4" s="1896"/>
      <c r="C4" s="1896"/>
      <c r="D4" s="1896"/>
      <c r="E4" s="1896"/>
      <c r="F4" s="1896"/>
      <c r="G4" s="1896"/>
      <c r="H4" s="1896"/>
      <c r="I4" s="1896"/>
      <c r="J4" s="1896"/>
      <c r="K4" s="1896"/>
      <c r="L4" s="1896"/>
      <c r="M4" s="1896"/>
      <c r="N4" s="284"/>
      <c r="O4" s="284"/>
      <c r="P4" s="284"/>
      <c r="Q4" s="284"/>
      <c r="R4" s="284"/>
      <c r="S4" s="284"/>
      <c r="T4" s="284"/>
      <c r="U4" s="284"/>
      <c r="V4" s="284"/>
      <c r="W4" s="284"/>
      <c r="X4" s="284"/>
      <c r="Y4" s="284"/>
      <c r="Z4" s="284"/>
      <c r="AA4" s="284"/>
    </row>
    <row r="5" spans="1:27" ht="16.95" customHeight="1" thickBot="1">
      <c r="A5" s="287"/>
      <c r="B5" s="287"/>
      <c r="C5" s="287"/>
      <c r="D5" s="287"/>
      <c r="E5" s="287"/>
      <c r="F5" s="287"/>
      <c r="G5" s="287"/>
      <c r="H5" s="287"/>
      <c r="I5" s="287"/>
      <c r="J5" s="287"/>
      <c r="K5" s="287"/>
      <c r="L5" s="287"/>
      <c r="M5" s="287"/>
      <c r="N5" s="284"/>
      <c r="O5" s="284"/>
      <c r="P5" s="284"/>
      <c r="Q5" s="284"/>
      <c r="R5" s="284"/>
      <c r="S5" s="284"/>
      <c r="T5" s="284"/>
      <c r="U5" s="284"/>
      <c r="V5" s="284"/>
      <c r="W5" s="284"/>
      <c r="X5" s="284"/>
      <c r="Y5" s="284"/>
      <c r="Z5" s="284"/>
      <c r="AA5" s="284"/>
    </row>
    <row r="6" spans="1:27" ht="16.95" customHeight="1" thickTop="1">
      <c r="A6" s="288"/>
      <c r="B6" s="289"/>
      <c r="C6" s="289"/>
      <c r="D6" s="289"/>
      <c r="E6" s="289"/>
      <c r="F6" s="289"/>
      <c r="G6" s="289"/>
      <c r="H6" s="289"/>
      <c r="I6" s="289"/>
      <c r="J6" s="289"/>
      <c r="K6" s="288"/>
      <c r="L6" s="288"/>
      <c r="M6" s="288"/>
      <c r="N6" s="290"/>
      <c r="O6" s="284"/>
      <c r="P6" s="284"/>
      <c r="Q6" s="284"/>
      <c r="R6" s="284"/>
      <c r="S6" s="284"/>
      <c r="T6" s="284"/>
      <c r="U6" s="284"/>
      <c r="V6" s="284"/>
      <c r="W6" s="284"/>
      <c r="X6" s="284"/>
      <c r="Y6" s="284"/>
      <c r="Z6" s="284"/>
      <c r="AA6" s="284"/>
    </row>
    <row r="7" spans="1:27" ht="20.25" customHeight="1">
      <c r="A7" s="291"/>
      <c r="B7" s="1899" t="s">
        <v>1010</v>
      </c>
      <c r="C7" s="1900"/>
      <c r="D7" s="1900"/>
      <c r="E7" s="1900"/>
      <c r="F7" s="1900"/>
      <c r="G7" s="1900"/>
      <c r="H7" s="1900"/>
      <c r="I7" s="1900"/>
      <c r="J7" s="1901"/>
      <c r="K7" s="291"/>
      <c r="L7" s="291"/>
      <c r="M7" s="291"/>
      <c r="N7" s="290"/>
      <c r="O7" s="284"/>
      <c r="P7" s="284"/>
      <c r="Q7" s="284"/>
      <c r="R7" s="284"/>
      <c r="S7" s="284"/>
      <c r="T7" s="284"/>
      <c r="U7" s="284"/>
      <c r="V7" s="284"/>
      <c r="W7" s="284"/>
      <c r="X7" s="284"/>
      <c r="Y7" s="284"/>
      <c r="Z7" s="284"/>
      <c r="AA7" s="284"/>
    </row>
    <row r="8" spans="1:27" ht="21.75" customHeight="1" thickBot="1">
      <c r="A8" s="292" t="s">
        <v>32</v>
      </c>
      <c r="B8" s="293"/>
      <c r="C8" s="293"/>
      <c r="D8" s="293"/>
      <c r="E8" s="293"/>
      <c r="F8" s="293"/>
      <c r="G8" s="293"/>
      <c r="H8" s="293"/>
      <c r="I8" s="293"/>
      <c r="J8" s="293"/>
      <c r="K8" s="292" t="s">
        <v>39</v>
      </c>
      <c r="L8" s="292" t="s">
        <v>31</v>
      </c>
      <c r="M8" s="292" t="s">
        <v>287</v>
      </c>
      <c r="N8" s="290"/>
      <c r="O8" s="284"/>
      <c r="P8" s="284"/>
      <c r="Q8" s="284"/>
      <c r="R8" s="284"/>
      <c r="S8" s="284"/>
      <c r="T8" s="284"/>
      <c r="U8" s="284"/>
      <c r="V8" s="284"/>
      <c r="W8" s="284"/>
      <c r="X8" s="284"/>
      <c r="Y8" s="284"/>
      <c r="Z8" s="284"/>
      <c r="AA8" s="284"/>
    </row>
    <row r="9" spans="1:27" ht="16.95" customHeight="1" thickTop="1">
      <c r="A9" s="292"/>
      <c r="B9" s="294"/>
      <c r="C9" s="288"/>
      <c r="D9" s="288"/>
      <c r="E9" s="288"/>
      <c r="F9" s="288"/>
      <c r="G9" s="288"/>
      <c r="H9" s="288"/>
      <c r="I9" s="288"/>
      <c r="J9" s="295"/>
      <c r="K9" s="292"/>
      <c r="L9" s="292"/>
      <c r="M9" s="292"/>
      <c r="N9" s="290"/>
      <c r="O9" s="284"/>
      <c r="P9" s="284"/>
      <c r="Q9" s="284"/>
      <c r="R9" s="284"/>
      <c r="S9" s="284"/>
      <c r="T9" s="284"/>
      <c r="U9" s="284"/>
      <c r="V9" s="284"/>
      <c r="W9" s="284"/>
      <c r="X9" s="284"/>
      <c r="Y9" s="284"/>
      <c r="Z9" s="284"/>
      <c r="AA9" s="284"/>
    </row>
    <row r="10" spans="1:27" ht="21.75" customHeight="1">
      <c r="A10" s="291"/>
      <c r="B10" s="292" t="s">
        <v>1011</v>
      </c>
      <c r="C10" s="292" t="s">
        <v>1012</v>
      </c>
      <c r="D10" s="292" t="s">
        <v>65</v>
      </c>
      <c r="E10" s="292" t="s">
        <v>1013</v>
      </c>
      <c r="F10" s="292" t="s">
        <v>66</v>
      </c>
      <c r="G10" s="292" t="s">
        <v>1014</v>
      </c>
      <c r="H10" s="292" t="s">
        <v>1015</v>
      </c>
      <c r="I10" s="292" t="s">
        <v>1016</v>
      </c>
      <c r="J10" s="296" t="s">
        <v>37</v>
      </c>
      <c r="K10" s="292" t="s">
        <v>766</v>
      </c>
      <c r="L10" s="291"/>
      <c r="M10" s="291"/>
      <c r="N10" s="290"/>
      <c r="O10" s="284"/>
      <c r="P10" s="284"/>
      <c r="Q10" s="284"/>
      <c r="R10" s="284"/>
      <c r="S10" s="284"/>
      <c r="T10" s="284"/>
      <c r="U10" s="284"/>
      <c r="V10" s="284"/>
      <c r="W10" s="284"/>
      <c r="X10" s="284"/>
      <c r="Y10" s="284"/>
      <c r="Z10" s="284"/>
      <c r="AA10" s="284"/>
    </row>
    <row r="11" spans="1:27" ht="24" customHeight="1">
      <c r="A11" s="291"/>
      <c r="B11" s="292" t="s">
        <v>67</v>
      </c>
      <c r="C11" s="292" t="s">
        <v>68</v>
      </c>
      <c r="D11" s="292" t="s">
        <v>68</v>
      </c>
      <c r="E11" s="292" t="s">
        <v>68</v>
      </c>
      <c r="F11" s="292" t="s">
        <v>69</v>
      </c>
      <c r="G11" s="292" t="s">
        <v>296</v>
      </c>
      <c r="H11" s="292" t="s">
        <v>70</v>
      </c>
      <c r="I11" s="292" t="s">
        <v>1017</v>
      </c>
      <c r="J11" s="292"/>
      <c r="K11" s="292" t="s">
        <v>1008</v>
      </c>
      <c r="L11" s="291"/>
      <c r="M11" s="291"/>
      <c r="N11" s="290"/>
      <c r="O11" s="284"/>
      <c r="P11" s="284"/>
      <c r="Q11" s="284"/>
      <c r="R11" s="284"/>
      <c r="S11" s="284"/>
      <c r="T11" s="284"/>
      <c r="U11" s="284"/>
      <c r="V11" s="284"/>
      <c r="W11" s="284"/>
      <c r="X11" s="284"/>
      <c r="Y11" s="284"/>
      <c r="Z11" s="284"/>
      <c r="AA11" s="284"/>
    </row>
    <row r="12" spans="1:27" ht="16.95" customHeight="1" thickBot="1">
      <c r="A12" s="297"/>
      <c r="B12" s="298"/>
      <c r="C12" s="298"/>
      <c r="D12" s="298"/>
      <c r="E12" s="298"/>
      <c r="F12" s="298"/>
      <c r="G12" s="298"/>
      <c r="H12" s="298"/>
      <c r="I12" s="298"/>
      <c r="J12" s="297"/>
      <c r="K12" s="298"/>
      <c r="L12" s="297"/>
      <c r="M12" s="297"/>
      <c r="N12" s="290"/>
      <c r="O12" s="284"/>
      <c r="P12" s="284"/>
      <c r="Q12" s="284"/>
      <c r="R12" s="284"/>
      <c r="S12" s="284"/>
      <c r="T12" s="284"/>
      <c r="U12" s="284"/>
      <c r="V12" s="284"/>
      <c r="W12" s="284"/>
      <c r="X12" s="284"/>
      <c r="Y12" s="284"/>
      <c r="Z12" s="284"/>
      <c r="AA12" s="284"/>
    </row>
    <row r="13" spans="1:27" ht="16.95" hidden="1" customHeight="1" thickTop="1">
      <c r="A13" s="299"/>
      <c r="B13" s="300"/>
      <c r="C13" s="300"/>
      <c r="D13" s="300"/>
      <c r="E13" s="300"/>
      <c r="F13" s="300"/>
      <c r="G13" s="300"/>
      <c r="H13" s="300"/>
      <c r="I13" s="300"/>
      <c r="J13" s="301"/>
      <c r="K13" s="300"/>
      <c r="L13" s="301"/>
      <c r="M13" s="301"/>
      <c r="N13" s="290"/>
      <c r="O13" s="284"/>
      <c r="P13" s="284"/>
      <c r="Q13" s="284"/>
      <c r="R13" s="284"/>
      <c r="S13" s="284"/>
      <c r="T13" s="284"/>
      <c r="U13" s="284"/>
      <c r="V13" s="284"/>
      <c r="W13" s="284"/>
      <c r="X13" s="284"/>
      <c r="Y13" s="284"/>
      <c r="Z13" s="284"/>
      <c r="AA13" s="284"/>
    </row>
    <row r="14" spans="1:27" ht="12.75" hidden="1" customHeight="1">
      <c r="A14" s="299">
        <v>1999</v>
      </c>
      <c r="B14" s="292"/>
      <c r="C14" s="292"/>
      <c r="D14" s="292"/>
      <c r="E14" s="292"/>
      <c r="F14" s="292"/>
      <c r="G14" s="292"/>
      <c r="H14" s="292"/>
      <c r="I14" s="292"/>
      <c r="J14" s="291"/>
      <c r="K14" s="292"/>
      <c r="L14" s="291"/>
      <c r="M14" s="291"/>
      <c r="N14" s="290"/>
      <c r="O14" s="284"/>
      <c r="P14" s="284"/>
      <c r="Q14" s="284"/>
      <c r="R14" s="284"/>
      <c r="S14" s="284"/>
      <c r="T14" s="284"/>
      <c r="U14" s="284"/>
      <c r="V14" s="284"/>
      <c r="W14" s="284"/>
      <c r="X14" s="284"/>
      <c r="Y14" s="284"/>
      <c r="Z14" s="284"/>
      <c r="AA14" s="284"/>
    </row>
    <row r="15" spans="1:27" ht="12.75" hidden="1" customHeight="1">
      <c r="A15" s="302"/>
      <c r="B15" s="302"/>
      <c r="C15" s="302"/>
      <c r="D15" s="302"/>
      <c r="E15" s="302"/>
      <c r="F15" s="302"/>
      <c r="G15" s="302"/>
      <c r="H15" s="302"/>
      <c r="I15" s="302"/>
      <c r="J15" s="302"/>
      <c r="K15" s="302"/>
      <c r="L15" s="302"/>
      <c r="M15" s="302"/>
      <c r="N15" s="290"/>
      <c r="O15" s="284"/>
      <c r="P15" s="284"/>
      <c r="Q15" s="284"/>
      <c r="R15" s="284"/>
      <c r="S15" s="284"/>
      <c r="T15" s="284"/>
      <c r="U15" s="284"/>
      <c r="V15" s="284"/>
      <c r="W15" s="284"/>
      <c r="X15" s="284"/>
      <c r="Y15" s="284"/>
      <c r="Z15" s="284"/>
      <c r="AA15" s="284"/>
    </row>
    <row r="16" spans="1:27" ht="12.75" hidden="1" customHeight="1">
      <c r="A16" s="291" t="s">
        <v>8</v>
      </c>
      <c r="B16" s="303">
        <v>0.02</v>
      </c>
      <c r="C16" s="303">
        <v>0.245</v>
      </c>
      <c r="D16" s="303">
        <v>8.8000000000000005E-3</v>
      </c>
      <c r="E16" s="303">
        <v>6.9000000000000006E-2</v>
      </c>
      <c r="F16" s="303">
        <v>0.34849999999999998</v>
      </c>
      <c r="G16" s="303">
        <v>1.6399999999999998E-2</v>
      </c>
      <c r="H16" s="303">
        <v>0.11</v>
      </c>
      <c r="I16" s="303">
        <v>1.409135</v>
      </c>
      <c r="J16" s="303">
        <v>2.2268349999999999</v>
      </c>
      <c r="K16" s="303">
        <v>0.45250599999999996</v>
      </c>
      <c r="L16" s="303">
        <v>0.44819700000000012</v>
      </c>
      <c r="M16" s="303">
        <v>3.1275379999999999</v>
      </c>
      <c r="N16" s="290"/>
      <c r="O16" s="284"/>
      <c r="P16" s="284"/>
      <c r="Q16" s="284"/>
      <c r="R16" s="284"/>
      <c r="S16" s="284"/>
      <c r="T16" s="284"/>
      <c r="U16" s="284"/>
      <c r="V16" s="284"/>
      <c r="W16" s="284"/>
      <c r="X16" s="284"/>
      <c r="Y16" s="284"/>
      <c r="Z16" s="284"/>
      <c r="AA16" s="284"/>
    </row>
    <row r="17" spans="1:27" ht="12.75" hidden="1" customHeight="1">
      <c r="A17" s="291" t="s">
        <v>9</v>
      </c>
      <c r="B17" s="303">
        <v>3.0000000000000001E-3</v>
      </c>
      <c r="C17" s="303">
        <v>0.43080000000000002</v>
      </c>
      <c r="D17" s="303">
        <v>2E-3</v>
      </c>
      <c r="E17" s="303">
        <v>6.3E-2</v>
      </c>
      <c r="F17" s="303">
        <v>0.36760000000000004</v>
      </c>
      <c r="G17" s="303">
        <v>6.1799999999999994E-2</v>
      </c>
      <c r="H17" s="303">
        <v>0.11</v>
      </c>
      <c r="I17" s="303">
        <v>0.98548800000000003</v>
      </c>
      <c r="J17" s="303">
        <v>2.0236879999999999</v>
      </c>
      <c r="K17" s="303">
        <v>0.41829100000000002</v>
      </c>
      <c r="L17" s="303">
        <v>0.50188399999999955</v>
      </c>
      <c r="M17" s="303">
        <v>2.9438629999999999</v>
      </c>
      <c r="N17" s="290"/>
      <c r="O17" s="284"/>
      <c r="P17" s="284"/>
      <c r="Q17" s="284"/>
      <c r="R17" s="284"/>
      <c r="S17" s="284"/>
      <c r="T17" s="284"/>
      <c r="U17" s="284"/>
      <c r="V17" s="284"/>
      <c r="W17" s="284"/>
      <c r="X17" s="284"/>
      <c r="Y17" s="284"/>
      <c r="Z17" s="284"/>
      <c r="AA17" s="284"/>
    </row>
    <row r="18" spans="1:27" ht="12.75" hidden="1" customHeight="1">
      <c r="A18" s="291" t="s">
        <v>10</v>
      </c>
      <c r="B18" s="303">
        <v>0</v>
      </c>
      <c r="C18" s="303">
        <v>0.56747400000000003</v>
      </c>
      <c r="D18" s="303">
        <v>9.4E-2</v>
      </c>
      <c r="E18" s="303">
        <v>5.7500000000000002E-2</v>
      </c>
      <c r="F18" s="303">
        <v>0.73368</v>
      </c>
      <c r="G18" s="303">
        <v>0.16700000000000001</v>
      </c>
      <c r="H18" s="303">
        <v>0.11</v>
      </c>
      <c r="I18" s="303">
        <v>1.1058800000000002</v>
      </c>
      <c r="J18" s="303">
        <v>2.835534</v>
      </c>
      <c r="K18" s="303">
        <v>0.40593200000000002</v>
      </c>
      <c r="L18" s="303">
        <v>0.57554499999999997</v>
      </c>
      <c r="M18" s="303">
        <v>3.8170109999999999</v>
      </c>
      <c r="N18" s="290"/>
      <c r="O18" s="284"/>
      <c r="P18" s="284"/>
      <c r="Q18" s="284"/>
      <c r="R18" s="284"/>
      <c r="S18" s="284"/>
      <c r="T18" s="284"/>
      <c r="U18" s="284"/>
      <c r="V18" s="284"/>
      <c r="W18" s="284"/>
      <c r="X18" s="284"/>
      <c r="Y18" s="284"/>
      <c r="Z18" s="284"/>
      <c r="AA18" s="284"/>
    </row>
    <row r="19" spans="1:27" ht="12.75" hidden="1" customHeight="1">
      <c r="A19" s="291" t="s">
        <v>11</v>
      </c>
      <c r="B19" s="303">
        <v>0.18245699999999998</v>
      </c>
      <c r="C19" s="303">
        <v>0.459561</v>
      </c>
      <c r="D19" s="303">
        <v>0.37196800000000002</v>
      </c>
      <c r="E19" s="303">
        <v>5.0700000000000002E-2</v>
      </c>
      <c r="F19" s="303">
        <v>0.82479100000000005</v>
      </c>
      <c r="G19" s="303">
        <v>0.2283</v>
      </c>
      <c r="H19" s="303">
        <v>0.13800000000000001</v>
      </c>
      <c r="I19" s="303">
        <v>1.2522219999999999</v>
      </c>
      <c r="J19" s="303">
        <v>3.5079990000000003</v>
      </c>
      <c r="K19" s="303">
        <v>0.40699599999999997</v>
      </c>
      <c r="L19" s="303">
        <v>0.61766199999999982</v>
      </c>
      <c r="M19" s="303">
        <v>4.5326570000000004</v>
      </c>
      <c r="N19" s="290"/>
      <c r="O19" s="284"/>
      <c r="P19" s="284"/>
      <c r="Q19" s="284"/>
      <c r="R19" s="284"/>
      <c r="S19" s="284"/>
      <c r="T19" s="284"/>
      <c r="U19" s="284"/>
      <c r="V19" s="284"/>
      <c r="W19" s="284"/>
      <c r="X19" s="284"/>
      <c r="Y19" s="284"/>
      <c r="Z19" s="284"/>
      <c r="AA19" s="284"/>
    </row>
    <row r="20" spans="1:27" ht="12.75" hidden="1" customHeight="1">
      <c r="A20" s="291" t="s">
        <v>337</v>
      </c>
      <c r="B20" s="303">
        <v>0</v>
      </c>
      <c r="C20" s="303">
        <v>0.72922600000000004</v>
      </c>
      <c r="D20" s="303">
        <v>8.5897000000000001E-2</v>
      </c>
      <c r="E20" s="303">
        <v>0.15329699999999999</v>
      </c>
      <c r="F20" s="303">
        <v>0.76362399999999997</v>
      </c>
      <c r="G20" s="303">
        <v>0.21209999999999998</v>
      </c>
      <c r="H20" s="303">
        <v>0.13800000000000001</v>
      </c>
      <c r="I20" s="303">
        <v>1.1409910000000001</v>
      </c>
      <c r="J20" s="303">
        <v>3.2231350000000001</v>
      </c>
      <c r="K20" s="303">
        <v>0.39991300000000002</v>
      </c>
      <c r="L20" s="303">
        <v>0.63382000000000005</v>
      </c>
      <c r="M20" s="303">
        <v>4.2568680000000008</v>
      </c>
      <c r="N20" s="290"/>
      <c r="O20" s="284"/>
      <c r="P20" s="284"/>
      <c r="Q20" s="284"/>
      <c r="R20" s="284"/>
      <c r="S20" s="284"/>
      <c r="T20" s="284"/>
      <c r="U20" s="284"/>
      <c r="V20" s="284"/>
      <c r="W20" s="284"/>
      <c r="X20" s="284"/>
      <c r="Y20" s="284"/>
      <c r="Z20" s="284"/>
      <c r="AA20" s="284"/>
    </row>
    <row r="21" spans="1:27" ht="12.75" hidden="1" customHeight="1">
      <c r="A21" s="291" t="s">
        <v>346</v>
      </c>
      <c r="B21" s="303">
        <v>0.10629999999999999</v>
      </c>
      <c r="C21" s="303">
        <v>0.29455000000000003</v>
      </c>
      <c r="D21" s="303">
        <v>0.17089799999999999</v>
      </c>
      <c r="E21" s="303">
        <v>0.13214099999999998</v>
      </c>
      <c r="F21" s="303">
        <v>0.62639599999999995</v>
      </c>
      <c r="G21" s="303">
        <v>0.14130000000000001</v>
      </c>
      <c r="H21" s="303">
        <v>0.13800000000000001</v>
      </c>
      <c r="I21" s="303">
        <v>1.1599280000000001</v>
      </c>
      <c r="J21" s="303">
        <v>2.7695129999999999</v>
      </c>
      <c r="K21" s="303">
        <v>0.38664299999999996</v>
      </c>
      <c r="L21" s="303">
        <v>0.62701900000000022</v>
      </c>
      <c r="M21" s="303">
        <v>3.7831750000000004</v>
      </c>
      <c r="N21" s="290"/>
      <c r="O21" s="284"/>
      <c r="P21" s="284"/>
      <c r="Q21" s="284"/>
      <c r="R21" s="284"/>
      <c r="S21" s="284"/>
      <c r="T21" s="284"/>
      <c r="U21" s="284"/>
      <c r="V21" s="284"/>
      <c r="W21" s="284"/>
      <c r="X21" s="284"/>
      <c r="Y21" s="284"/>
      <c r="Z21" s="284"/>
      <c r="AA21" s="284"/>
    </row>
    <row r="22" spans="1:27" ht="12.75" hidden="1" customHeight="1">
      <c r="A22" s="291" t="s">
        <v>347</v>
      </c>
      <c r="B22" s="303">
        <v>0.22618000000000002</v>
      </c>
      <c r="C22" s="303">
        <v>0.54085400000000006</v>
      </c>
      <c r="D22" s="303">
        <v>0.11275</v>
      </c>
      <c r="E22" s="303">
        <v>0.30406299999999997</v>
      </c>
      <c r="F22" s="303">
        <v>0.397312</v>
      </c>
      <c r="G22" s="303">
        <v>6.0000000000000001E-3</v>
      </c>
      <c r="H22" s="303">
        <v>0.13800000000000001</v>
      </c>
      <c r="I22" s="303">
        <v>1.4135199999999999</v>
      </c>
      <c r="J22" s="303">
        <v>3.1386790000000002</v>
      </c>
      <c r="K22" s="303">
        <v>0.36507100000000003</v>
      </c>
      <c r="L22" s="303">
        <v>1.0209319999999997</v>
      </c>
      <c r="M22" s="303">
        <v>4.5246819999999994</v>
      </c>
      <c r="N22" s="290"/>
      <c r="O22" s="284"/>
      <c r="P22" s="284"/>
      <c r="Q22" s="284"/>
      <c r="R22" s="284"/>
      <c r="S22" s="284"/>
      <c r="T22" s="284"/>
      <c r="U22" s="284"/>
      <c r="V22" s="284"/>
      <c r="W22" s="284"/>
      <c r="X22" s="284"/>
      <c r="Y22" s="284"/>
      <c r="Z22" s="284"/>
      <c r="AA22" s="284"/>
    </row>
    <row r="23" spans="1:27" ht="12.75" hidden="1" customHeight="1">
      <c r="A23" s="291" t="s">
        <v>12</v>
      </c>
      <c r="B23" s="303">
        <v>0.145291</v>
      </c>
      <c r="C23" s="303">
        <v>0.22690000000000002</v>
      </c>
      <c r="D23" s="303">
        <v>0.1555</v>
      </c>
      <c r="E23" s="303">
        <v>5.4634000000000002E-2</v>
      </c>
      <c r="F23" s="303">
        <v>0.39350599999999997</v>
      </c>
      <c r="G23" s="303">
        <v>2.1299999999999999E-2</v>
      </c>
      <c r="H23" s="303">
        <v>0.13800000000000001</v>
      </c>
      <c r="I23" s="303">
        <v>1.3130709999999999</v>
      </c>
      <c r="J23" s="303">
        <v>2.4482019999999998</v>
      </c>
      <c r="K23" s="303">
        <v>0.36247299999999999</v>
      </c>
      <c r="L23" s="303">
        <v>1.0853970000000004</v>
      </c>
      <c r="M23" s="303">
        <v>3.8960720000000002</v>
      </c>
      <c r="N23" s="290"/>
      <c r="O23" s="284"/>
      <c r="P23" s="284"/>
      <c r="Q23" s="284"/>
      <c r="R23" s="284"/>
      <c r="S23" s="284"/>
      <c r="T23" s="284"/>
      <c r="U23" s="284"/>
      <c r="V23" s="284"/>
      <c r="W23" s="284"/>
      <c r="X23" s="284"/>
      <c r="Y23" s="284"/>
      <c r="Z23" s="284"/>
      <c r="AA23" s="284"/>
    </row>
    <row r="24" spans="1:27" ht="12.75" hidden="1" customHeight="1">
      <c r="A24" s="291" t="s">
        <v>13</v>
      </c>
      <c r="B24" s="303">
        <v>1.0817929999999998</v>
      </c>
      <c r="C24" s="303">
        <v>0.2404</v>
      </c>
      <c r="D24" s="303">
        <v>0.18090400000000001</v>
      </c>
      <c r="E24" s="303">
        <v>6.2209E-2</v>
      </c>
      <c r="F24" s="303">
        <v>0.45442100000000002</v>
      </c>
      <c r="G24" s="303">
        <v>2.2499999999999999E-2</v>
      </c>
      <c r="H24" s="303">
        <v>2.8000000000000001E-2</v>
      </c>
      <c r="I24" s="303">
        <v>1.14002</v>
      </c>
      <c r="J24" s="303">
        <v>3.2102469999999999</v>
      </c>
      <c r="K24" s="303">
        <v>0.39728600000000003</v>
      </c>
      <c r="L24" s="303">
        <v>1.3091979999999999</v>
      </c>
      <c r="M24" s="303">
        <v>4.9167309999999995</v>
      </c>
      <c r="N24" s="290"/>
      <c r="O24" s="284"/>
      <c r="P24" s="284"/>
      <c r="Q24" s="284"/>
      <c r="R24" s="284"/>
      <c r="S24" s="284"/>
      <c r="T24" s="284"/>
      <c r="U24" s="284"/>
      <c r="V24" s="284"/>
      <c r="W24" s="284"/>
      <c r="X24" s="284"/>
      <c r="Y24" s="284"/>
      <c r="Z24" s="284"/>
      <c r="AA24" s="284"/>
    </row>
    <row r="25" spans="1:27" ht="12.75" hidden="1" customHeight="1">
      <c r="A25" s="291" t="s">
        <v>14</v>
      </c>
      <c r="B25" s="303">
        <v>3.4229999999999998E-3</v>
      </c>
      <c r="C25" s="303">
        <v>0.20652500000000001</v>
      </c>
      <c r="D25" s="303">
        <v>7.0358000000000004E-2</v>
      </c>
      <c r="E25" s="303">
        <v>0.212501</v>
      </c>
      <c r="F25" s="303">
        <v>0.54972299999999996</v>
      </c>
      <c r="G25" s="303">
        <v>0</v>
      </c>
      <c r="H25" s="303">
        <v>2.8000000000000001E-2</v>
      </c>
      <c r="I25" s="303">
        <v>1.4042809999999999</v>
      </c>
      <c r="J25" s="303">
        <v>2.4748109999999999</v>
      </c>
      <c r="K25" s="303">
        <v>0.53231200000000001</v>
      </c>
      <c r="L25" s="303">
        <v>1.3831450000000001</v>
      </c>
      <c r="M25" s="303">
        <v>4.3902679999999998</v>
      </c>
      <c r="N25" s="290"/>
      <c r="O25" s="284"/>
      <c r="P25" s="284"/>
      <c r="Q25" s="284"/>
      <c r="R25" s="284"/>
      <c r="S25" s="284"/>
      <c r="T25" s="284"/>
      <c r="U25" s="284"/>
      <c r="V25" s="284"/>
      <c r="W25" s="284"/>
      <c r="X25" s="284"/>
      <c r="Y25" s="284"/>
      <c r="Z25" s="284"/>
      <c r="AA25" s="284"/>
    </row>
    <row r="26" spans="1:27" ht="12.75" hidden="1" customHeight="1">
      <c r="A26" s="291" t="s">
        <v>15</v>
      </c>
      <c r="B26" s="303">
        <v>0.69423900000000005</v>
      </c>
      <c r="C26" s="303">
        <v>0.16053999999999999</v>
      </c>
      <c r="D26" s="303">
        <v>1.9350000000000001E-3</v>
      </c>
      <c r="E26" s="303">
        <v>0.20936600000000002</v>
      </c>
      <c r="F26" s="303">
        <v>0.41362900000000002</v>
      </c>
      <c r="G26" s="303">
        <v>4.675E-2</v>
      </c>
      <c r="H26" s="303">
        <v>2.8000000000000001E-2</v>
      </c>
      <c r="I26" s="303">
        <v>1.4750750000000001</v>
      </c>
      <c r="J26" s="303">
        <v>3.0295339999999999</v>
      </c>
      <c r="K26" s="303">
        <v>0.57449899999999998</v>
      </c>
      <c r="L26" s="303">
        <v>1.4778459999999995</v>
      </c>
      <c r="M26" s="303">
        <v>5.0818789999999998</v>
      </c>
      <c r="N26" s="290"/>
      <c r="O26" s="284"/>
      <c r="P26" s="284"/>
      <c r="Q26" s="284"/>
      <c r="R26" s="284"/>
      <c r="S26" s="284"/>
      <c r="T26" s="284"/>
      <c r="U26" s="284"/>
      <c r="V26" s="284"/>
      <c r="W26" s="284"/>
      <c r="X26" s="284"/>
      <c r="Y26" s="284"/>
      <c r="Z26" s="284"/>
      <c r="AA26" s="284"/>
    </row>
    <row r="27" spans="1:27" ht="12.75" hidden="1" customHeight="1">
      <c r="A27" s="291" t="s">
        <v>16</v>
      </c>
      <c r="B27" s="303">
        <v>0</v>
      </c>
      <c r="C27" s="303">
        <v>0.11579</v>
      </c>
      <c r="D27" s="303">
        <v>7.0000000000000007E-2</v>
      </c>
      <c r="E27" s="303">
        <v>2.4315999999999997E-2</v>
      </c>
      <c r="F27" s="303">
        <v>0.28614999999999996</v>
      </c>
      <c r="G27" s="303">
        <v>0.1002</v>
      </c>
      <c r="H27" s="303">
        <v>2.8000000000000001E-2</v>
      </c>
      <c r="I27" s="303">
        <v>1.2507470000000001</v>
      </c>
      <c r="J27" s="303">
        <v>1.875203</v>
      </c>
      <c r="K27" s="303">
        <v>0.534215</v>
      </c>
      <c r="L27" s="303">
        <v>1.2144879999999998</v>
      </c>
      <c r="M27" s="303">
        <v>3.6239059999999998</v>
      </c>
      <c r="N27" s="290"/>
      <c r="O27" s="284"/>
      <c r="P27" s="284"/>
      <c r="Q27" s="284"/>
      <c r="R27" s="284"/>
      <c r="S27" s="284"/>
      <c r="T27" s="284"/>
      <c r="U27" s="284"/>
      <c r="V27" s="284"/>
      <c r="W27" s="284"/>
      <c r="X27" s="284"/>
      <c r="Y27" s="284"/>
      <c r="Z27" s="284"/>
      <c r="AA27" s="284"/>
    </row>
    <row r="28" spans="1:27" ht="12.75" hidden="1" customHeight="1">
      <c r="A28" s="291"/>
      <c r="B28" s="303"/>
      <c r="C28" s="303"/>
      <c r="D28" s="303"/>
      <c r="E28" s="303"/>
      <c r="F28" s="303"/>
      <c r="G28" s="303"/>
      <c r="H28" s="303"/>
      <c r="I28" s="303"/>
      <c r="J28" s="303"/>
      <c r="K28" s="303"/>
      <c r="L28" s="303"/>
      <c r="M28" s="303"/>
      <c r="N28" s="290"/>
      <c r="O28" s="284"/>
      <c r="P28" s="284"/>
      <c r="Q28" s="284"/>
      <c r="R28" s="284"/>
      <c r="S28" s="284"/>
      <c r="T28" s="284"/>
      <c r="U28" s="284"/>
      <c r="V28" s="284"/>
      <c r="W28" s="284"/>
      <c r="X28" s="284"/>
      <c r="Y28" s="284"/>
      <c r="Z28" s="284"/>
      <c r="AA28" s="284"/>
    </row>
    <row r="29" spans="1:27" ht="16.95" hidden="1" customHeight="1">
      <c r="A29" s="299" t="s">
        <v>710</v>
      </c>
      <c r="B29" s="303"/>
      <c r="C29" s="303"/>
      <c r="D29" s="303"/>
      <c r="E29" s="303"/>
      <c r="F29" s="303"/>
      <c r="G29" s="303"/>
      <c r="H29" s="303"/>
      <c r="I29" s="303"/>
      <c r="J29" s="303"/>
      <c r="K29" s="303"/>
      <c r="L29" s="303"/>
      <c r="M29" s="303"/>
      <c r="N29" s="290"/>
      <c r="O29" s="284"/>
      <c r="P29" s="284"/>
      <c r="Q29" s="284"/>
      <c r="R29" s="284"/>
      <c r="S29" s="284"/>
      <c r="T29" s="284"/>
      <c r="U29" s="284"/>
      <c r="V29" s="284"/>
      <c r="W29" s="284"/>
      <c r="X29" s="284"/>
      <c r="Y29" s="284"/>
      <c r="Z29" s="284"/>
      <c r="AA29" s="284"/>
    </row>
    <row r="30" spans="1:27" ht="16.95" hidden="1" customHeight="1">
      <c r="A30" s="291"/>
      <c r="B30" s="303"/>
      <c r="C30" s="303"/>
      <c r="D30" s="303"/>
      <c r="E30" s="303"/>
      <c r="F30" s="303"/>
      <c r="G30" s="303"/>
      <c r="H30" s="303"/>
      <c r="I30" s="303"/>
      <c r="J30" s="303"/>
      <c r="K30" s="303"/>
      <c r="L30" s="303"/>
      <c r="M30" s="303"/>
      <c r="N30" s="290"/>
      <c r="O30" s="284"/>
      <c r="P30" s="284"/>
      <c r="Q30" s="284"/>
      <c r="R30" s="284"/>
      <c r="S30" s="284"/>
      <c r="T30" s="284"/>
      <c r="U30" s="284"/>
      <c r="V30" s="284"/>
      <c r="W30" s="284"/>
      <c r="X30" s="284"/>
      <c r="Y30" s="284"/>
      <c r="Z30" s="284"/>
      <c r="AA30" s="284"/>
    </row>
    <row r="31" spans="1:27" ht="16.95" hidden="1" customHeight="1">
      <c r="A31" s="291" t="s">
        <v>8</v>
      </c>
      <c r="B31" s="303">
        <v>7.0699999999999999E-2</v>
      </c>
      <c r="C31" s="303">
        <v>0.76619999999999999</v>
      </c>
      <c r="D31" s="303">
        <v>0.39339999999999997</v>
      </c>
      <c r="E31" s="303">
        <v>0.2051</v>
      </c>
      <c r="F31" s="303">
        <v>0.68400000000000005</v>
      </c>
      <c r="G31" s="303">
        <v>5.2600000000000001E-2</v>
      </c>
      <c r="H31" s="303">
        <v>0.14000000000000001</v>
      </c>
      <c r="I31" s="303">
        <v>1.7085999999999999</v>
      </c>
      <c r="J31" s="303">
        <v>4.0205000000000002</v>
      </c>
      <c r="K31" s="303">
        <v>0.66179999999999994</v>
      </c>
      <c r="L31" s="303">
        <v>2.0200999999999998</v>
      </c>
      <c r="M31" s="303">
        <v>6.7023999999999999</v>
      </c>
      <c r="N31" s="290"/>
      <c r="O31" s="284"/>
      <c r="P31" s="284"/>
      <c r="Q31" s="284"/>
      <c r="R31" s="284"/>
      <c r="S31" s="284"/>
      <c r="T31" s="284"/>
      <c r="U31" s="284"/>
      <c r="V31" s="284"/>
      <c r="W31" s="284"/>
      <c r="X31" s="284"/>
      <c r="Y31" s="284"/>
      <c r="Z31" s="284"/>
      <c r="AA31" s="284"/>
    </row>
    <row r="32" spans="1:27" ht="16.95" hidden="1" customHeight="1">
      <c r="A32" s="291" t="s">
        <v>9</v>
      </c>
      <c r="B32" s="303">
        <v>4.4999999999999998E-2</v>
      </c>
      <c r="C32" s="303">
        <v>0.15930000000000002</v>
      </c>
      <c r="D32" s="303">
        <v>0.1741</v>
      </c>
      <c r="E32" s="303">
        <v>1.1900000000000001E-2</v>
      </c>
      <c r="F32" s="303">
        <v>0.46379999999999999</v>
      </c>
      <c r="G32" s="303">
        <v>5.1400000000000001E-2</v>
      </c>
      <c r="H32" s="303">
        <v>0.14000000000000001</v>
      </c>
      <c r="I32" s="303">
        <v>1.7425999999999999</v>
      </c>
      <c r="J32" s="303">
        <v>2.7881</v>
      </c>
      <c r="K32" s="303">
        <v>0.68589999999999995</v>
      </c>
      <c r="L32" s="303">
        <v>1.8174999999999999</v>
      </c>
      <c r="M32" s="303">
        <v>5.2915000000000001</v>
      </c>
      <c r="N32" s="290"/>
      <c r="O32" s="284"/>
      <c r="P32" s="284"/>
      <c r="Q32" s="284"/>
      <c r="R32" s="284"/>
      <c r="S32" s="284"/>
      <c r="T32" s="284"/>
      <c r="U32" s="284"/>
      <c r="V32" s="284"/>
      <c r="W32" s="284"/>
      <c r="X32" s="284"/>
      <c r="Y32" s="284"/>
      <c r="Z32" s="284"/>
      <c r="AA32" s="284"/>
    </row>
    <row r="33" spans="1:27" ht="16.95" hidden="1" customHeight="1">
      <c r="A33" s="291" t="s">
        <v>10</v>
      </c>
      <c r="B33" s="303">
        <v>9.2999999999999999E-2</v>
      </c>
      <c r="C33" s="303">
        <v>0.23860000000000001</v>
      </c>
      <c r="D33" s="303">
        <v>4.3E-3</v>
      </c>
      <c r="E33" s="303">
        <v>2.41E-2</v>
      </c>
      <c r="F33" s="303">
        <v>0.35149999999999998</v>
      </c>
      <c r="G33" s="303">
        <v>0.08</v>
      </c>
      <c r="H33" s="303">
        <v>0.14000000000000001</v>
      </c>
      <c r="I33" s="303">
        <v>1.7690999999999999</v>
      </c>
      <c r="J33" s="303">
        <v>2.7004999999999999</v>
      </c>
      <c r="K33" s="303">
        <v>0.79589999999999994</v>
      </c>
      <c r="L33" s="303">
        <v>1.3932</v>
      </c>
      <c r="M33" s="303">
        <v>4.8896000000000006</v>
      </c>
      <c r="N33" s="290"/>
      <c r="O33" s="284"/>
      <c r="P33" s="284"/>
      <c r="Q33" s="284"/>
      <c r="R33" s="284"/>
      <c r="S33" s="284"/>
      <c r="T33" s="284"/>
      <c r="U33" s="284"/>
      <c r="V33" s="284"/>
      <c r="W33" s="284"/>
      <c r="X33" s="284"/>
      <c r="Y33" s="284"/>
      <c r="Z33" s="284"/>
      <c r="AA33" s="284"/>
    </row>
    <row r="34" spans="1:27" ht="16.95" hidden="1" customHeight="1">
      <c r="A34" s="291" t="s">
        <v>11</v>
      </c>
      <c r="B34" s="303">
        <v>0.39950000000000002</v>
      </c>
      <c r="C34" s="303">
        <v>0.28910000000000002</v>
      </c>
      <c r="D34" s="303">
        <v>0</v>
      </c>
      <c r="E34" s="303">
        <v>7.46E-2</v>
      </c>
      <c r="F34" s="303">
        <v>0.58120000000000005</v>
      </c>
      <c r="G34" s="303">
        <v>7.6100000000000001E-2</v>
      </c>
      <c r="H34" s="303">
        <v>0.14000000000000001</v>
      </c>
      <c r="I34" s="303">
        <v>1.9801</v>
      </c>
      <c r="J34" s="303">
        <v>3.5406</v>
      </c>
      <c r="K34" s="303">
        <v>0.87450000000000006</v>
      </c>
      <c r="L34" s="303">
        <v>1.7515999999999998</v>
      </c>
      <c r="M34" s="303">
        <v>6.1668000000000003</v>
      </c>
      <c r="N34" s="290"/>
      <c r="O34" s="284"/>
      <c r="P34" s="284"/>
      <c r="Q34" s="284"/>
      <c r="R34" s="284"/>
      <c r="S34" s="284"/>
      <c r="T34" s="284"/>
      <c r="U34" s="284"/>
      <c r="V34" s="284"/>
      <c r="W34" s="284"/>
      <c r="X34" s="284"/>
      <c r="Y34" s="284"/>
      <c r="Z34" s="284"/>
      <c r="AA34" s="284"/>
    </row>
    <row r="35" spans="1:27" ht="16.95" hidden="1" customHeight="1">
      <c r="A35" s="291" t="s">
        <v>337</v>
      </c>
      <c r="B35" s="303">
        <v>0.30099999999999999</v>
      </c>
      <c r="C35" s="303">
        <v>0.33310000000000001</v>
      </c>
      <c r="D35" s="303">
        <v>0.1613</v>
      </c>
      <c r="E35" s="303">
        <v>0.12079999999999999</v>
      </c>
      <c r="F35" s="303">
        <v>0.31489999999999996</v>
      </c>
      <c r="G35" s="303">
        <v>0.10299999999999999</v>
      </c>
      <c r="H35" s="303">
        <v>0.14000000000000001</v>
      </c>
      <c r="I35" s="303">
        <v>1.6384000000000001</v>
      </c>
      <c r="J35" s="303">
        <v>3.1124000000000001</v>
      </c>
      <c r="K35" s="303">
        <v>0.86050000000000004</v>
      </c>
      <c r="L35" s="303">
        <v>1.9299000000000002</v>
      </c>
      <c r="M35" s="303">
        <v>5.9028999999999998</v>
      </c>
      <c r="N35" s="290"/>
      <c r="O35" s="284"/>
      <c r="P35" s="284"/>
      <c r="Q35" s="284"/>
      <c r="R35" s="284"/>
      <c r="S35" s="284"/>
      <c r="T35" s="284"/>
      <c r="U35" s="284"/>
      <c r="V35" s="284"/>
      <c r="W35" s="284"/>
      <c r="X35" s="284"/>
      <c r="Y35" s="284"/>
      <c r="Z35" s="284"/>
      <c r="AA35" s="284"/>
    </row>
    <row r="36" spans="1:27" ht="16.95" hidden="1" customHeight="1">
      <c r="A36" s="291" t="s">
        <v>346</v>
      </c>
      <c r="B36" s="303">
        <v>0.43610000000000004</v>
      </c>
      <c r="C36" s="303">
        <v>0.57250000000000001</v>
      </c>
      <c r="D36" s="303">
        <v>6.3399999999999998E-2</v>
      </c>
      <c r="E36" s="303">
        <v>2.75E-2</v>
      </c>
      <c r="F36" s="303">
        <v>0.2555</v>
      </c>
      <c r="G36" s="303">
        <v>0.04</v>
      </c>
      <c r="H36" s="303">
        <v>0.14000000000000001</v>
      </c>
      <c r="I36" s="303">
        <v>2.1107</v>
      </c>
      <c r="J36" s="303">
        <v>3.6456</v>
      </c>
      <c r="K36" s="303">
        <v>0.8852000000000001</v>
      </c>
      <c r="L36" s="303">
        <v>1.2938000000000001</v>
      </c>
      <c r="M36" s="303">
        <v>5.8246000000000002</v>
      </c>
      <c r="N36" s="290"/>
      <c r="O36" s="284"/>
      <c r="P36" s="284"/>
      <c r="Q36" s="284"/>
      <c r="R36" s="284"/>
      <c r="S36" s="284"/>
      <c r="T36" s="284"/>
      <c r="U36" s="284"/>
      <c r="V36" s="284"/>
      <c r="W36" s="284"/>
      <c r="X36" s="284"/>
      <c r="Y36" s="284"/>
      <c r="Z36" s="284"/>
      <c r="AA36" s="284"/>
    </row>
    <row r="37" spans="1:27" ht="16.95" hidden="1" customHeight="1">
      <c r="A37" s="291" t="s">
        <v>347</v>
      </c>
      <c r="B37" s="303">
        <v>1.1227</v>
      </c>
      <c r="C37" s="303">
        <v>0.43060000000000004</v>
      </c>
      <c r="D37" s="303">
        <v>0.1391</v>
      </c>
      <c r="E37" s="303">
        <v>9.8500000000000004E-2</v>
      </c>
      <c r="F37" s="303">
        <v>0.97870000000000001</v>
      </c>
      <c r="G37" s="303">
        <v>9.9000000000000005E-2</v>
      </c>
      <c r="H37" s="303">
        <v>0.14000000000000001</v>
      </c>
      <c r="I37" s="303">
        <v>2.3849</v>
      </c>
      <c r="J37" s="303">
        <v>5.3936000000000002</v>
      </c>
      <c r="K37" s="303">
        <v>0.95189999999999997</v>
      </c>
      <c r="L37" s="303">
        <v>1.6755</v>
      </c>
      <c r="M37" s="303">
        <v>8.0208999999999993</v>
      </c>
      <c r="N37" s="290"/>
      <c r="O37" s="284"/>
      <c r="P37" s="284"/>
      <c r="Q37" s="284"/>
      <c r="R37" s="284"/>
      <c r="S37" s="284"/>
      <c r="T37" s="284"/>
      <c r="U37" s="284"/>
      <c r="V37" s="284"/>
      <c r="W37" s="284"/>
      <c r="X37" s="284"/>
      <c r="Y37" s="284"/>
      <c r="Z37" s="284"/>
      <c r="AA37" s="284"/>
    </row>
    <row r="38" spans="1:27" ht="16.95" hidden="1" customHeight="1">
      <c r="A38" s="291" t="s">
        <v>12</v>
      </c>
      <c r="B38" s="303">
        <v>0.50549999999999995</v>
      </c>
      <c r="C38" s="303">
        <v>0.27550000000000002</v>
      </c>
      <c r="D38" s="303">
        <v>6.5299999999999997E-2</v>
      </c>
      <c r="E38" s="303">
        <v>4.7700000000000006E-2</v>
      </c>
      <c r="F38" s="303">
        <v>0.63790000000000002</v>
      </c>
      <c r="G38" s="303">
        <v>0.11890000000000001</v>
      </c>
      <c r="H38" s="303">
        <v>0.14000000000000001</v>
      </c>
      <c r="I38" s="303">
        <v>1.9439000000000002</v>
      </c>
      <c r="J38" s="303">
        <v>3.7345999999999999</v>
      </c>
      <c r="K38" s="303">
        <v>1.0135000000000001</v>
      </c>
      <c r="L38" s="303">
        <v>1.6294000000000002</v>
      </c>
      <c r="M38" s="303">
        <v>6.3776000000000002</v>
      </c>
      <c r="N38" s="290"/>
      <c r="O38" s="284"/>
      <c r="P38" s="284"/>
      <c r="Q38" s="284"/>
      <c r="R38" s="284"/>
      <c r="S38" s="284"/>
      <c r="T38" s="284"/>
      <c r="U38" s="284"/>
      <c r="V38" s="284"/>
      <c r="W38" s="284"/>
      <c r="X38" s="284"/>
      <c r="Y38" s="284"/>
      <c r="Z38" s="284"/>
      <c r="AA38" s="284"/>
    </row>
    <row r="39" spans="1:27" ht="16.95" hidden="1" customHeight="1">
      <c r="A39" s="291" t="s">
        <v>13</v>
      </c>
      <c r="B39" s="303">
        <v>0.37380000000000002</v>
      </c>
      <c r="C39" s="303">
        <v>0.30930000000000002</v>
      </c>
      <c r="D39" s="303">
        <v>1.26E-2</v>
      </c>
      <c r="E39" s="303">
        <v>1.8600000000000002E-2</v>
      </c>
      <c r="F39" s="303">
        <v>0.63970000000000005</v>
      </c>
      <c r="G39" s="303">
        <v>0.14809999999999998</v>
      </c>
      <c r="H39" s="303">
        <v>0.14000000000000001</v>
      </c>
      <c r="I39" s="303">
        <v>1.9036</v>
      </c>
      <c r="J39" s="303">
        <v>3.5456999999999996</v>
      </c>
      <c r="K39" s="303">
        <v>1.1502000000000001</v>
      </c>
      <c r="L39" s="303">
        <v>1.6005</v>
      </c>
      <c r="M39" s="303">
        <v>6.2963999999999993</v>
      </c>
      <c r="N39" s="290"/>
      <c r="O39" s="284"/>
      <c r="P39" s="284"/>
      <c r="Q39" s="284"/>
      <c r="R39" s="284"/>
      <c r="S39" s="284"/>
      <c r="T39" s="284"/>
      <c r="U39" s="284"/>
      <c r="V39" s="284"/>
      <c r="W39" s="284"/>
      <c r="X39" s="284"/>
      <c r="Y39" s="284"/>
      <c r="Z39" s="284"/>
      <c r="AA39" s="284"/>
    </row>
    <row r="40" spans="1:27" ht="16.95" hidden="1" customHeight="1">
      <c r="A40" s="291" t="s">
        <v>14</v>
      </c>
      <c r="B40" s="303">
        <v>1.7235</v>
      </c>
      <c r="C40" s="303">
        <v>0.48039999999999999</v>
      </c>
      <c r="D40" s="303">
        <v>5.9400000000000001E-2</v>
      </c>
      <c r="E40" s="303">
        <v>6.59E-2</v>
      </c>
      <c r="F40" s="303">
        <v>1.0677000000000001</v>
      </c>
      <c r="G40" s="303">
        <v>0.24890000000000001</v>
      </c>
      <c r="H40" s="303">
        <v>0.14000000000000001</v>
      </c>
      <c r="I40" s="303">
        <v>3.0921999999999996</v>
      </c>
      <c r="J40" s="303">
        <v>6.8780000000000001</v>
      </c>
      <c r="K40" s="303">
        <v>1.2869000000000002</v>
      </c>
      <c r="L40" s="303">
        <v>2.4528000000000003</v>
      </c>
      <c r="M40" s="303">
        <v>10.617599999999999</v>
      </c>
      <c r="N40" s="290"/>
      <c r="O40" s="284"/>
      <c r="P40" s="284"/>
      <c r="Q40" s="284"/>
      <c r="R40" s="284"/>
      <c r="S40" s="284"/>
      <c r="T40" s="284"/>
      <c r="U40" s="284"/>
      <c r="V40" s="284"/>
      <c r="W40" s="284"/>
      <c r="X40" s="284"/>
      <c r="Y40" s="284"/>
      <c r="Z40" s="284"/>
      <c r="AA40" s="284"/>
    </row>
    <row r="41" spans="1:27" ht="16.95" hidden="1" customHeight="1">
      <c r="A41" s="291" t="s">
        <v>15</v>
      </c>
      <c r="B41" s="303">
        <v>1.1382000000000001</v>
      </c>
      <c r="C41" s="303">
        <v>0.44800000000000001</v>
      </c>
      <c r="D41" s="303">
        <v>7.0999999999999995E-3</v>
      </c>
      <c r="E41" s="303">
        <v>4.5600000000000002E-2</v>
      </c>
      <c r="F41" s="303">
        <v>0.91900000000000004</v>
      </c>
      <c r="G41" s="303">
        <v>0.27660000000000001</v>
      </c>
      <c r="H41" s="303">
        <v>0.15819999999999998</v>
      </c>
      <c r="I41" s="303">
        <v>2.7240000000000002</v>
      </c>
      <c r="J41" s="303">
        <v>5.7166999999999994</v>
      </c>
      <c r="K41" s="303">
        <v>1.3842999999999999</v>
      </c>
      <c r="L41" s="303">
        <v>3.3815</v>
      </c>
      <c r="M41" s="303">
        <v>10.4824</v>
      </c>
      <c r="N41" s="290"/>
      <c r="O41" s="284"/>
      <c r="P41" s="284"/>
      <c r="Q41" s="284"/>
      <c r="R41" s="284"/>
      <c r="S41" s="284"/>
      <c r="T41" s="284"/>
      <c r="U41" s="284"/>
      <c r="V41" s="284"/>
      <c r="W41" s="284"/>
      <c r="X41" s="284"/>
      <c r="Y41" s="284"/>
      <c r="Z41" s="284"/>
      <c r="AA41" s="284"/>
    </row>
    <row r="42" spans="1:27" ht="16.95" hidden="1" customHeight="1">
      <c r="A42" s="291" t="s">
        <v>16</v>
      </c>
      <c r="B42" s="303">
        <v>0.74320000000000008</v>
      </c>
      <c r="C42" s="303">
        <v>0.77889999999999993</v>
      </c>
      <c r="D42" s="303">
        <v>2.01E-2</v>
      </c>
      <c r="E42" s="303">
        <v>0.16819999999999999</v>
      </c>
      <c r="F42" s="303">
        <v>0.78670000000000007</v>
      </c>
      <c r="G42" s="303">
        <v>0.1014</v>
      </c>
      <c r="H42" s="303">
        <v>0.15819999999999998</v>
      </c>
      <c r="I42" s="303">
        <v>3.0310000000000001</v>
      </c>
      <c r="J42" s="303">
        <v>5.7877000000000001</v>
      </c>
      <c r="K42" s="303">
        <v>1.4068000000000001</v>
      </c>
      <c r="L42" s="303">
        <v>5.5415000000000001</v>
      </c>
      <c r="M42" s="303">
        <v>12.736000000000001</v>
      </c>
      <c r="N42" s="290"/>
      <c r="O42" s="284"/>
      <c r="P42" s="284"/>
      <c r="Q42" s="284"/>
      <c r="R42" s="284"/>
      <c r="S42" s="284"/>
      <c r="T42" s="284"/>
      <c r="U42" s="284"/>
      <c r="V42" s="284"/>
      <c r="W42" s="284"/>
      <c r="X42" s="284"/>
      <c r="Y42" s="284"/>
      <c r="Z42" s="284"/>
      <c r="AA42" s="284"/>
    </row>
    <row r="43" spans="1:27" ht="16.95" hidden="1" customHeight="1">
      <c r="A43" s="291"/>
      <c r="B43" s="303"/>
      <c r="C43" s="303"/>
      <c r="D43" s="303"/>
      <c r="E43" s="303"/>
      <c r="F43" s="303"/>
      <c r="G43" s="303"/>
      <c r="H43" s="303"/>
      <c r="I43" s="303"/>
      <c r="J43" s="303"/>
      <c r="K43" s="303"/>
      <c r="L43" s="303"/>
      <c r="M43" s="303"/>
      <c r="N43" s="290"/>
      <c r="O43" s="284"/>
      <c r="P43" s="284"/>
      <c r="Q43" s="284"/>
      <c r="R43" s="284"/>
      <c r="S43" s="284"/>
      <c r="T43" s="284"/>
      <c r="U43" s="284"/>
      <c r="V43" s="284"/>
      <c r="W43" s="284"/>
      <c r="X43" s="284"/>
      <c r="Y43" s="284"/>
      <c r="Z43" s="284"/>
      <c r="AA43" s="284"/>
    </row>
    <row r="44" spans="1:27" ht="16.95" hidden="1" customHeight="1">
      <c r="A44" s="299" t="s">
        <v>40</v>
      </c>
      <c r="B44" s="303"/>
      <c r="C44" s="303"/>
      <c r="D44" s="303"/>
      <c r="E44" s="303"/>
      <c r="F44" s="303"/>
      <c r="G44" s="303"/>
      <c r="H44" s="303"/>
      <c r="I44" s="303"/>
      <c r="J44" s="303"/>
      <c r="K44" s="303"/>
      <c r="L44" s="303"/>
      <c r="M44" s="303"/>
      <c r="N44" s="290"/>
      <c r="O44" s="284"/>
      <c r="P44" s="284"/>
      <c r="Q44" s="284"/>
      <c r="R44" s="284"/>
      <c r="S44" s="284"/>
      <c r="T44" s="284"/>
      <c r="U44" s="284"/>
      <c r="V44" s="284"/>
      <c r="W44" s="284"/>
      <c r="X44" s="284"/>
      <c r="Y44" s="284"/>
      <c r="Z44" s="284"/>
      <c r="AA44" s="284"/>
    </row>
    <row r="45" spans="1:27" ht="16.95" hidden="1" customHeight="1">
      <c r="A45" s="291"/>
      <c r="B45" s="303"/>
      <c r="C45" s="303"/>
      <c r="D45" s="303"/>
      <c r="E45" s="303"/>
      <c r="F45" s="303"/>
      <c r="G45" s="303"/>
      <c r="H45" s="303"/>
      <c r="I45" s="303"/>
      <c r="J45" s="303"/>
      <c r="K45" s="303"/>
      <c r="L45" s="303"/>
      <c r="M45" s="303"/>
      <c r="N45" s="290"/>
      <c r="O45" s="284"/>
      <c r="P45" s="284"/>
      <c r="Q45" s="284"/>
      <c r="R45" s="284"/>
      <c r="S45" s="284"/>
      <c r="T45" s="284"/>
      <c r="U45" s="284"/>
      <c r="V45" s="284"/>
      <c r="W45" s="284"/>
      <c r="X45" s="284"/>
      <c r="Y45" s="284"/>
      <c r="Z45" s="284"/>
      <c r="AA45" s="284"/>
    </row>
    <row r="46" spans="1:27" ht="16.95" hidden="1" customHeight="1">
      <c r="A46" s="291" t="s">
        <v>8</v>
      </c>
      <c r="B46" s="303">
        <v>1.0116000000000001</v>
      </c>
      <c r="C46" s="303">
        <v>0.21930000000000002</v>
      </c>
      <c r="D46" s="303">
        <v>0.1012</v>
      </c>
      <c r="E46" s="303">
        <v>0.22740000000000002</v>
      </c>
      <c r="F46" s="303">
        <v>2.4001000000000001</v>
      </c>
      <c r="G46" s="303">
        <v>0.1066</v>
      </c>
      <c r="H46" s="303">
        <v>0.15819999999999998</v>
      </c>
      <c r="I46" s="303">
        <v>5.3878000000000004</v>
      </c>
      <c r="J46" s="303">
        <f t="shared" ref="J46:J57" si="0">(SUM(B46:I46))/1000</f>
        <v>9.6122000000000013E-3</v>
      </c>
      <c r="K46" s="303">
        <v>2.2370000000000001</v>
      </c>
      <c r="L46" s="303">
        <v>6.8731</v>
      </c>
      <c r="M46" s="303">
        <f t="shared" ref="M46:M57" si="1">(SUM(J46:L46))/1000</f>
        <v>9.1197122000000012E-3</v>
      </c>
      <c r="N46" s="290"/>
      <c r="O46" s="284"/>
      <c r="P46" s="284"/>
      <c r="Q46" s="284"/>
      <c r="R46" s="284"/>
      <c r="S46" s="284"/>
      <c r="T46" s="284"/>
      <c r="U46" s="284"/>
      <c r="V46" s="284"/>
      <c r="W46" s="284"/>
      <c r="X46" s="284"/>
      <c r="Y46" s="284"/>
      <c r="Z46" s="284"/>
      <c r="AA46" s="284"/>
    </row>
    <row r="47" spans="1:27" ht="16.95" hidden="1" customHeight="1">
      <c r="A47" s="291" t="s">
        <v>9</v>
      </c>
      <c r="B47" s="303">
        <v>0.29649999999999999</v>
      </c>
      <c r="C47" s="303">
        <v>3.3E-3</v>
      </c>
      <c r="D47" s="303">
        <v>0</v>
      </c>
      <c r="E47" s="303">
        <v>0.12720000000000001</v>
      </c>
      <c r="F47" s="303">
        <v>0.86829999999999996</v>
      </c>
      <c r="G47" s="303">
        <v>2.35E-2</v>
      </c>
      <c r="H47" s="303">
        <v>0.15819999999999998</v>
      </c>
      <c r="I47" s="303">
        <v>4.6630000000000003</v>
      </c>
      <c r="J47" s="303">
        <f t="shared" si="0"/>
        <v>6.1400000000000005E-3</v>
      </c>
      <c r="K47" s="303">
        <v>2.3799000000000001</v>
      </c>
      <c r="L47" s="303">
        <v>7.2706</v>
      </c>
      <c r="M47" s="303">
        <f t="shared" si="1"/>
        <v>9.6566399999999993E-3</v>
      </c>
      <c r="N47" s="290"/>
      <c r="O47" s="284"/>
      <c r="P47" s="284"/>
      <c r="Q47" s="284"/>
      <c r="R47" s="284"/>
      <c r="S47" s="284"/>
      <c r="T47" s="284"/>
      <c r="U47" s="284"/>
      <c r="V47" s="284"/>
      <c r="W47" s="284"/>
      <c r="X47" s="284"/>
      <c r="Y47" s="284"/>
      <c r="Z47" s="284"/>
      <c r="AA47" s="284"/>
    </row>
    <row r="48" spans="1:27" ht="16.95" hidden="1" customHeight="1">
      <c r="A48" s="291" t="s">
        <v>10</v>
      </c>
      <c r="B48" s="303">
        <v>0.71450000000000002</v>
      </c>
      <c r="C48" s="303">
        <v>0.1714</v>
      </c>
      <c r="D48" s="303">
        <v>0.1</v>
      </c>
      <c r="E48" s="303">
        <v>4.5899999999999996E-2</v>
      </c>
      <c r="F48" s="303">
        <v>0.99170000000000003</v>
      </c>
      <c r="G48" s="303">
        <v>8.5599999999999996E-2</v>
      </c>
      <c r="H48" s="303">
        <v>0.13019999999999998</v>
      </c>
      <c r="I48" s="303">
        <v>4.9291</v>
      </c>
      <c r="J48" s="303">
        <f t="shared" si="0"/>
        <v>7.1684000000000001E-3</v>
      </c>
      <c r="K48" s="303">
        <v>2.8426</v>
      </c>
      <c r="L48" s="303">
        <v>7.6368</v>
      </c>
      <c r="M48" s="303">
        <f t="shared" si="1"/>
        <v>1.04865684E-2</v>
      </c>
      <c r="N48" s="290"/>
      <c r="O48" s="284"/>
      <c r="P48" s="284"/>
      <c r="Q48" s="284"/>
      <c r="R48" s="284"/>
      <c r="S48" s="284"/>
      <c r="T48" s="284"/>
      <c r="U48" s="284"/>
      <c r="V48" s="284"/>
      <c r="W48" s="284"/>
      <c r="X48" s="284"/>
      <c r="Y48" s="284"/>
      <c r="Z48" s="284"/>
      <c r="AA48" s="284"/>
    </row>
    <row r="49" spans="1:27" ht="16.95" hidden="1" customHeight="1">
      <c r="A49" s="291" t="s">
        <v>11</v>
      </c>
      <c r="B49" s="303">
        <v>0.48169999999999996</v>
      </c>
      <c r="C49" s="303">
        <v>3.3999999999999998E-3</v>
      </c>
      <c r="D49" s="303">
        <v>7.3499999999999996E-2</v>
      </c>
      <c r="E49" s="303">
        <v>0.45679999999999998</v>
      </c>
      <c r="F49" s="303">
        <v>0.43369999999999997</v>
      </c>
      <c r="G49" s="303">
        <v>8.8599999999999998E-2</v>
      </c>
      <c r="H49" s="303">
        <v>0.13019999999999998</v>
      </c>
      <c r="I49" s="303">
        <v>5.0762</v>
      </c>
      <c r="J49" s="303">
        <f t="shared" si="0"/>
        <v>6.7440999999999994E-3</v>
      </c>
      <c r="K49" s="303">
        <v>3.1218000000000004</v>
      </c>
      <c r="L49" s="303">
        <v>9.0767999999999986</v>
      </c>
      <c r="M49" s="303">
        <f t="shared" si="1"/>
        <v>1.22053441E-2</v>
      </c>
      <c r="N49" s="290"/>
      <c r="O49" s="284"/>
      <c r="P49" s="284"/>
      <c r="Q49" s="284"/>
      <c r="R49" s="284"/>
      <c r="S49" s="284"/>
      <c r="T49" s="284"/>
      <c r="U49" s="284"/>
      <c r="V49" s="284"/>
      <c r="W49" s="284"/>
      <c r="X49" s="284"/>
      <c r="Y49" s="284"/>
      <c r="Z49" s="284"/>
      <c r="AA49" s="284"/>
    </row>
    <row r="50" spans="1:27" ht="16.95" hidden="1" customHeight="1">
      <c r="A50" s="291" t="s">
        <v>337</v>
      </c>
      <c r="B50" s="303">
        <v>1.8360000000000001</v>
      </c>
      <c r="C50" s="303">
        <v>0.1817</v>
      </c>
      <c r="D50" s="303">
        <v>4.7000000000000002E-3</v>
      </c>
      <c r="E50" s="303">
        <v>0.8197000000000001</v>
      </c>
      <c r="F50" s="303">
        <v>0.4708</v>
      </c>
      <c r="G50" s="303">
        <v>4.53E-2</v>
      </c>
      <c r="H50" s="303">
        <v>0.13019999999999998</v>
      </c>
      <c r="I50" s="303">
        <v>3.8289</v>
      </c>
      <c r="J50" s="303">
        <f t="shared" si="0"/>
        <v>7.3173000000000005E-3</v>
      </c>
      <c r="K50" s="303">
        <v>3.4714999999999998</v>
      </c>
      <c r="L50" s="303">
        <v>17.02</v>
      </c>
      <c r="M50" s="303">
        <f t="shared" si="1"/>
        <v>2.04988173E-2</v>
      </c>
      <c r="N50" s="290"/>
      <c r="O50" s="284"/>
      <c r="P50" s="284"/>
      <c r="Q50" s="284"/>
      <c r="R50" s="284"/>
      <c r="S50" s="284"/>
      <c r="T50" s="284"/>
      <c r="U50" s="284"/>
      <c r="V50" s="284"/>
      <c r="W50" s="284"/>
      <c r="X50" s="284"/>
      <c r="Y50" s="284"/>
      <c r="Z50" s="284"/>
      <c r="AA50" s="284"/>
    </row>
    <row r="51" spans="1:27" ht="16.95" hidden="1" customHeight="1">
      <c r="A51" s="291" t="s">
        <v>346</v>
      </c>
      <c r="B51" s="303">
        <v>1.3535999999999999</v>
      </c>
      <c r="C51" s="303">
        <v>0.17749999999999999</v>
      </c>
      <c r="D51" s="303">
        <v>0.8</v>
      </c>
      <c r="E51" s="303">
        <v>0.92789999999999995</v>
      </c>
      <c r="F51" s="303">
        <v>0.79120000000000001</v>
      </c>
      <c r="G51" s="303">
        <v>0.19650000000000001</v>
      </c>
      <c r="H51" s="303">
        <v>0.13019999999999998</v>
      </c>
      <c r="I51" s="303">
        <v>3.8971999999999998</v>
      </c>
      <c r="J51" s="303">
        <f t="shared" si="0"/>
        <v>8.2741000000000012E-3</v>
      </c>
      <c r="K51" s="303">
        <v>3.6499000000000001</v>
      </c>
      <c r="L51" s="303">
        <v>12.603200000000001</v>
      </c>
      <c r="M51" s="303">
        <f t="shared" si="1"/>
        <v>1.62613741E-2</v>
      </c>
      <c r="N51" s="290"/>
      <c r="O51" s="284"/>
      <c r="P51" s="284"/>
      <c r="Q51" s="284"/>
      <c r="R51" s="284"/>
      <c r="S51" s="284"/>
      <c r="T51" s="284"/>
      <c r="U51" s="284"/>
      <c r="V51" s="284"/>
      <c r="W51" s="284"/>
      <c r="X51" s="284"/>
      <c r="Y51" s="284"/>
      <c r="Z51" s="284"/>
      <c r="AA51" s="284"/>
    </row>
    <row r="52" spans="1:27" ht="16.95" hidden="1" customHeight="1">
      <c r="A52" s="291" t="s">
        <v>347</v>
      </c>
      <c r="B52" s="303">
        <v>0.1288</v>
      </c>
      <c r="C52" s="303">
        <v>0.3054</v>
      </c>
      <c r="D52" s="303">
        <v>0.15</v>
      </c>
      <c r="E52" s="303">
        <v>0.83199999999999996</v>
      </c>
      <c r="F52" s="303">
        <v>1.2612000000000001</v>
      </c>
      <c r="G52" s="303">
        <v>0.1237</v>
      </c>
      <c r="H52" s="303">
        <v>0.13019999999999998</v>
      </c>
      <c r="I52" s="303">
        <v>6.4329000000000001</v>
      </c>
      <c r="J52" s="303">
        <f t="shared" si="0"/>
        <v>9.3641999999999996E-3</v>
      </c>
      <c r="K52" s="303">
        <v>3.8973</v>
      </c>
      <c r="L52" s="303">
        <v>11.946</v>
      </c>
      <c r="M52" s="303">
        <f t="shared" si="1"/>
        <v>1.5852664199999998E-2</v>
      </c>
      <c r="N52" s="290"/>
      <c r="O52" s="284"/>
      <c r="P52" s="284"/>
      <c r="Q52" s="284"/>
      <c r="R52" s="284"/>
      <c r="S52" s="284"/>
      <c r="T52" s="284"/>
      <c r="U52" s="284"/>
      <c r="V52" s="284"/>
      <c r="W52" s="284"/>
      <c r="X52" s="284"/>
      <c r="Y52" s="284"/>
      <c r="Z52" s="284"/>
      <c r="AA52" s="284"/>
    </row>
    <row r="53" spans="1:27" ht="16.95" hidden="1" customHeight="1">
      <c r="A53" s="291" t="s">
        <v>12</v>
      </c>
      <c r="B53" s="303">
        <v>0.6472</v>
      </c>
      <c r="C53" s="303">
        <v>0.2334</v>
      </c>
      <c r="D53" s="303">
        <v>0.34910000000000002</v>
      </c>
      <c r="E53" s="303">
        <v>0.64770000000000005</v>
      </c>
      <c r="F53" s="303">
        <v>1.0324</v>
      </c>
      <c r="G53" s="303">
        <v>0.113</v>
      </c>
      <c r="H53" s="303">
        <v>0.13019999999999998</v>
      </c>
      <c r="I53" s="303">
        <v>4.4880000000000004</v>
      </c>
      <c r="J53" s="303">
        <f t="shared" si="0"/>
        <v>7.6410000000000002E-3</v>
      </c>
      <c r="K53" s="303">
        <v>4.0125999999999999</v>
      </c>
      <c r="L53" s="303">
        <v>11.1614</v>
      </c>
      <c r="M53" s="303">
        <f t="shared" si="1"/>
        <v>1.5181640999999999E-2</v>
      </c>
      <c r="N53" s="290"/>
      <c r="O53" s="284"/>
      <c r="P53" s="284"/>
      <c r="Q53" s="284"/>
      <c r="R53" s="284"/>
      <c r="S53" s="284"/>
      <c r="T53" s="284"/>
      <c r="U53" s="284"/>
      <c r="V53" s="284"/>
      <c r="W53" s="284"/>
      <c r="X53" s="284"/>
      <c r="Y53" s="284"/>
      <c r="Z53" s="284"/>
      <c r="AA53" s="284"/>
    </row>
    <row r="54" spans="1:27" ht="16.95" hidden="1" customHeight="1">
      <c r="A54" s="291" t="s">
        <v>13</v>
      </c>
      <c r="B54" s="303">
        <v>0.2399</v>
      </c>
      <c r="C54" s="303">
        <v>0.2334</v>
      </c>
      <c r="D54" s="303">
        <v>0.1</v>
      </c>
      <c r="E54" s="303">
        <v>0.85639999999999994</v>
      </c>
      <c r="F54" s="303">
        <v>0.73009999999999997</v>
      </c>
      <c r="G54" s="303">
        <v>0.1421</v>
      </c>
      <c r="H54" s="303">
        <v>0.13019999999999998</v>
      </c>
      <c r="I54" s="303">
        <v>5.1619999999999999</v>
      </c>
      <c r="J54" s="303">
        <f t="shared" si="0"/>
        <v>7.5940999999999995E-3</v>
      </c>
      <c r="K54" s="303">
        <v>4.3161000000000005</v>
      </c>
      <c r="L54" s="303">
        <v>9.3544999999999998</v>
      </c>
      <c r="M54" s="303">
        <f t="shared" si="1"/>
        <v>1.3678194100000001E-2</v>
      </c>
      <c r="N54" s="290"/>
      <c r="O54" s="284"/>
      <c r="P54" s="284"/>
      <c r="Q54" s="284"/>
      <c r="R54" s="284"/>
      <c r="S54" s="284"/>
      <c r="T54" s="284"/>
      <c r="U54" s="284"/>
      <c r="V54" s="284"/>
      <c r="W54" s="284"/>
      <c r="X54" s="284"/>
      <c r="Y54" s="284"/>
      <c r="Z54" s="284"/>
      <c r="AA54" s="284"/>
    </row>
    <row r="55" spans="1:27" ht="16.95" hidden="1" customHeight="1">
      <c r="A55" s="291" t="s">
        <v>14</v>
      </c>
      <c r="B55" s="303">
        <v>2.8035999999999999</v>
      </c>
      <c r="C55" s="303">
        <v>0.55000000000000004</v>
      </c>
      <c r="D55" s="303">
        <v>0.12140000000000001</v>
      </c>
      <c r="E55" s="303">
        <v>1.0945</v>
      </c>
      <c r="F55" s="303">
        <v>1.1822999999999999</v>
      </c>
      <c r="G55" s="303">
        <v>7.3599999999999999E-2</v>
      </c>
      <c r="H55" s="303">
        <v>0.13019999999999998</v>
      </c>
      <c r="I55" s="303">
        <v>4.9115000000000002</v>
      </c>
      <c r="J55" s="303">
        <f t="shared" si="0"/>
        <v>1.0867100000000001E-2</v>
      </c>
      <c r="K55" s="303">
        <v>4.3366999999999996</v>
      </c>
      <c r="L55" s="303">
        <v>9.1917000000000009</v>
      </c>
      <c r="M55" s="303">
        <f t="shared" si="1"/>
        <v>1.35392671E-2</v>
      </c>
      <c r="N55" s="290"/>
      <c r="O55" s="284"/>
      <c r="P55" s="284"/>
      <c r="Q55" s="284"/>
      <c r="R55" s="284"/>
      <c r="S55" s="284"/>
      <c r="T55" s="284"/>
      <c r="U55" s="284"/>
      <c r="V55" s="284"/>
      <c r="W55" s="284"/>
      <c r="X55" s="284"/>
      <c r="Y55" s="284"/>
      <c r="Z55" s="284"/>
      <c r="AA55" s="284"/>
    </row>
    <row r="56" spans="1:27" ht="16.95" hidden="1" customHeight="1">
      <c r="A56" s="291" t="s">
        <v>15</v>
      </c>
      <c r="B56" s="303">
        <v>0.23169999999999999</v>
      </c>
      <c r="C56" s="303">
        <v>0.245</v>
      </c>
      <c r="D56" s="303">
        <v>3.0000000000000001E-3</v>
      </c>
      <c r="E56" s="303">
        <v>1.1305000000000001</v>
      </c>
      <c r="F56" s="303">
        <v>1.1942999999999999</v>
      </c>
      <c r="G56" s="303">
        <v>7.0000000000000001E-3</v>
      </c>
      <c r="H56" s="303">
        <v>0.13019999999999998</v>
      </c>
      <c r="I56" s="303">
        <v>5.4166999999999996</v>
      </c>
      <c r="J56" s="303">
        <f t="shared" si="0"/>
        <v>8.3584000000000002E-3</v>
      </c>
      <c r="K56" s="303">
        <v>5.7696000000000005</v>
      </c>
      <c r="L56" s="303">
        <v>8.9457999999999984</v>
      </c>
      <c r="M56" s="303">
        <f t="shared" si="1"/>
        <v>1.4723758399999998E-2</v>
      </c>
      <c r="N56" s="290"/>
      <c r="O56" s="284"/>
      <c r="P56" s="284"/>
      <c r="Q56" s="284"/>
      <c r="R56" s="284"/>
      <c r="S56" s="284"/>
      <c r="T56" s="284"/>
      <c r="U56" s="284"/>
      <c r="V56" s="284"/>
      <c r="W56" s="284"/>
      <c r="X56" s="284"/>
      <c r="Y56" s="284"/>
      <c r="Z56" s="284"/>
      <c r="AA56" s="284"/>
    </row>
    <row r="57" spans="1:27" ht="16.95" hidden="1" customHeight="1">
      <c r="A57" s="291" t="s">
        <v>16</v>
      </c>
      <c r="B57" s="303">
        <v>0.61229999999999996</v>
      </c>
      <c r="C57" s="303">
        <v>1.4999999999999999E-2</v>
      </c>
      <c r="D57" s="303">
        <v>0</v>
      </c>
      <c r="E57" s="303">
        <v>0.83839999999999992</v>
      </c>
      <c r="F57" s="303">
        <v>0.5222</v>
      </c>
      <c r="G57" s="303">
        <v>0.1075</v>
      </c>
      <c r="H57" s="303">
        <v>1.8200000000000001E-2</v>
      </c>
      <c r="I57" s="303">
        <v>5.4476000000000004</v>
      </c>
      <c r="J57" s="303">
        <f t="shared" si="0"/>
        <v>7.5612000000000014E-3</v>
      </c>
      <c r="K57" s="303">
        <v>5.3129</v>
      </c>
      <c r="L57" s="303">
        <v>8.7172000000000001</v>
      </c>
      <c r="M57" s="303">
        <f t="shared" si="1"/>
        <v>1.4037661199999999E-2</v>
      </c>
      <c r="N57" s="290"/>
      <c r="O57" s="284"/>
      <c r="P57" s="284"/>
      <c r="Q57" s="284"/>
      <c r="R57" s="284"/>
      <c r="S57" s="284"/>
      <c r="T57" s="284"/>
      <c r="U57" s="284"/>
      <c r="V57" s="284"/>
      <c r="W57" s="284"/>
      <c r="X57" s="284"/>
      <c r="Y57" s="284"/>
      <c r="Z57" s="284"/>
      <c r="AA57" s="284"/>
    </row>
    <row r="58" spans="1:27" ht="16.95" hidden="1" customHeight="1">
      <c r="A58" s="291"/>
      <c r="B58" s="303"/>
      <c r="C58" s="303"/>
      <c r="D58" s="303"/>
      <c r="E58" s="303"/>
      <c r="F58" s="303"/>
      <c r="G58" s="303"/>
      <c r="H58" s="303"/>
      <c r="I58" s="303"/>
      <c r="J58" s="303"/>
      <c r="K58" s="303"/>
      <c r="L58" s="303"/>
      <c r="M58" s="303"/>
      <c r="N58" s="290"/>
      <c r="O58" s="284"/>
      <c r="P58" s="284"/>
      <c r="Q58" s="284"/>
      <c r="R58" s="284"/>
      <c r="S58" s="284"/>
      <c r="T58" s="284"/>
      <c r="U58" s="284"/>
      <c r="V58" s="284"/>
      <c r="W58" s="284"/>
      <c r="X58" s="284"/>
      <c r="Y58" s="284"/>
      <c r="Z58" s="284"/>
      <c r="AA58" s="284"/>
    </row>
    <row r="59" spans="1:27" ht="18.75" hidden="1" customHeight="1">
      <c r="A59" s="304">
        <v>2002</v>
      </c>
      <c r="B59" s="303"/>
      <c r="C59" s="303"/>
      <c r="D59" s="303"/>
      <c r="E59" s="303"/>
      <c r="F59" s="303"/>
      <c r="G59" s="303"/>
      <c r="H59" s="303"/>
      <c r="I59" s="303"/>
      <c r="J59" s="303"/>
      <c r="K59" s="303"/>
      <c r="L59" s="303"/>
      <c r="M59" s="303"/>
      <c r="N59" s="290"/>
      <c r="O59" s="284"/>
      <c r="P59" s="284"/>
      <c r="Q59" s="284"/>
      <c r="R59" s="284"/>
      <c r="S59" s="284"/>
      <c r="T59" s="284"/>
      <c r="U59" s="284"/>
      <c r="V59" s="284"/>
      <c r="W59" s="284"/>
      <c r="X59" s="284"/>
      <c r="Y59" s="284"/>
      <c r="Z59" s="284"/>
      <c r="AA59" s="284"/>
    </row>
    <row r="60" spans="1:27" ht="16.95" hidden="1" customHeight="1">
      <c r="A60" s="291"/>
      <c r="B60" s="303"/>
      <c r="C60" s="303"/>
      <c r="D60" s="303"/>
      <c r="E60" s="303"/>
      <c r="F60" s="303"/>
      <c r="G60" s="303"/>
      <c r="H60" s="303"/>
      <c r="I60" s="303"/>
      <c r="J60" s="303"/>
      <c r="K60" s="303"/>
      <c r="L60" s="303"/>
      <c r="M60" s="303"/>
      <c r="N60" s="290"/>
      <c r="O60" s="284"/>
      <c r="P60" s="284"/>
      <c r="Q60" s="284"/>
      <c r="R60" s="284"/>
      <c r="S60" s="284"/>
      <c r="T60" s="284"/>
      <c r="U60" s="284"/>
      <c r="V60" s="284"/>
      <c r="W60" s="284"/>
      <c r="X60" s="284"/>
      <c r="Y60" s="284"/>
      <c r="Z60" s="284"/>
      <c r="AA60" s="284"/>
    </row>
    <row r="61" spans="1:27" ht="16.95" hidden="1" customHeight="1">
      <c r="A61" s="291" t="s">
        <v>8</v>
      </c>
      <c r="B61" s="303">
        <v>0.1351</v>
      </c>
      <c r="C61" s="303">
        <v>0.1701</v>
      </c>
      <c r="D61" s="303">
        <v>2.2000000000000001E-3</v>
      </c>
      <c r="E61" s="303">
        <v>1.0659000000000001</v>
      </c>
      <c r="F61" s="303">
        <v>0.60709999999999997</v>
      </c>
      <c r="G61" s="303">
        <v>5.2200000000000003E-2</v>
      </c>
      <c r="H61" s="303">
        <v>0</v>
      </c>
      <c r="I61" s="303">
        <v>8.6632999999999996</v>
      </c>
      <c r="J61" s="303">
        <f t="shared" ref="J61:J72" si="2">(SUM(B61:I61))/1000</f>
        <v>1.06959E-2</v>
      </c>
      <c r="K61" s="303">
        <v>4.0960000000000001</v>
      </c>
      <c r="L61" s="303">
        <v>9.1997</v>
      </c>
      <c r="M61" s="303">
        <f t="shared" ref="M61:M72" si="3">(SUM(J61:L61))/1000</f>
        <v>1.33063959E-2</v>
      </c>
      <c r="N61" s="290"/>
      <c r="O61" s="284"/>
      <c r="P61" s="284"/>
      <c r="Q61" s="284"/>
      <c r="R61" s="284"/>
      <c r="S61" s="284"/>
      <c r="T61" s="284"/>
      <c r="U61" s="284"/>
      <c r="V61" s="284"/>
      <c r="W61" s="284"/>
      <c r="X61" s="284"/>
      <c r="Y61" s="284"/>
      <c r="Z61" s="284"/>
      <c r="AA61" s="284"/>
    </row>
    <row r="62" spans="1:27" ht="16.95" hidden="1" customHeight="1">
      <c r="A62" s="291" t="s">
        <v>9</v>
      </c>
      <c r="B62" s="303">
        <v>0.44110000000000005</v>
      </c>
      <c r="C62" s="303">
        <v>0.27010000000000001</v>
      </c>
      <c r="D62" s="303">
        <v>8.199999999999999E-3</v>
      </c>
      <c r="E62" s="303">
        <v>0.37889999999999996</v>
      </c>
      <c r="F62" s="303">
        <v>0.61060000000000003</v>
      </c>
      <c r="G62" s="303">
        <v>7.9000000000000001E-2</v>
      </c>
      <c r="H62" s="303">
        <v>0</v>
      </c>
      <c r="I62" s="303">
        <v>9.8062000000000005</v>
      </c>
      <c r="J62" s="303">
        <f t="shared" si="2"/>
        <v>1.1594100000000001E-2</v>
      </c>
      <c r="K62" s="303">
        <v>3.4356999999999998</v>
      </c>
      <c r="L62" s="303">
        <v>11.792200000000001</v>
      </c>
      <c r="M62" s="303">
        <f t="shared" si="3"/>
        <v>1.5239494100000002E-2</v>
      </c>
      <c r="N62" s="290"/>
      <c r="O62" s="284"/>
      <c r="P62" s="284"/>
      <c r="Q62" s="284"/>
      <c r="R62" s="284"/>
      <c r="S62" s="284"/>
      <c r="T62" s="284"/>
      <c r="U62" s="284"/>
      <c r="V62" s="284"/>
      <c r="W62" s="284"/>
      <c r="X62" s="284"/>
      <c r="Y62" s="284"/>
      <c r="Z62" s="284"/>
      <c r="AA62" s="284"/>
    </row>
    <row r="63" spans="1:27" ht="16.95" hidden="1" customHeight="1">
      <c r="A63" s="291" t="s">
        <v>10</v>
      </c>
      <c r="B63" s="303">
        <v>1.2367000000000001</v>
      </c>
      <c r="C63" s="303">
        <v>0.12959999999999999</v>
      </c>
      <c r="D63" s="303">
        <v>0</v>
      </c>
      <c r="E63" s="303">
        <v>0.3196</v>
      </c>
      <c r="F63" s="303">
        <v>1.1725000000000001</v>
      </c>
      <c r="G63" s="303">
        <v>6.3E-2</v>
      </c>
      <c r="H63" s="303">
        <v>0</v>
      </c>
      <c r="I63" s="303">
        <v>11.7127</v>
      </c>
      <c r="J63" s="303">
        <f t="shared" si="2"/>
        <v>1.4634100000000001E-2</v>
      </c>
      <c r="K63" s="303">
        <v>2.9140999999999999</v>
      </c>
      <c r="L63" s="303">
        <v>11.188600000000001</v>
      </c>
      <c r="M63" s="303">
        <f t="shared" si="3"/>
        <v>1.41173341E-2</v>
      </c>
      <c r="N63" s="290"/>
      <c r="O63" s="284"/>
      <c r="P63" s="284"/>
      <c r="Q63" s="284"/>
      <c r="R63" s="284"/>
      <c r="S63" s="284"/>
      <c r="T63" s="284"/>
      <c r="U63" s="284"/>
      <c r="V63" s="284"/>
      <c r="W63" s="284"/>
      <c r="X63" s="284"/>
      <c r="Y63" s="284"/>
      <c r="Z63" s="284"/>
      <c r="AA63" s="284"/>
    </row>
    <row r="64" spans="1:27" ht="16.95" hidden="1" customHeight="1">
      <c r="A64" s="291" t="s">
        <v>11</v>
      </c>
      <c r="B64" s="303">
        <v>2.4158000000000004</v>
      </c>
      <c r="C64" s="303">
        <v>0.21659999999999999</v>
      </c>
      <c r="D64" s="303">
        <v>0</v>
      </c>
      <c r="E64" s="303">
        <v>0.52870000000000006</v>
      </c>
      <c r="F64" s="303">
        <v>1.4220999999999999</v>
      </c>
      <c r="G64" s="303">
        <v>0.3629</v>
      </c>
      <c r="H64" s="303">
        <v>0.112</v>
      </c>
      <c r="I64" s="303">
        <v>13.051399999999999</v>
      </c>
      <c r="J64" s="303">
        <f t="shared" si="2"/>
        <v>1.8109500000000001E-2</v>
      </c>
      <c r="K64" s="303">
        <v>3.2044999999999999</v>
      </c>
      <c r="L64" s="303">
        <v>22.598800000000001</v>
      </c>
      <c r="M64" s="303">
        <f t="shared" si="3"/>
        <v>2.58214095E-2</v>
      </c>
      <c r="N64" s="290"/>
      <c r="O64" s="284"/>
      <c r="P64" s="284"/>
      <c r="Q64" s="284"/>
      <c r="R64" s="284"/>
      <c r="S64" s="284"/>
      <c r="T64" s="284"/>
      <c r="U64" s="284"/>
      <c r="V64" s="284"/>
      <c r="W64" s="284"/>
      <c r="X64" s="284"/>
      <c r="Y64" s="284"/>
      <c r="Z64" s="284"/>
      <c r="AA64" s="284"/>
    </row>
    <row r="65" spans="1:27" ht="16.95" hidden="1" customHeight="1">
      <c r="A65" s="291" t="s">
        <v>337</v>
      </c>
      <c r="B65" s="303">
        <v>2.7979000000000003</v>
      </c>
      <c r="C65" s="303">
        <v>0.26850000000000002</v>
      </c>
      <c r="D65" s="303">
        <v>0.34100000000000003</v>
      </c>
      <c r="E65" s="303">
        <v>1.1291</v>
      </c>
      <c r="F65" s="303">
        <v>1.8332999999999999</v>
      </c>
      <c r="G65" s="303">
        <v>0.65179999999999993</v>
      </c>
      <c r="H65" s="303">
        <v>0.112</v>
      </c>
      <c r="I65" s="303">
        <v>14.111799999999999</v>
      </c>
      <c r="J65" s="303">
        <f t="shared" si="2"/>
        <v>2.1245399999999998E-2</v>
      </c>
      <c r="K65" s="303">
        <v>4.5521000000000003</v>
      </c>
      <c r="L65" s="303">
        <v>28.479599999999998</v>
      </c>
      <c r="M65" s="303">
        <f t="shared" si="3"/>
        <v>3.3052945399999999E-2</v>
      </c>
      <c r="N65" s="290"/>
      <c r="O65" s="284"/>
      <c r="P65" s="284"/>
      <c r="Q65" s="284"/>
      <c r="R65" s="284"/>
      <c r="S65" s="284"/>
      <c r="T65" s="284"/>
      <c r="U65" s="284"/>
      <c r="V65" s="284"/>
      <c r="W65" s="284"/>
      <c r="X65" s="284"/>
      <c r="Y65" s="284"/>
      <c r="Z65" s="284"/>
      <c r="AA65" s="284"/>
    </row>
    <row r="66" spans="1:27" ht="20.25" hidden="1" customHeight="1">
      <c r="A66" s="291" t="s">
        <v>346</v>
      </c>
      <c r="B66" s="303">
        <v>1.1692</v>
      </c>
      <c r="C66" s="303">
        <v>0.113</v>
      </c>
      <c r="D66" s="303">
        <v>0.25869999999999999</v>
      </c>
      <c r="E66" s="303">
        <v>0.89729999999999999</v>
      </c>
      <c r="F66" s="303">
        <v>2.3498000000000001</v>
      </c>
      <c r="G66" s="303">
        <v>0.18330000000000002</v>
      </c>
      <c r="H66" s="303">
        <v>0.112</v>
      </c>
      <c r="I66" s="303">
        <v>18.401199999999999</v>
      </c>
      <c r="J66" s="303">
        <f t="shared" si="2"/>
        <v>2.3484500000000002E-2</v>
      </c>
      <c r="K66" s="303">
        <v>4.7275</v>
      </c>
      <c r="L66" s="303">
        <v>17.541599999999999</v>
      </c>
      <c r="M66" s="303">
        <f t="shared" si="3"/>
        <v>2.22925845E-2</v>
      </c>
      <c r="N66" s="290"/>
      <c r="O66" s="284"/>
      <c r="P66" s="284"/>
      <c r="Q66" s="284"/>
      <c r="R66" s="284"/>
      <c r="S66" s="284"/>
      <c r="T66" s="284"/>
      <c r="U66" s="284"/>
      <c r="V66" s="284"/>
      <c r="W66" s="284"/>
      <c r="X66" s="284"/>
      <c r="Y66" s="284"/>
      <c r="Z66" s="284"/>
      <c r="AA66" s="284"/>
    </row>
    <row r="67" spans="1:27" ht="20.25" hidden="1" customHeight="1">
      <c r="A67" s="291" t="s">
        <v>347</v>
      </c>
      <c r="B67" s="303">
        <v>0.32189999999999996</v>
      </c>
      <c r="C67" s="303">
        <v>0.87779999999999991</v>
      </c>
      <c r="D67" s="303">
        <v>0.26</v>
      </c>
      <c r="E67" s="303">
        <v>2.4535999999999998</v>
      </c>
      <c r="F67" s="303">
        <v>2.2046999999999999</v>
      </c>
      <c r="G67" s="303">
        <v>0.42780000000000001</v>
      </c>
      <c r="H67" s="303">
        <v>0.112</v>
      </c>
      <c r="I67" s="303">
        <v>17.642900000000001</v>
      </c>
      <c r="J67" s="303">
        <f t="shared" si="2"/>
        <v>2.4300699999999998E-2</v>
      </c>
      <c r="K67" s="303">
        <v>4.4154</v>
      </c>
      <c r="L67" s="303">
        <v>17.414900000000003</v>
      </c>
      <c r="M67" s="303">
        <f t="shared" si="3"/>
        <v>2.1854600700000001E-2</v>
      </c>
      <c r="N67" s="290"/>
      <c r="O67" s="284"/>
      <c r="P67" s="284"/>
      <c r="Q67" s="284"/>
      <c r="R67" s="284"/>
      <c r="S67" s="284"/>
      <c r="T67" s="284"/>
      <c r="U67" s="284"/>
      <c r="V67" s="284"/>
      <c r="W67" s="284"/>
      <c r="X67" s="284"/>
      <c r="Y67" s="284"/>
      <c r="Z67" s="284"/>
      <c r="AA67" s="284"/>
    </row>
    <row r="68" spans="1:27" ht="20.25" hidden="1" customHeight="1">
      <c r="A68" s="291" t="s">
        <v>12</v>
      </c>
      <c r="B68" s="303">
        <v>2.5576999999999996</v>
      </c>
      <c r="C68" s="303">
        <v>1.3389000000000002</v>
      </c>
      <c r="D68" s="303">
        <v>0.33710000000000001</v>
      </c>
      <c r="E68" s="303">
        <v>1.8271999999999999</v>
      </c>
      <c r="F68" s="303">
        <v>2.0979999999999999</v>
      </c>
      <c r="G68" s="303">
        <v>0.502</v>
      </c>
      <c r="H68" s="303">
        <v>0.112</v>
      </c>
      <c r="I68" s="303">
        <v>15.780700000000001</v>
      </c>
      <c r="J68" s="303">
        <f t="shared" si="2"/>
        <v>2.4553600000000002E-2</v>
      </c>
      <c r="K68" s="303">
        <v>4.6515000000000004</v>
      </c>
      <c r="L68" s="303">
        <v>17.209199999999999</v>
      </c>
      <c r="M68" s="303">
        <f t="shared" si="3"/>
        <v>2.1885253599999998E-2</v>
      </c>
      <c r="N68" s="290"/>
      <c r="O68" s="284"/>
      <c r="P68" s="284"/>
      <c r="Q68" s="284"/>
      <c r="R68" s="284"/>
      <c r="S68" s="284"/>
      <c r="T68" s="284"/>
      <c r="U68" s="284"/>
      <c r="V68" s="284"/>
      <c r="W68" s="284"/>
      <c r="X68" s="284"/>
      <c r="Y68" s="284"/>
      <c r="Z68" s="284"/>
      <c r="AA68" s="284"/>
    </row>
    <row r="69" spans="1:27" ht="20.25" hidden="1" customHeight="1">
      <c r="A69" s="291" t="s">
        <v>13</v>
      </c>
      <c r="B69" s="303">
        <v>7.8011999999999997</v>
      </c>
      <c r="C69" s="303">
        <v>0.14299999999999999</v>
      </c>
      <c r="D69" s="303">
        <v>0.32880000000000004</v>
      </c>
      <c r="E69" s="303">
        <v>1.4854000000000001</v>
      </c>
      <c r="F69" s="303">
        <v>2.6301000000000001</v>
      </c>
      <c r="G69" s="303">
        <v>0.3251</v>
      </c>
      <c r="H69" s="303">
        <v>0.112</v>
      </c>
      <c r="I69" s="303">
        <v>17.872499999999999</v>
      </c>
      <c r="J69" s="303">
        <f t="shared" si="2"/>
        <v>3.0698099999999999E-2</v>
      </c>
      <c r="K69" s="303">
        <v>4.9634999999999998</v>
      </c>
      <c r="L69" s="303">
        <v>16.819599999999998</v>
      </c>
      <c r="M69" s="303">
        <f t="shared" si="3"/>
        <v>2.18137981E-2</v>
      </c>
      <c r="N69" s="290"/>
      <c r="O69" s="284"/>
      <c r="P69" s="284"/>
      <c r="Q69" s="284"/>
      <c r="R69" s="284"/>
      <c r="S69" s="284"/>
      <c r="T69" s="284"/>
      <c r="U69" s="284"/>
      <c r="V69" s="284"/>
      <c r="W69" s="284"/>
      <c r="X69" s="284"/>
      <c r="Y69" s="284"/>
      <c r="Z69" s="284"/>
      <c r="AA69" s="284"/>
    </row>
    <row r="70" spans="1:27" ht="20.25" hidden="1" customHeight="1">
      <c r="A70" s="291" t="s">
        <v>14</v>
      </c>
      <c r="B70" s="303">
        <v>3.6914000000000002</v>
      </c>
      <c r="C70" s="303">
        <v>3.0000000000000001E-3</v>
      </c>
      <c r="D70" s="303">
        <v>2.2100000000000002E-2</v>
      </c>
      <c r="E70" s="303">
        <v>1.0634000000000001</v>
      </c>
      <c r="F70" s="303">
        <v>2.8088000000000002</v>
      </c>
      <c r="G70" s="303">
        <v>0.30060000000000003</v>
      </c>
      <c r="H70" s="303">
        <v>0.112</v>
      </c>
      <c r="I70" s="303">
        <v>26.389400000000002</v>
      </c>
      <c r="J70" s="303">
        <f t="shared" si="2"/>
        <v>3.4390700000000003E-2</v>
      </c>
      <c r="K70" s="303">
        <v>5.0973000000000006</v>
      </c>
      <c r="L70" s="303">
        <v>17.605400000000003</v>
      </c>
      <c r="M70" s="303">
        <f t="shared" si="3"/>
        <v>2.2737090700000004E-2</v>
      </c>
      <c r="N70" s="290"/>
      <c r="O70" s="284"/>
      <c r="P70" s="284"/>
      <c r="Q70" s="284"/>
      <c r="R70" s="284"/>
      <c r="S70" s="284"/>
      <c r="T70" s="284"/>
      <c r="U70" s="284"/>
      <c r="V70" s="284"/>
      <c r="W70" s="284"/>
      <c r="X70" s="284"/>
      <c r="Y70" s="284"/>
      <c r="Z70" s="284"/>
      <c r="AA70" s="284"/>
    </row>
    <row r="71" spans="1:27" ht="20.25" hidden="1" customHeight="1">
      <c r="A71" s="291" t="s">
        <v>15</v>
      </c>
      <c r="B71" s="303">
        <v>1.1240000000000001</v>
      </c>
      <c r="C71" s="303">
        <v>0.68159999999999998</v>
      </c>
      <c r="D71" s="303">
        <v>0.13419999999999999</v>
      </c>
      <c r="E71" s="303">
        <v>1.8511</v>
      </c>
      <c r="F71" s="303">
        <v>2.7195</v>
      </c>
      <c r="G71" s="303">
        <v>1.3829</v>
      </c>
      <c r="H71" s="303">
        <v>0.112</v>
      </c>
      <c r="I71" s="303">
        <v>33.991300000000003</v>
      </c>
      <c r="J71" s="303">
        <f t="shared" si="2"/>
        <v>4.1996600000000002E-2</v>
      </c>
      <c r="K71" s="303">
        <v>5.1501000000000001</v>
      </c>
      <c r="L71" s="303">
        <v>18.722999999999999</v>
      </c>
      <c r="M71" s="303">
        <f t="shared" si="3"/>
        <v>2.3915096599999998E-2</v>
      </c>
      <c r="N71" s="290"/>
      <c r="O71" s="284"/>
      <c r="P71" s="284"/>
      <c r="Q71" s="284"/>
      <c r="R71" s="284"/>
      <c r="S71" s="284"/>
      <c r="T71" s="284"/>
      <c r="U71" s="284"/>
      <c r="V71" s="284"/>
      <c r="W71" s="284"/>
      <c r="X71" s="284"/>
      <c r="Y71" s="284"/>
      <c r="Z71" s="284"/>
      <c r="AA71" s="284"/>
    </row>
    <row r="72" spans="1:27" ht="20.25" hidden="1" customHeight="1">
      <c r="A72" s="291" t="s">
        <v>16</v>
      </c>
      <c r="B72" s="303">
        <v>1.5764</v>
      </c>
      <c r="C72" s="303">
        <v>0.53170000000000006</v>
      </c>
      <c r="D72" s="303">
        <v>2.6600000000000002E-2</v>
      </c>
      <c r="E72" s="303">
        <v>0.2122</v>
      </c>
      <c r="F72" s="303">
        <v>2.0761999999999996</v>
      </c>
      <c r="G72" s="303">
        <v>1.9439000000000002</v>
      </c>
      <c r="H72" s="303">
        <v>0.112</v>
      </c>
      <c r="I72" s="303">
        <v>27.949099999999998</v>
      </c>
      <c r="J72" s="303">
        <f t="shared" si="2"/>
        <v>3.4428100000000003E-2</v>
      </c>
      <c r="K72" s="303">
        <v>5.6295000000000002</v>
      </c>
      <c r="L72" s="303">
        <v>20.302099999999999</v>
      </c>
      <c r="M72" s="303">
        <f t="shared" si="3"/>
        <v>2.59660281E-2</v>
      </c>
      <c r="N72" s="290"/>
      <c r="O72" s="284"/>
      <c r="P72" s="284"/>
      <c r="Q72" s="284"/>
      <c r="R72" s="284"/>
      <c r="S72" s="284"/>
      <c r="T72" s="284"/>
      <c r="U72" s="284"/>
      <c r="V72" s="284"/>
      <c r="W72" s="284"/>
      <c r="X72" s="284"/>
      <c r="Y72" s="284"/>
      <c r="Z72" s="284"/>
      <c r="AA72" s="284"/>
    </row>
    <row r="73" spans="1:27" ht="16.95" hidden="1" customHeight="1">
      <c r="A73" s="291"/>
      <c r="B73" s="303">
        <v>0</v>
      </c>
      <c r="C73" s="303">
        <v>0</v>
      </c>
      <c r="D73" s="303">
        <v>0</v>
      </c>
      <c r="E73" s="303">
        <v>0</v>
      </c>
      <c r="F73" s="303">
        <v>0</v>
      </c>
      <c r="G73" s="303">
        <v>0</v>
      </c>
      <c r="H73" s="303">
        <v>0</v>
      </c>
      <c r="I73" s="303">
        <v>0</v>
      </c>
      <c r="J73" s="303">
        <v>0</v>
      </c>
      <c r="K73" s="303">
        <v>0</v>
      </c>
      <c r="L73" s="303">
        <v>0</v>
      </c>
      <c r="M73" s="303">
        <v>0</v>
      </c>
      <c r="N73" s="290"/>
      <c r="O73" s="284"/>
      <c r="P73" s="284"/>
      <c r="Q73" s="284"/>
      <c r="R73" s="284"/>
      <c r="S73" s="284"/>
      <c r="T73" s="284"/>
      <c r="U73" s="284"/>
      <c r="V73" s="284"/>
      <c r="W73" s="284"/>
      <c r="X73" s="284"/>
      <c r="Y73" s="284"/>
      <c r="Z73" s="284"/>
      <c r="AA73" s="284"/>
    </row>
    <row r="74" spans="1:27" ht="18.75" hidden="1" customHeight="1">
      <c r="A74" s="304">
        <v>2003</v>
      </c>
      <c r="B74" s="303"/>
      <c r="C74" s="303"/>
      <c r="D74" s="303"/>
      <c r="E74" s="303"/>
      <c r="F74" s="303"/>
      <c r="G74" s="303"/>
      <c r="H74" s="303"/>
      <c r="I74" s="303"/>
      <c r="J74" s="303"/>
      <c r="K74" s="303"/>
      <c r="L74" s="303"/>
      <c r="M74" s="303"/>
      <c r="N74" s="290"/>
      <c r="O74" s="284"/>
      <c r="P74" s="284"/>
      <c r="Q74" s="284"/>
      <c r="R74" s="284"/>
      <c r="S74" s="284"/>
      <c r="T74" s="284"/>
      <c r="U74" s="284"/>
      <c r="V74" s="284"/>
      <c r="W74" s="284"/>
      <c r="X74" s="284"/>
      <c r="Y74" s="284"/>
      <c r="Z74" s="284"/>
      <c r="AA74" s="284"/>
    </row>
    <row r="75" spans="1:27" ht="16.95" hidden="1" customHeight="1">
      <c r="A75" s="291"/>
      <c r="B75" s="303"/>
      <c r="C75" s="303"/>
      <c r="D75" s="303"/>
      <c r="E75" s="303"/>
      <c r="F75" s="303"/>
      <c r="G75" s="303"/>
      <c r="H75" s="303"/>
      <c r="I75" s="303"/>
      <c r="J75" s="303"/>
      <c r="K75" s="303"/>
      <c r="L75" s="303"/>
      <c r="M75" s="303"/>
      <c r="N75" s="290"/>
      <c r="O75" s="284"/>
      <c r="P75" s="284"/>
      <c r="Q75" s="284"/>
      <c r="R75" s="284"/>
      <c r="S75" s="284"/>
      <c r="T75" s="284"/>
      <c r="U75" s="284"/>
      <c r="V75" s="284"/>
      <c r="W75" s="284"/>
      <c r="X75" s="284"/>
      <c r="Y75" s="284"/>
      <c r="Z75" s="284"/>
      <c r="AA75" s="284"/>
    </row>
    <row r="76" spans="1:27" ht="20.25" hidden="1" customHeight="1">
      <c r="A76" s="291" t="s">
        <v>8</v>
      </c>
      <c r="B76" s="303">
        <v>1.9084000000000001</v>
      </c>
      <c r="C76" s="303">
        <v>2.0000000000000001E-4</v>
      </c>
      <c r="D76" s="303">
        <v>1.4E-3</v>
      </c>
      <c r="E76" s="303">
        <v>1.8619000000000001</v>
      </c>
      <c r="F76" s="303">
        <v>3.3096000000000001</v>
      </c>
      <c r="G76" s="303">
        <v>0.54159999999999997</v>
      </c>
      <c r="H76" s="303">
        <v>0.112</v>
      </c>
      <c r="I76" s="303">
        <v>36.466699999999996</v>
      </c>
      <c r="J76" s="303">
        <f t="shared" ref="J76:J81" si="4">(SUM(B76:I76))/1000</f>
        <v>4.4201799999999999E-2</v>
      </c>
      <c r="K76" s="303">
        <v>5.2614000000000001</v>
      </c>
      <c r="L76" s="303">
        <v>20.922599999999999</v>
      </c>
      <c r="M76" s="303">
        <f t="shared" ref="M76:M81" si="5">(SUM(J76:L76))/1000</f>
        <v>2.62282018E-2</v>
      </c>
      <c r="N76" s="290"/>
      <c r="O76" s="284"/>
      <c r="P76" s="284"/>
      <c r="Q76" s="284"/>
      <c r="R76" s="284"/>
      <c r="S76" s="284"/>
      <c r="T76" s="284"/>
      <c r="U76" s="284"/>
      <c r="V76" s="284"/>
      <c r="W76" s="284"/>
      <c r="X76" s="284"/>
      <c r="Y76" s="284"/>
      <c r="Z76" s="284"/>
      <c r="AA76" s="284"/>
    </row>
    <row r="77" spans="1:27" ht="20.25" hidden="1" customHeight="1">
      <c r="A77" s="291" t="s">
        <v>9</v>
      </c>
      <c r="B77" s="303">
        <v>4.6074999999999999</v>
      </c>
      <c r="C77" s="303">
        <v>0.20219999999999999</v>
      </c>
      <c r="D77" s="303">
        <v>0.27200000000000002</v>
      </c>
      <c r="E77" s="303">
        <v>0.31539999999999996</v>
      </c>
      <c r="F77" s="303">
        <v>2.2129000000000003</v>
      </c>
      <c r="G77" s="303">
        <v>0.49160000000000004</v>
      </c>
      <c r="H77" s="303">
        <v>0.112</v>
      </c>
      <c r="I77" s="303">
        <v>41.657800000000002</v>
      </c>
      <c r="J77" s="303">
        <f t="shared" si="4"/>
        <v>4.9871400000000003E-2</v>
      </c>
      <c r="K77" s="303">
        <v>5.6961000000000004</v>
      </c>
      <c r="L77" s="303">
        <v>18.5304</v>
      </c>
      <c r="M77" s="303">
        <f t="shared" si="5"/>
        <v>2.4276371400000003E-2</v>
      </c>
      <c r="N77" s="290"/>
      <c r="O77" s="284"/>
      <c r="P77" s="284"/>
      <c r="Q77" s="284"/>
      <c r="R77" s="284"/>
      <c r="S77" s="284"/>
      <c r="T77" s="284"/>
      <c r="U77" s="284"/>
      <c r="V77" s="284"/>
      <c r="W77" s="284"/>
      <c r="X77" s="284"/>
      <c r="Y77" s="284"/>
      <c r="Z77" s="284"/>
      <c r="AA77" s="284"/>
    </row>
    <row r="78" spans="1:27" ht="20.25" hidden="1" customHeight="1">
      <c r="A78" s="291" t="s">
        <v>10</v>
      </c>
      <c r="B78" s="303">
        <v>1.5464</v>
      </c>
      <c r="C78" s="303">
        <v>0.1444</v>
      </c>
      <c r="D78" s="303">
        <v>0.20039999999999999</v>
      </c>
      <c r="E78" s="303">
        <v>6.9661</v>
      </c>
      <c r="F78" s="303">
        <v>6.2153999999999998</v>
      </c>
      <c r="G78" s="303">
        <v>0.74660000000000004</v>
      </c>
      <c r="H78" s="303">
        <v>0.112</v>
      </c>
      <c r="I78" s="303">
        <v>40.4756</v>
      </c>
      <c r="J78" s="303">
        <f t="shared" si="4"/>
        <v>5.6406900000000003E-2</v>
      </c>
      <c r="K78" s="303">
        <v>5.9714999999999998</v>
      </c>
      <c r="L78" s="303">
        <v>16.3369</v>
      </c>
      <c r="M78" s="303">
        <f t="shared" si="5"/>
        <v>2.2364806899999999E-2</v>
      </c>
      <c r="N78" s="290"/>
      <c r="O78" s="284"/>
      <c r="P78" s="284"/>
      <c r="Q78" s="284"/>
      <c r="R78" s="284"/>
      <c r="S78" s="284"/>
      <c r="T78" s="284"/>
      <c r="U78" s="284"/>
      <c r="V78" s="284"/>
      <c r="W78" s="284"/>
      <c r="X78" s="284"/>
      <c r="Y78" s="284"/>
      <c r="Z78" s="284"/>
      <c r="AA78" s="284"/>
    </row>
    <row r="79" spans="1:27" ht="20.25" hidden="1" customHeight="1">
      <c r="A79" s="291" t="s">
        <v>11</v>
      </c>
      <c r="B79" s="303">
        <v>2.0377999999999998</v>
      </c>
      <c r="C79" s="303">
        <v>0.3553</v>
      </c>
      <c r="D79" s="303">
        <v>-8.0000000000000004E-4</v>
      </c>
      <c r="E79" s="303">
        <v>0.89570000000000005</v>
      </c>
      <c r="F79" s="303">
        <v>2.3186999999999998</v>
      </c>
      <c r="G79" s="303">
        <v>1.1935</v>
      </c>
      <c r="H79" s="303">
        <v>0.112</v>
      </c>
      <c r="I79" s="303">
        <v>56.171099999999996</v>
      </c>
      <c r="J79" s="303">
        <f t="shared" si="4"/>
        <v>6.3083299999999995E-2</v>
      </c>
      <c r="K79" s="303">
        <v>5.8123000000000005</v>
      </c>
      <c r="L79" s="303">
        <v>30.164200000000001</v>
      </c>
      <c r="M79" s="303">
        <f t="shared" si="5"/>
        <v>3.6039583300000004E-2</v>
      </c>
      <c r="N79" s="290"/>
      <c r="O79" s="284"/>
      <c r="P79" s="284"/>
      <c r="Q79" s="284"/>
      <c r="R79" s="284"/>
      <c r="S79" s="284"/>
      <c r="T79" s="284"/>
      <c r="U79" s="284"/>
      <c r="V79" s="284"/>
      <c r="W79" s="284"/>
      <c r="X79" s="284"/>
      <c r="Y79" s="284"/>
      <c r="Z79" s="284"/>
      <c r="AA79" s="284"/>
    </row>
    <row r="80" spans="1:27" ht="20.25" hidden="1" customHeight="1">
      <c r="A80" s="291" t="s">
        <v>337</v>
      </c>
      <c r="B80" s="303">
        <v>2.9624000000000001</v>
      </c>
      <c r="C80" s="303">
        <v>2.0000000000000001E-4</v>
      </c>
      <c r="D80" s="303">
        <v>1.49E-2</v>
      </c>
      <c r="E80" s="303">
        <v>0.32189999999999996</v>
      </c>
      <c r="F80" s="303">
        <v>1.8739000000000001</v>
      </c>
      <c r="G80" s="303">
        <v>1.1345999999999998</v>
      </c>
      <c r="H80" s="303">
        <v>0.112</v>
      </c>
      <c r="I80" s="303">
        <v>59.269800000000004</v>
      </c>
      <c r="J80" s="303">
        <f t="shared" si="4"/>
        <v>6.5689700000000004E-2</v>
      </c>
      <c r="K80" s="303">
        <v>6.3822999999999999</v>
      </c>
      <c r="L80" s="303">
        <v>28.537299999999998</v>
      </c>
      <c r="M80" s="303">
        <f t="shared" si="5"/>
        <v>3.4985289699999998E-2</v>
      </c>
      <c r="N80" s="290"/>
      <c r="O80" s="284"/>
      <c r="P80" s="284"/>
      <c r="Q80" s="284"/>
      <c r="R80" s="284"/>
      <c r="S80" s="284"/>
      <c r="T80" s="284"/>
      <c r="U80" s="284"/>
      <c r="V80" s="284"/>
      <c r="W80" s="284"/>
      <c r="X80" s="284"/>
      <c r="Y80" s="284"/>
      <c r="Z80" s="284"/>
      <c r="AA80" s="284"/>
    </row>
    <row r="81" spans="1:27" ht="18.75" hidden="1" customHeight="1">
      <c r="A81" s="291" t="s">
        <v>346</v>
      </c>
      <c r="B81" s="303">
        <v>1.4129</v>
      </c>
      <c r="C81" s="303">
        <v>1.6556</v>
      </c>
      <c r="D81" s="303">
        <v>2.802</v>
      </c>
      <c r="E81" s="303">
        <v>3.7628000000000004</v>
      </c>
      <c r="F81" s="303">
        <v>3.6909999999999998</v>
      </c>
      <c r="G81" s="303">
        <v>0.89760000000000006</v>
      </c>
      <c r="H81" s="303">
        <v>0.112</v>
      </c>
      <c r="I81" s="303">
        <v>69.197800000000001</v>
      </c>
      <c r="J81" s="303">
        <f t="shared" si="4"/>
        <v>8.35317E-2</v>
      </c>
      <c r="K81" s="303">
        <v>7.5931000000000006</v>
      </c>
      <c r="L81" s="303">
        <v>30.069200000000002</v>
      </c>
      <c r="M81" s="303">
        <f t="shared" si="5"/>
        <v>3.7745831700000003E-2</v>
      </c>
      <c r="N81" s="290"/>
      <c r="O81" s="284"/>
      <c r="P81" s="284"/>
      <c r="Q81" s="284"/>
      <c r="R81" s="284"/>
      <c r="S81" s="284"/>
      <c r="T81" s="284"/>
      <c r="U81" s="284"/>
      <c r="V81" s="284"/>
      <c r="W81" s="284"/>
      <c r="X81" s="284"/>
      <c r="Y81" s="284"/>
      <c r="Z81" s="284"/>
      <c r="AA81" s="284"/>
    </row>
    <row r="82" spans="1:27" ht="18.75" hidden="1" customHeight="1">
      <c r="A82" s="304">
        <v>2003</v>
      </c>
      <c r="B82" s="303"/>
      <c r="C82" s="303"/>
      <c r="D82" s="303"/>
      <c r="E82" s="303"/>
      <c r="F82" s="303"/>
      <c r="G82" s="303"/>
      <c r="H82" s="303"/>
      <c r="I82" s="303"/>
      <c r="J82" s="303"/>
      <c r="K82" s="303"/>
      <c r="L82" s="303"/>
      <c r="M82" s="303"/>
      <c r="N82" s="290"/>
      <c r="O82" s="284"/>
      <c r="P82" s="284"/>
      <c r="Q82" s="284"/>
      <c r="R82" s="284"/>
      <c r="S82" s="284"/>
      <c r="T82" s="284"/>
      <c r="U82" s="284"/>
      <c r="V82" s="284"/>
      <c r="W82" s="284"/>
      <c r="X82" s="284"/>
      <c r="Y82" s="284"/>
      <c r="Z82" s="284"/>
      <c r="AA82" s="284"/>
    </row>
    <row r="83" spans="1:27" ht="18.75" hidden="1" customHeight="1">
      <c r="A83" s="291"/>
      <c r="B83" s="303"/>
      <c r="C83" s="303"/>
      <c r="D83" s="303"/>
      <c r="E83" s="303"/>
      <c r="F83" s="303"/>
      <c r="G83" s="303"/>
      <c r="H83" s="303"/>
      <c r="I83" s="303"/>
      <c r="J83" s="303"/>
      <c r="K83" s="303"/>
      <c r="L83" s="303"/>
      <c r="M83" s="303"/>
      <c r="N83" s="290"/>
      <c r="O83" s="284"/>
      <c r="P83" s="284"/>
      <c r="Q83" s="284"/>
      <c r="R83" s="284"/>
      <c r="S83" s="284"/>
      <c r="T83" s="284"/>
      <c r="U83" s="284"/>
      <c r="V83" s="284"/>
      <c r="W83" s="284"/>
      <c r="X83" s="284"/>
      <c r="Y83" s="284"/>
      <c r="Z83" s="284"/>
      <c r="AA83" s="284"/>
    </row>
    <row r="84" spans="1:27" ht="18" hidden="1">
      <c r="A84" s="291" t="s">
        <v>347</v>
      </c>
      <c r="B84" s="303">
        <v>8.4817999999999998</v>
      </c>
      <c r="C84" s="303">
        <v>20.794400000000003</v>
      </c>
      <c r="D84" s="303">
        <v>0.87129999999999996</v>
      </c>
      <c r="E84" s="303">
        <v>1.4717</v>
      </c>
      <c r="F84" s="303">
        <v>2.9824000000000002</v>
      </c>
      <c r="G84" s="303">
        <v>0.73950000000000005</v>
      </c>
      <c r="H84" s="303">
        <v>0.112</v>
      </c>
      <c r="I84" s="303">
        <v>55.975099999999998</v>
      </c>
      <c r="J84" s="303">
        <f t="shared" ref="J84:J89" si="6">(SUM(B84:I84))/1000</f>
        <v>9.1428200000000001E-2</v>
      </c>
      <c r="K84" s="303">
        <v>9.1120000000000001</v>
      </c>
      <c r="L84" s="303">
        <v>45.370899999999999</v>
      </c>
      <c r="M84" s="303">
        <f t="shared" ref="M84:M89" si="7">(SUM(J84:L84))/1000</f>
        <v>5.4574328199999994E-2</v>
      </c>
      <c r="N84" s="290"/>
      <c r="O84" s="284"/>
      <c r="P84" s="284"/>
      <c r="Q84" s="284"/>
      <c r="R84" s="284"/>
      <c r="S84" s="284"/>
      <c r="T84" s="284"/>
      <c r="U84" s="284"/>
      <c r="V84" s="284"/>
      <c r="W84" s="284"/>
      <c r="X84" s="284"/>
      <c r="Y84" s="284"/>
      <c r="Z84" s="284"/>
      <c r="AA84" s="284"/>
    </row>
    <row r="85" spans="1:27" ht="18" hidden="1">
      <c r="A85" s="291" t="s">
        <v>12</v>
      </c>
      <c r="B85" s="303">
        <v>6.9773999999999994</v>
      </c>
      <c r="C85" s="303">
        <v>0.50019999999999998</v>
      </c>
      <c r="D85" s="303">
        <v>0.2011</v>
      </c>
      <c r="E85" s="303">
        <v>0.75160000000000005</v>
      </c>
      <c r="F85" s="303">
        <v>2.3896999999999999</v>
      </c>
      <c r="G85" s="303">
        <v>1.1177000000000001</v>
      </c>
      <c r="H85" s="303">
        <v>0.112</v>
      </c>
      <c r="I85" s="303">
        <v>72.281300000000002</v>
      </c>
      <c r="J85" s="303">
        <f t="shared" si="6"/>
        <v>8.4331000000000003E-2</v>
      </c>
      <c r="K85" s="303">
        <v>10.883799999999999</v>
      </c>
      <c r="L85" s="303">
        <v>66.751499999999993</v>
      </c>
      <c r="M85" s="303">
        <f t="shared" si="7"/>
        <v>7.7719630999999997E-2</v>
      </c>
      <c r="N85" s="290"/>
      <c r="O85" s="284"/>
      <c r="P85" s="284"/>
      <c r="Q85" s="284"/>
      <c r="R85" s="284"/>
      <c r="S85" s="284"/>
      <c r="T85" s="284"/>
      <c r="U85" s="284"/>
      <c r="V85" s="284"/>
      <c r="W85" s="284"/>
      <c r="X85" s="284"/>
      <c r="Y85" s="284"/>
      <c r="Z85" s="284"/>
      <c r="AA85" s="284"/>
    </row>
    <row r="86" spans="1:27" ht="18" hidden="1">
      <c r="A86" s="291" t="s">
        <v>13</v>
      </c>
      <c r="B86" s="303">
        <v>4.8380000000000001</v>
      </c>
      <c r="C86" s="303">
        <v>0.5151</v>
      </c>
      <c r="D86" s="303">
        <v>3.8691999999999998</v>
      </c>
      <c r="E86" s="303">
        <v>0.84839999999999993</v>
      </c>
      <c r="F86" s="303">
        <v>5.7649999999999997</v>
      </c>
      <c r="G86" s="303">
        <v>1.6509</v>
      </c>
      <c r="H86" s="303">
        <v>0.112</v>
      </c>
      <c r="I86" s="303">
        <v>78.645300000000006</v>
      </c>
      <c r="J86" s="303">
        <f t="shared" si="6"/>
        <v>9.6243899999999993E-2</v>
      </c>
      <c r="K86" s="303">
        <v>13.791</v>
      </c>
      <c r="L86" s="303">
        <v>69.938699999999997</v>
      </c>
      <c r="M86" s="303">
        <f t="shared" si="7"/>
        <v>8.3825943900000005E-2</v>
      </c>
      <c r="N86" s="290"/>
      <c r="O86" s="284"/>
      <c r="P86" s="284"/>
      <c r="Q86" s="284"/>
      <c r="R86" s="284"/>
      <c r="S86" s="284"/>
      <c r="T86" s="284"/>
      <c r="U86" s="284"/>
      <c r="V86" s="284"/>
      <c r="W86" s="284"/>
      <c r="X86" s="284"/>
      <c r="Y86" s="284"/>
      <c r="Z86" s="284"/>
      <c r="AA86" s="284"/>
    </row>
    <row r="87" spans="1:27" ht="18" hidden="1">
      <c r="A87" s="291" t="s">
        <v>14</v>
      </c>
      <c r="B87" s="303">
        <v>6.1073999999999993</v>
      </c>
      <c r="C87" s="303">
        <v>1.6E-2</v>
      </c>
      <c r="D87" s="303">
        <v>3.6273</v>
      </c>
      <c r="E87" s="303">
        <v>3.2873000000000001</v>
      </c>
      <c r="F87" s="303">
        <v>3.9954999999999998</v>
      </c>
      <c r="G87" s="303">
        <v>1.1035999999999999</v>
      </c>
      <c r="H87" s="303">
        <v>0.112</v>
      </c>
      <c r="I87" s="303">
        <v>103.4546</v>
      </c>
      <c r="J87" s="303">
        <f t="shared" si="6"/>
        <v>0.1217037</v>
      </c>
      <c r="K87" s="303">
        <v>11.597299999999999</v>
      </c>
      <c r="L87" s="303">
        <v>50.688400000000001</v>
      </c>
      <c r="M87" s="303">
        <f t="shared" si="7"/>
        <v>6.2407403700000003E-2</v>
      </c>
      <c r="N87" s="290"/>
      <c r="O87" s="284"/>
      <c r="P87" s="284"/>
      <c r="Q87" s="284"/>
      <c r="R87" s="284"/>
      <c r="S87" s="284"/>
      <c r="T87" s="284"/>
      <c r="U87" s="284"/>
      <c r="V87" s="284"/>
      <c r="W87" s="284"/>
      <c r="X87" s="284"/>
      <c r="Y87" s="284"/>
      <c r="Z87" s="284"/>
      <c r="AA87" s="284"/>
    </row>
    <row r="88" spans="1:27" ht="18" hidden="1">
      <c r="A88" s="291" t="s">
        <v>15</v>
      </c>
      <c r="B88" s="303">
        <v>31.564700000000002</v>
      </c>
      <c r="C88" s="303">
        <v>1.6E-2</v>
      </c>
      <c r="D88" s="303">
        <v>3.6854</v>
      </c>
      <c r="E88" s="303">
        <v>4.1154999999999999</v>
      </c>
      <c r="F88" s="303">
        <v>3.6749999999999998</v>
      </c>
      <c r="G88" s="303">
        <v>2.7245999999999997</v>
      </c>
      <c r="H88" s="303">
        <v>0.112</v>
      </c>
      <c r="I88" s="303">
        <v>127.28749999999999</v>
      </c>
      <c r="J88" s="303">
        <f t="shared" si="6"/>
        <v>0.17318069999999999</v>
      </c>
      <c r="K88" s="303">
        <v>14.655799999999999</v>
      </c>
      <c r="L88" s="303">
        <v>91.842100000000002</v>
      </c>
      <c r="M88" s="303">
        <f t="shared" si="7"/>
        <v>0.1066710807</v>
      </c>
      <c r="N88" s="290"/>
      <c r="O88" s="284"/>
      <c r="P88" s="284"/>
      <c r="Q88" s="284"/>
      <c r="R88" s="284"/>
      <c r="S88" s="284"/>
      <c r="T88" s="284"/>
      <c r="U88" s="284"/>
      <c r="V88" s="284"/>
      <c r="W88" s="284"/>
      <c r="X88" s="284"/>
      <c r="Y88" s="284"/>
      <c r="Z88" s="284"/>
      <c r="AA88" s="284"/>
    </row>
    <row r="89" spans="1:27" ht="18" hidden="1">
      <c r="A89" s="291" t="s">
        <v>16</v>
      </c>
      <c r="B89" s="303">
        <v>11.426299999999999</v>
      </c>
      <c r="C89" s="303">
        <v>0.188</v>
      </c>
      <c r="D89" s="303">
        <v>18.241900000000001</v>
      </c>
      <c r="E89" s="303">
        <v>9.601799999999999</v>
      </c>
      <c r="F89" s="303">
        <v>2.4249999999999998</v>
      </c>
      <c r="G89" s="303">
        <v>1.9841</v>
      </c>
      <c r="H89" s="303">
        <v>0.112</v>
      </c>
      <c r="I89" s="303">
        <v>78.370100000000008</v>
      </c>
      <c r="J89" s="303">
        <f t="shared" si="6"/>
        <v>0.12234919999999999</v>
      </c>
      <c r="K89" s="303">
        <v>10.1463</v>
      </c>
      <c r="L89" s="303">
        <v>78.148099999999999</v>
      </c>
      <c r="M89" s="303">
        <f t="shared" si="7"/>
        <v>8.8416749199999992E-2</v>
      </c>
      <c r="N89" s="290"/>
      <c r="O89" s="284"/>
      <c r="P89" s="284"/>
      <c r="Q89" s="284"/>
      <c r="R89" s="284"/>
      <c r="S89" s="284"/>
      <c r="T89" s="284"/>
      <c r="U89" s="284"/>
      <c r="V89" s="284"/>
      <c r="W89" s="284"/>
      <c r="X89" s="284"/>
      <c r="Y89" s="284"/>
      <c r="Z89" s="284"/>
      <c r="AA89" s="284"/>
    </row>
    <row r="90" spans="1:27" ht="18" hidden="1">
      <c r="A90" s="291"/>
      <c r="B90" s="303"/>
      <c r="C90" s="303"/>
      <c r="D90" s="303"/>
      <c r="E90" s="303"/>
      <c r="F90" s="303"/>
      <c r="G90" s="303"/>
      <c r="H90" s="303"/>
      <c r="I90" s="303"/>
      <c r="J90" s="303"/>
      <c r="K90" s="303"/>
      <c r="L90" s="303"/>
      <c r="M90" s="303"/>
      <c r="N90" s="290"/>
      <c r="O90" s="284"/>
      <c r="P90" s="284"/>
      <c r="Q90" s="284"/>
      <c r="R90" s="284"/>
      <c r="S90" s="284"/>
      <c r="T90" s="284"/>
      <c r="U90" s="284"/>
      <c r="V90" s="284"/>
      <c r="W90" s="284"/>
      <c r="X90" s="284"/>
      <c r="Y90" s="284"/>
      <c r="Z90" s="284"/>
      <c r="AA90" s="284"/>
    </row>
    <row r="91" spans="1:27" ht="18" hidden="1">
      <c r="A91" s="304">
        <v>2004</v>
      </c>
      <c r="B91" s="303"/>
      <c r="C91" s="303"/>
      <c r="D91" s="303"/>
      <c r="E91" s="303"/>
      <c r="F91" s="303"/>
      <c r="G91" s="303"/>
      <c r="H91" s="303"/>
      <c r="I91" s="303"/>
      <c r="J91" s="303"/>
      <c r="K91" s="303"/>
      <c r="L91" s="303"/>
      <c r="M91" s="303"/>
      <c r="N91" s="290"/>
      <c r="O91" s="284"/>
      <c r="P91" s="284"/>
      <c r="Q91" s="284"/>
      <c r="R91" s="284"/>
      <c r="S91" s="284"/>
      <c r="T91" s="284"/>
      <c r="U91" s="284"/>
      <c r="V91" s="284"/>
      <c r="W91" s="284"/>
      <c r="X91" s="284"/>
      <c r="Y91" s="284"/>
      <c r="Z91" s="284"/>
      <c r="AA91" s="284"/>
    </row>
    <row r="92" spans="1:27" ht="18" hidden="1">
      <c r="A92" s="291"/>
      <c r="B92" s="303"/>
      <c r="C92" s="303"/>
      <c r="D92" s="303"/>
      <c r="E92" s="303"/>
      <c r="F92" s="303"/>
      <c r="G92" s="303"/>
      <c r="H92" s="303"/>
      <c r="I92" s="303"/>
      <c r="J92" s="303"/>
      <c r="K92" s="303"/>
      <c r="L92" s="303"/>
      <c r="M92" s="303"/>
      <c r="N92" s="290"/>
      <c r="O92" s="284"/>
      <c r="P92" s="284"/>
      <c r="Q92" s="284"/>
      <c r="R92" s="284"/>
      <c r="S92" s="284"/>
      <c r="T92" s="284"/>
      <c r="U92" s="284"/>
      <c r="V92" s="284"/>
      <c r="W92" s="284"/>
      <c r="X92" s="284"/>
      <c r="Y92" s="284"/>
      <c r="Z92" s="284"/>
      <c r="AA92" s="284"/>
    </row>
    <row r="93" spans="1:27" ht="18" hidden="1">
      <c r="A93" s="291" t="s">
        <v>8</v>
      </c>
      <c r="B93" s="303">
        <v>29.7438</v>
      </c>
      <c r="C93" s="303">
        <v>0.80579999999999996</v>
      </c>
      <c r="D93" s="303">
        <v>1.2522</v>
      </c>
      <c r="E93" s="303">
        <v>10.1313</v>
      </c>
      <c r="F93" s="303">
        <v>7.9459</v>
      </c>
      <c r="G93" s="303">
        <v>0.57789999999999997</v>
      </c>
      <c r="H93" s="303">
        <v>0.112</v>
      </c>
      <c r="I93" s="303">
        <v>88.566100000000006</v>
      </c>
      <c r="J93" s="303">
        <f t="shared" ref="J93:J104" si="8">(SUM(B93:I93))/1000</f>
        <v>0.13913499999999998</v>
      </c>
      <c r="K93" s="303">
        <v>2.0619999999999998</v>
      </c>
      <c r="L93" s="303">
        <v>115.2028</v>
      </c>
      <c r="M93" s="303">
        <f t="shared" ref="M93:M104" si="9">(SUM(J93:L93))/1000</f>
        <v>0.11740393499999999</v>
      </c>
      <c r="N93" s="290"/>
      <c r="O93" s="284"/>
      <c r="P93" s="284"/>
      <c r="Q93" s="284"/>
      <c r="R93" s="284"/>
      <c r="S93" s="284"/>
      <c r="T93" s="284"/>
      <c r="U93" s="284"/>
      <c r="V93" s="284"/>
      <c r="W93" s="284"/>
      <c r="X93" s="284"/>
      <c r="Y93" s="284"/>
      <c r="Z93" s="284"/>
      <c r="AA93" s="284"/>
    </row>
    <row r="94" spans="1:27" ht="18" hidden="1">
      <c r="A94" s="291" t="s">
        <v>9</v>
      </c>
      <c r="B94" s="303">
        <v>7.5789</v>
      </c>
      <c r="C94" s="303">
        <v>0.80579999999999996</v>
      </c>
      <c r="D94" s="303">
        <v>4.9112</v>
      </c>
      <c r="E94" s="303">
        <v>0.7077</v>
      </c>
      <c r="F94" s="303">
        <v>7.8958999999999993</v>
      </c>
      <c r="G94" s="303">
        <v>0.35830000000000001</v>
      </c>
      <c r="H94" s="303">
        <v>0.112</v>
      </c>
      <c r="I94" s="303">
        <v>109.22880000000001</v>
      </c>
      <c r="J94" s="303">
        <f t="shared" si="8"/>
        <v>0.13159860000000001</v>
      </c>
      <c r="K94" s="303">
        <v>4.3022999999999998</v>
      </c>
      <c r="L94" s="303">
        <v>122.61930000000001</v>
      </c>
      <c r="M94" s="303">
        <f t="shared" si="9"/>
        <v>0.12705319860000003</v>
      </c>
      <c r="N94" s="290"/>
      <c r="O94" s="284"/>
      <c r="P94" s="284"/>
      <c r="Q94" s="284"/>
      <c r="R94" s="284"/>
      <c r="S94" s="284"/>
      <c r="T94" s="284"/>
      <c r="U94" s="284"/>
      <c r="V94" s="284"/>
      <c r="W94" s="284"/>
      <c r="X94" s="284"/>
      <c r="Y94" s="284"/>
      <c r="Z94" s="284"/>
      <c r="AA94" s="284"/>
    </row>
    <row r="95" spans="1:27" ht="18" hidden="1">
      <c r="A95" s="291" t="s">
        <v>10</v>
      </c>
      <c r="B95" s="303">
        <v>7.8849</v>
      </c>
      <c r="C95" s="303">
        <v>2.06E-2</v>
      </c>
      <c r="D95" s="303">
        <v>1.8246</v>
      </c>
      <c r="E95" s="303">
        <v>14.062799999999999</v>
      </c>
      <c r="F95" s="303">
        <v>10.0959</v>
      </c>
      <c r="G95" s="303">
        <v>0.34539999999999998</v>
      </c>
      <c r="H95" s="303">
        <v>0.112</v>
      </c>
      <c r="I95" s="303">
        <v>111.2851</v>
      </c>
      <c r="J95" s="303">
        <f t="shared" si="8"/>
        <v>0.14563130000000002</v>
      </c>
      <c r="K95" s="303">
        <v>10.203700000000001</v>
      </c>
      <c r="L95" s="303">
        <v>102.1489</v>
      </c>
      <c r="M95" s="303">
        <f t="shared" si="9"/>
        <v>0.1124982313</v>
      </c>
      <c r="N95" s="290"/>
      <c r="O95" s="284"/>
      <c r="P95" s="284"/>
      <c r="Q95" s="284"/>
      <c r="R95" s="284"/>
      <c r="S95" s="284"/>
      <c r="T95" s="284"/>
      <c r="U95" s="284"/>
      <c r="V95" s="284"/>
      <c r="W95" s="284"/>
      <c r="X95" s="284"/>
      <c r="Y95" s="284"/>
      <c r="Z95" s="284"/>
      <c r="AA95" s="284"/>
    </row>
    <row r="96" spans="1:27" ht="18" hidden="1">
      <c r="A96" s="291" t="s">
        <v>11</v>
      </c>
      <c r="B96" s="303">
        <v>7.4055</v>
      </c>
      <c r="C96" s="303">
        <v>10.3886</v>
      </c>
      <c r="D96" s="303">
        <v>0.39989999999999998</v>
      </c>
      <c r="E96" s="303">
        <v>22.034299999999998</v>
      </c>
      <c r="F96" s="303">
        <v>7.8958999999999993</v>
      </c>
      <c r="G96" s="303">
        <v>0.34539999999999998</v>
      </c>
      <c r="H96" s="303">
        <v>0.112</v>
      </c>
      <c r="I96" s="303">
        <v>116.72319999999999</v>
      </c>
      <c r="J96" s="303">
        <f t="shared" si="8"/>
        <v>0.1653048</v>
      </c>
      <c r="K96" s="303">
        <v>3.9919000000000002</v>
      </c>
      <c r="L96" s="303">
        <v>113.7971</v>
      </c>
      <c r="M96" s="303">
        <f t="shared" si="9"/>
        <v>0.11795430480000001</v>
      </c>
      <c r="N96" s="290"/>
      <c r="O96" s="284"/>
      <c r="P96" s="284"/>
      <c r="Q96" s="284"/>
      <c r="R96" s="284"/>
      <c r="S96" s="284"/>
      <c r="T96" s="284"/>
      <c r="U96" s="284"/>
      <c r="V96" s="284"/>
      <c r="W96" s="284"/>
      <c r="X96" s="284"/>
      <c r="Y96" s="284"/>
      <c r="Z96" s="284"/>
      <c r="AA96" s="284"/>
    </row>
    <row r="97" spans="1:27" ht="18" hidden="1">
      <c r="A97" s="291" t="s">
        <v>337</v>
      </c>
      <c r="B97" s="303">
        <v>15.1624</v>
      </c>
      <c r="C97" s="303">
        <v>1.4732000000000001</v>
      </c>
      <c r="D97" s="303">
        <v>5.0730000000000004</v>
      </c>
      <c r="E97" s="303">
        <v>16.109500000000001</v>
      </c>
      <c r="F97" s="303">
        <v>9.4380000000000006</v>
      </c>
      <c r="G97" s="303">
        <v>0.34539999999999998</v>
      </c>
      <c r="H97" s="303">
        <v>0.112</v>
      </c>
      <c r="I97" s="303">
        <v>97.965000000000003</v>
      </c>
      <c r="J97" s="303">
        <f t="shared" si="8"/>
        <v>0.14567850000000002</v>
      </c>
      <c r="K97" s="303">
        <v>10.149799999999999</v>
      </c>
      <c r="L97" s="303">
        <v>129.49760000000001</v>
      </c>
      <c r="M97" s="303">
        <f t="shared" si="9"/>
        <v>0.1397930785</v>
      </c>
      <c r="N97" s="290"/>
      <c r="O97" s="284"/>
      <c r="P97" s="284"/>
      <c r="Q97" s="284"/>
      <c r="R97" s="284"/>
      <c r="S97" s="284"/>
      <c r="T97" s="284"/>
      <c r="U97" s="284"/>
      <c r="V97" s="284"/>
      <c r="W97" s="284"/>
      <c r="X97" s="284"/>
      <c r="Y97" s="284"/>
      <c r="Z97" s="284"/>
      <c r="AA97" s="284"/>
    </row>
    <row r="98" spans="1:27" ht="18" hidden="1">
      <c r="A98" s="291" t="s">
        <v>346</v>
      </c>
      <c r="B98" s="303">
        <v>20.0641</v>
      </c>
      <c r="C98" s="303">
        <v>3.9546999999999999</v>
      </c>
      <c r="D98" s="303">
        <v>0.39989999999999998</v>
      </c>
      <c r="E98" s="303">
        <v>13.549200000000001</v>
      </c>
      <c r="F98" s="303">
        <v>7.8958999999999993</v>
      </c>
      <c r="G98" s="303">
        <v>0.34539999999999998</v>
      </c>
      <c r="H98" s="303">
        <v>0.112</v>
      </c>
      <c r="I98" s="303">
        <v>113.62869999999999</v>
      </c>
      <c r="J98" s="303">
        <f t="shared" si="8"/>
        <v>0.15994989999999998</v>
      </c>
      <c r="K98" s="303">
        <v>11.1615</v>
      </c>
      <c r="L98" s="303">
        <v>170.47790000000001</v>
      </c>
      <c r="M98" s="303">
        <f t="shared" si="9"/>
        <v>0.18179934990000002</v>
      </c>
      <c r="N98" s="290"/>
      <c r="O98" s="284"/>
      <c r="P98" s="284"/>
      <c r="Q98" s="284"/>
      <c r="R98" s="284"/>
      <c r="S98" s="284"/>
      <c r="T98" s="284"/>
      <c r="U98" s="284"/>
      <c r="V98" s="284"/>
      <c r="W98" s="284"/>
      <c r="X98" s="284"/>
      <c r="Y98" s="284"/>
      <c r="Z98" s="284"/>
      <c r="AA98" s="284"/>
    </row>
    <row r="99" spans="1:27" ht="18" hidden="1">
      <c r="A99" s="291" t="s">
        <v>347</v>
      </c>
      <c r="B99" s="303">
        <v>1.3659000000000001</v>
      </c>
      <c r="C99" s="303">
        <v>0.66989999999999994</v>
      </c>
      <c r="D99" s="303">
        <v>1.4834000000000001</v>
      </c>
      <c r="E99" s="303">
        <v>5.9782999999999999</v>
      </c>
      <c r="F99" s="303">
        <v>7.8958999999999993</v>
      </c>
      <c r="G99" s="303">
        <v>0.34539999999999998</v>
      </c>
      <c r="H99" s="303">
        <v>0.112</v>
      </c>
      <c r="I99" s="303">
        <v>206.40970000000002</v>
      </c>
      <c r="J99" s="303">
        <f t="shared" si="8"/>
        <v>0.2242605</v>
      </c>
      <c r="K99" s="303">
        <v>17.334599999999998</v>
      </c>
      <c r="L99" s="303">
        <v>107.88200000000001</v>
      </c>
      <c r="M99" s="303">
        <f t="shared" si="9"/>
        <v>0.1254408605</v>
      </c>
      <c r="N99" s="290"/>
      <c r="O99" s="284"/>
      <c r="P99" s="284"/>
      <c r="Q99" s="284"/>
      <c r="R99" s="284"/>
      <c r="S99" s="284"/>
      <c r="T99" s="284"/>
      <c r="U99" s="284"/>
      <c r="V99" s="284"/>
      <c r="W99" s="284"/>
      <c r="X99" s="284"/>
      <c r="Y99" s="284"/>
      <c r="Z99" s="284"/>
      <c r="AA99" s="284"/>
    </row>
    <row r="100" spans="1:27" ht="18" hidden="1">
      <c r="A100" s="291" t="s">
        <v>12</v>
      </c>
      <c r="B100" s="303">
        <v>4.0506000000000002</v>
      </c>
      <c r="C100" s="303">
        <v>0.66989999999999994</v>
      </c>
      <c r="D100" s="303">
        <v>1.5426</v>
      </c>
      <c r="E100" s="303">
        <v>8.9474999999999998</v>
      </c>
      <c r="F100" s="303">
        <v>7.8958999999999993</v>
      </c>
      <c r="G100" s="303">
        <v>0.34539999999999998</v>
      </c>
      <c r="H100" s="303">
        <v>0.112</v>
      </c>
      <c r="I100" s="303">
        <v>136.36079999999998</v>
      </c>
      <c r="J100" s="303">
        <f t="shared" si="8"/>
        <v>0.15992469999999998</v>
      </c>
      <c r="K100" s="303">
        <v>9.508799999999999</v>
      </c>
      <c r="L100" s="303">
        <v>133.20310000000001</v>
      </c>
      <c r="M100" s="303">
        <f t="shared" si="9"/>
        <v>0.14287182469999998</v>
      </c>
      <c r="N100" s="290"/>
      <c r="O100" s="284"/>
      <c r="P100" s="284"/>
      <c r="Q100" s="284"/>
      <c r="R100" s="284"/>
      <c r="S100" s="284"/>
      <c r="T100" s="284"/>
      <c r="U100" s="284"/>
      <c r="V100" s="284"/>
      <c r="W100" s="284"/>
      <c r="X100" s="284"/>
      <c r="Y100" s="284"/>
      <c r="Z100" s="284"/>
      <c r="AA100" s="284"/>
    </row>
    <row r="101" spans="1:27" ht="18" hidden="1">
      <c r="A101" s="291" t="s">
        <v>13</v>
      </c>
      <c r="B101" s="303">
        <v>14.5983</v>
      </c>
      <c r="C101" s="303">
        <v>0.66989999999999994</v>
      </c>
      <c r="D101" s="303">
        <v>1.5794999999999999</v>
      </c>
      <c r="E101" s="303">
        <v>10.999799999999999</v>
      </c>
      <c r="F101" s="303">
        <v>7.8958999999999993</v>
      </c>
      <c r="G101" s="303">
        <v>0.50939999999999996</v>
      </c>
      <c r="H101" s="303">
        <v>0.112</v>
      </c>
      <c r="I101" s="303">
        <v>135.82979999999998</v>
      </c>
      <c r="J101" s="303">
        <f t="shared" si="8"/>
        <v>0.17219459999999998</v>
      </c>
      <c r="K101" s="303">
        <v>5.0881000000000007</v>
      </c>
      <c r="L101" s="303">
        <v>134.60410000000002</v>
      </c>
      <c r="M101" s="303">
        <f t="shared" si="9"/>
        <v>0.13986439460000002</v>
      </c>
      <c r="N101" s="290"/>
      <c r="O101" s="284"/>
      <c r="P101" s="284"/>
      <c r="Q101" s="284"/>
      <c r="R101" s="284"/>
      <c r="S101" s="284"/>
      <c r="T101" s="284"/>
      <c r="U101" s="284"/>
      <c r="V101" s="284"/>
      <c r="W101" s="284"/>
      <c r="X101" s="284"/>
      <c r="Y101" s="284"/>
      <c r="Z101" s="284"/>
      <c r="AA101" s="284"/>
    </row>
    <row r="102" spans="1:27" ht="18" hidden="1">
      <c r="A102" s="291" t="s">
        <v>14</v>
      </c>
      <c r="B102" s="303">
        <v>4.6512000000000002</v>
      </c>
      <c r="C102" s="303">
        <v>0.66989999999999994</v>
      </c>
      <c r="D102" s="303">
        <v>5.7089999999999996</v>
      </c>
      <c r="E102" s="303">
        <v>19.574300000000001</v>
      </c>
      <c r="F102" s="303">
        <v>7.8958999999999993</v>
      </c>
      <c r="G102" s="303">
        <v>0.34539999999999998</v>
      </c>
      <c r="H102" s="303">
        <v>0.112</v>
      </c>
      <c r="I102" s="303">
        <v>153.559</v>
      </c>
      <c r="J102" s="303">
        <f t="shared" si="8"/>
        <v>0.19251670000000001</v>
      </c>
      <c r="K102" s="303">
        <v>-5.6781999999999995</v>
      </c>
      <c r="L102" s="303">
        <v>130.7715</v>
      </c>
      <c r="M102" s="303">
        <f t="shared" si="9"/>
        <v>0.1252858167</v>
      </c>
      <c r="N102" s="290"/>
      <c r="O102" s="284"/>
      <c r="P102" s="284"/>
      <c r="Q102" s="284"/>
      <c r="R102" s="284"/>
      <c r="S102" s="284"/>
      <c r="T102" s="284"/>
      <c r="U102" s="284"/>
      <c r="V102" s="284"/>
      <c r="W102" s="284"/>
      <c r="X102" s="284"/>
      <c r="Y102" s="284"/>
      <c r="Z102" s="284"/>
      <c r="AA102" s="284"/>
    </row>
    <row r="103" spans="1:27" ht="18" hidden="1">
      <c r="A103" s="291" t="s">
        <v>15</v>
      </c>
      <c r="B103" s="303">
        <v>2.5234000000000001</v>
      </c>
      <c r="C103" s="303">
        <v>0.66989999999999994</v>
      </c>
      <c r="D103" s="303">
        <v>2.8401000000000001</v>
      </c>
      <c r="E103" s="303">
        <v>23.028599999999997</v>
      </c>
      <c r="F103" s="303">
        <v>7.8958999999999993</v>
      </c>
      <c r="G103" s="303">
        <v>0.34539999999999998</v>
      </c>
      <c r="H103" s="303">
        <v>0.112</v>
      </c>
      <c r="I103" s="303">
        <v>187.09100000000001</v>
      </c>
      <c r="J103" s="303">
        <f t="shared" si="8"/>
        <v>0.22450630000000002</v>
      </c>
      <c r="K103" s="303">
        <v>-6.4011000000000005</v>
      </c>
      <c r="L103" s="303">
        <v>126.4824</v>
      </c>
      <c r="M103" s="303">
        <f t="shared" si="9"/>
        <v>0.1203058063</v>
      </c>
      <c r="N103" s="290"/>
      <c r="O103" s="284"/>
      <c r="P103" s="284"/>
      <c r="Q103" s="284"/>
      <c r="R103" s="284"/>
      <c r="S103" s="284"/>
      <c r="T103" s="284"/>
      <c r="U103" s="284"/>
      <c r="V103" s="284"/>
      <c r="W103" s="284"/>
      <c r="X103" s="284"/>
      <c r="Y103" s="284"/>
      <c r="Z103" s="284"/>
      <c r="AA103" s="284"/>
    </row>
    <row r="104" spans="1:27" ht="18" hidden="1">
      <c r="A104" s="291" t="s">
        <v>16</v>
      </c>
      <c r="B104" s="303">
        <v>2.1583999999999999</v>
      </c>
      <c r="C104" s="303">
        <v>0.66989999999999994</v>
      </c>
      <c r="D104" s="303">
        <v>3.2100999999999997</v>
      </c>
      <c r="E104" s="303">
        <v>8.4202999999999992</v>
      </c>
      <c r="F104" s="303">
        <v>7.8958999999999993</v>
      </c>
      <c r="G104" s="303">
        <v>0.34539999999999998</v>
      </c>
      <c r="H104" s="303">
        <v>0.112</v>
      </c>
      <c r="I104" s="303">
        <v>180.68179999999998</v>
      </c>
      <c r="J104" s="303">
        <f t="shared" si="8"/>
        <v>0.20349379999999997</v>
      </c>
      <c r="K104" s="303">
        <v>-11.334299999999999</v>
      </c>
      <c r="L104" s="303">
        <v>130.72190000000001</v>
      </c>
      <c r="M104" s="303">
        <f t="shared" si="9"/>
        <v>0.11959109380000001</v>
      </c>
      <c r="N104" s="290"/>
      <c r="O104" s="284"/>
      <c r="P104" s="284"/>
      <c r="Q104" s="284"/>
      <c r="R104" s="284"/>
      <c r="S104" s="284"/>
      <c r="T104" s="284"/>
      <c r="U104" s="284"/>
      <c r="V104" s="284"/>
      <c r="W104" s="284"/>
      <c r="X104" s="284"/>
      <c r="Y104" s="284"/>
      <c r="Z104" s="284"/>
      <c r="AA104" s="284"/>
    </row>
    <row r="105" spans="1:27" ht="18" hidden="1">
      <c r="A105" s="291"/>
      <c r="B105" s="303"/>
      <c r="C105" s="303"/>
      <c r="D105" s="303"/>
      <c r="E105" s="303"/>
      <c r="F105" s="303"/>
      <c r="G105" s="303"/>
      <c r="H105" s="303"/>
      <c r="I105" s="303"/>
      <c r="J105" s="303"/>
      <c r="K105" s="303"/>
      <c r="L105" s="303"/>
      <c r="M105" s="303"/>
      <c r="N105" s="290"/>
      <c r="O105" s="284"/>
      <c r="P105" s="284"/>
      <c r="Q105" s="284"/>
      <c r="R105" s="284"/>
      <c r="S105" s="284"/>
      <c r="T105" s="284"/>
      <c r="U105" s="284"/>
      <c r="V105" s="284"/>
      <c r="W105" s="284"/>
      <c r="X105" s="284"/>
      <c r="Y105" s="284"/>
      <c r="Z105" s="284"/>
      <c r="AA105" s="284"/>
    </row>
    <row r="106" spans="1:27" ht="18" hidden="1">
      <c r="A106" s="304">
        <v>2005</v>
      </c>
      <c r="B106" s="303"/>
      <c r="C106" s="303"/>
      <c r="D106" s="303"/>
      <c r="E106" s="303"/>
      <c r="F106" s="303"/>
      <c r="G106" s="303"/>
      <c r="H106" s="303"/>
      <c r="I106" s="303"/>
      <c r="J106" s="303"/>
      <c r="K106" s="303"/>
      <c r="L106" s="303"/>
      <c r="M106" s="303"/>
      <c r="N106" s="290"/>
      <c r="O106" s="284"/>
      <c r="P106" s="284"/>
      <c r="Q106" s="284"/>
      <c r="R106" s="284"/>
      <c r="S106" s="284"/>
      <c r="T106" s="284"/>
      <c r="U106" s="284"/>
      <c r="V106" s="284"/>
      <c r="W106" s="284"/>
      <c r="X106" s="284"/>
      <c r="Y106" s="284"/>
      <c r="Z106" s="284"/>
      <c r="AA106" s="284"/>
    </row>
    <row r="107" spans="1:27" ht="18" hidden="1">
      <c r="A107" s="291"/>
      <c r="B107" s="303"/>
      <c r="C107" s="303"/>
      <c r="D107" s="303"/>
      <c r="E107" s="303"/>
      <c r="F107" s="303"/>
      <c r="G107" s="303"/>
      <c r="H107" s="303"/>
      <c r="I107" s="303"/>
      <c r="J107" s="303"/>
      <c r="K107" s="303"/>
      <c r="L107" s="303"/>
      <c r="M107" s="303"/>
      <c r="N107" s="290"/>
      <c r="O107" s="284"/>
      <c r="P107" s="284"/>
      <c r="Q107" s="284"/>
      <c r="R107" s="284"/>
      <c r="S107" s="284"/>
      <c r="T107" s="284"/>
      <c r="U107" s="284"/>
      <c r="V107" s="284"/>
      <c r="W107" s="284"/>
      <c r="X107" s="284"/>
      <c r="Y107" s="284"/>
      <c r="Z107" s="284"/>
      <c r="AA107" s="284"/>
    </row>
    <row r="108" spans="1:27" ht="18" hidden="1">
      <c r="A108" s="291" t="s">
        <v>8</v>
      </c>
      <c r="B108" s="303">
        <v>1.1597390000000001</v>
      </c>
      <c r="C108" s="303">
        <v>0.66994799999999999</v>
      </c>
      <c r="D108" s="303">
        <v>5.7732169999999998</v>
      </c>
      <c r="E108" s="303">
        <v>8.2646060000000006</v>
      </c>
      <c r="F108" s="303">
        <v>7.8958539999999999</v>
      </c>
      <c r="G108" s="303">
        <v>0.345389</v>
      </c>
      <c r="H108" s="303">
        <v>0.112</v>
      </c>
      <c r="I108" s="303">
        <v>269.62916999999999</v>
      </c>
      <c r="J108" s="303">
        <f>(SUM(B108:I108))/1000</f>
        <v>0.29384992300000001</v>
      </c>
      <c r="K108" s="303">
        <v>-12.225458</v>
      </c>
      <c r="L108" s="303">
        <v>145.58449600000003</v>
      </c>
      <c r="M108" s="303">
        <f>(SUM(J108:L108))/1000</f>
        <v>0.13365288792300004</v>
      </c>
      <c r="N108" s="290"/>
      <c r="O108" s="284"/>
      <c r="P108" s="284"/>
      <c r="Q108" s="284"/>
      <c r="R108" s="284"/>
      <c r="S108" s="284"/>
      <c r="T108" s="284"/>
      <c r="U108" s="284"/>
      <c r="V108" s="284"/>
      <c r="W108" s="284"/>
      <c r="X108" s="284"/>
      <c r="Y108" s="284"/>
      <c r="Z108" s="284"/>
      <c r="AA108" s="284"/>
    </row>
    <row r="109" spans="1:27" ht="18" hidden="1">
      <c r="A109" s="291" t="s">
        <v>9</v>
      </c>
      <c r="B109" s="303">
        <v>1.1609639999999999</v>
      </c>
      <c r="C109" s="303">
        <v>0.66994799999999999</v>
      </c>
      <c r="D109" s="303">
        <v>24.581810000000001</v>
      </c>
      <c r="E109" s="303">
        <v>1.7357119999999999</v>
      </c>
      <c r="F109" s="303">
        <v>7.8958539999999999</v>
      </c>
      <c r="G109" s="303">
        <v>0.345389</v>
      </c>
      <c r="H109" s="303">
        <v>0.112</v>
      </c>
      <c r="I109" s="303">
        <v>337.06586099999998</v>
      </c>
      <c r="J109" s="303">
        <f>(SUM(B109:I109))/1000</f>
        <v>0.37356753800000003</v>
      </c>
      <c r="K109" s="303">
        <v>46.581222000000004</v>
      </c>
      <c r="L109" s="303">
        <v>144.86516399999999</v>
      </c>
      <c r="M109" s="303">
        <f>(SUM(J109:L109))/1000</f>
        <v>0.19181995353799999</v>
      </c>
      <c r="N109" s="290"/>
      <c r="O109" s="284"/>
      <c r="P109" s="284"/>
      <c r="Q109" s="284"/>
      <c r="R109" s="284"/>
      <c r="S109" s="284"/>
      <c r="T109" s="284"/>
      <c r="U109" s="284"/>
      <c r="V109" s="284"/>
      <c r="W109" s="284"/>
      <c r="X109" s="284"/>
      <c r="Y109" s="284"/>
      <c r="Z109" s="284"/>
      <c r="AA109" s="284"/>
    </row>
    <row r="110" spans="1:27" ht="18" hidden="1">
      <c r="A110" s="291" t="s">
        <v>10</v>
      </c>
      <c r="B110" s="303">
        <v>1.1622870000000001</v>
      </c>
      <c r="C110" s="303">
        <v>0.66994799999999999</v>
      </c>
      <c r="D110" s="303">
        <v>16.298781000000002</v>
      </c>
      <c r="E110" s="303">
        <v>1.661173</v>
      </c>
      <c r="F110" s="303">
        <v>7.8958539999999999</v>
      </c>
      <c r="G110" s="303">
        <v>0.345389</v>
      </c>
      <c r="H110" s="303">
        <v>0.112</v>
      </c>
      <c r="I110" s="303">
        <v>319.60299500000002</v>
      </c>
      <c r="J110" s="303">
        <f>(SUM(B110:I110))/1000</f>
        <v>0.34774842700000003</v>
      </c>
      <c r="K110" s="303">
        <v>114.847345</v>
      </c>
      <c r="L110" s="303">
        <v>121.26343200000002</v>
      </c>
      <c r="M110" s="303">
        <f>(SUM(J110:L110))/1000</f>
        <v>0.23645852542700005</v>
      </c>
      <c r="N110" s="290"/>
      <c r="O110" s="284"/>
      <c r="P110" s="284"/>
      <c r="Q110" s="284"/>
      <c r="R110" s="284"/>
      <c r="S110" s="284"/>
      <c r="T110" s="284"/>
      <c r="U110" s="284"/>
      <c r="V110" s="284"/>
      <c r="W110" s="284"/>
      <c r="X110" s="284"/>
      <c r="Y110" s="284"/>
      <c r="Z110" s="284"/>
      <c r="AA110" s="284"/>
    </row>
    <row r="111" spans="1:27" ht="18" hidden="1">
      <c r="A111" s="291" t="s">
        <v>11</v>
      </c>
      <c r="B111" s="303">
        <v>1.1637</v>
      </c>
      <c r="C111" s="303">
        <v>0.66989999999999994</v>
      </c>
      <c r="D111" s="303">
        <v>36.287099999999995</v>
      </c>
      <c r="E111" s="303">
        <v>1.5290999999999999</v>
      </c>
      <c r="F111" s="303">
        <v>7.8958999999999993</v>
      </c>
      <c r="G111" s="303">
        <v>0.34539999999999998</v>
      </c>
      <c r="H111" s="303">
        <v>0.112</v>
      </c>
      <c r="I111" s="303">
        <v>310.00640000000004</v>
      </c>
      <c r="J111" s="303">
        <v>358.0095</v>
      </c>
      <c r="K111" s="303">
        <v>122.1947</v>
      </c>
      <c r="L111" s="303">
        <v>116.05510000000001</v>
      </c>
      <c r="M111" s="303">
        <v>596.25930000000005</v>
      </c>
      <c r="N111" s="290"/>
      <c r="O111" s="284"/>
      <c r="P111" s="284"/>
      <c r="Q111" s="284"/>
      <c r="R111" s="284"/>
      <c r="S111" s="284"/>
      <c r="T111" s="284"/>
      <c r="U111" s="284"/>
      <c r="V111" s="284"/>
      <c r="W111" s="284"/>
      <c r="X111" s="284"/>
      <c r="Y111" s="284"/>
      <c r="Z111" s="284"/>
      <c r="AA111" s="284"/>
    </row>
    <row r="112" spans="1:27" ht="18" hidden="1">
      <c r="A112" s="291" t="s">
        <v>337</v>
      </c>
      <c r="B112" s="303">
        <v>4.6707999999999998</v>
      </c>
      <c r="C112" s="303">
        <v>0.66989999999999994</v>
      </c>
      <c r="D112" s="303">
        <v>63.5824</v>
      </c>
      <c r="E112" s="303">
        <v>7.7178999999999993</v>
      </c>
      <c r="F112" s="303">
        <v>7.8958999999999993</v>
      </c>
      <c r="G112" s="303">
        <v>0.34539999999999998</v>
      </c>
      <c r="H112" s="303">
        <v>0.112</v>
      </c>
      <c r="I112" s="303">
        <v>383.89269999999999</v>
      </c>
      <c r="J112" s="303">
        <v>468.887</v>
      </c>
      <c r="K112" s="303">
        <v>129.65549999999999</v>
      </c>
      <c r="L112" s="303">
        <v>151.07310000000001</v>
      </c>
      <c r="M112" s="303">
        <v>749.61559999999997</v>
      </c>
      <c r="N112" s="290"/>
      <c r="O112" s="284"/>
      <c r="P112" s="284"/>
      <c r="Q112" s="284"/>
      <c r="R112" s="284"/>
      <c r="S112" s="284"/>
      <c r="T112" s="284"/>
      <c r="U112" s="284"/>
      <c r="V112" s="284"/>
      <c r="W112" s="284"/>
      <c r="X112" s="284"/>
      <c r="Y112" s="284"/>
      <c r="Z112" s="284"/>
      <c r="AA112" s="284"/>
    </row>
    <row r="113" spans="1:27" ht="18" hidden="1">
      <c r="A113" s="291" t="s">
        <v>346</v>
      </c>
      <c r="B113" s="303">
        <v>0.27379999999999999</v>
      </c>
      <c r="C113" s="303">
        <v>35.928100000000001</v>
      </c>
      <c r="D113" s="303">
        <v>0.39989999999999998</v>
      </c>
      <c r="E113" s="303">
        <v>0</v>
      </c>
      <c r="F113" s="303">
        <v>6.8958999999999993</v>
      </c>
      <c r="G113" s="303">
        <v>0.34539999999999998</v>
      </c>
      <c r="H113" s="303">
        <v>0.112</v>
      </c>
      <c r="I113" s="303">
        <v>180.6728</v>
      </c>
      <c r="J113" s="303">
        <v>224.62789999999998</v>
      </c>
      <c r="K113" s="303">
        <v>101.02589999999999</v>
      </c>
      <c r="L113" s="303">
        <v>76.613199999999992</v>
      </c>
      <c r="M113" s="303">
        <v>402.267</v>
      </c>
      <c r="N113" s="290"/>
      <c r="O113" s="284"/>
      <c r="P113" s="284"/>
      <c r="Q113" s="284"/>
      <c r="R113" s="284"/>
      <c r="S113" s="284"/>
      <c r="T113" s="284"/>
      <c r="U113" s="284"/>
      <c r="V113" s="284"/>
      <c r="W113" s="284"/>
      <c r="X113" s="284"/>
      <c r="Y113" s="284"/>
      <c r="Z113" s="284"/>
      <c r="AA113" s="284"/>
    </row>
    <row r="114" spans="1:27" ht="18" hidden="1">
      <c r="A114" s="291" t="s">
        <v>347</v>
      </c>
      <c r="B114" s="303">
        <v>17.719799999999999</v>
      </c>
      <c r="C114" s="303">
        <v>44.590800000000002</v>
      </c>
      <c r="D114" s="303">
        <v>0.39989999999999998</v>
      </c>
      <c r="E114" s="303">
        <v>0</v>
      </c>
      <c r="F114" s="303">
        <v>6.8958999999999993</v>
      </c>
      <c r="G114" s="303">
        <v>0.34539999999999998</v>
      </c>
      <c r="H114" s="303">
        <v>0.112</v>
      </c>
      <c r="I114" s="303">
        <v>208.11</v>
      </c>
      <c r="J114" s="303">
        <v>278.17379999999997</v>
      </c>
      <c r="K114" s="303">
        <v>118.8455</v>
      </c>
      <c r="L114" s="303">
        <v>110.70910000000001</v>
      </c>
      <c r="M114" s="303">
        <v>507.72840000000002</v>
      </c>
      <c r="N114" s="290"/>
      <c r="O114" s="284"/>
      <c r="P114" s="284"/>
      <c r="Q114" s="284"/>
      <c r="R114" s="284"/>
      <c r="S114" s="284"/>
      <c r="T114" s="284"/>
      <c r="U114" s="284"/>
      <c r="V114" s="284"/>
      <c r="W114" s="284"/>
      <c r="X114" s="284"/>
      <c r="Y114" s="284"/>
      <c r="Z114" s="284"/>
      <c r="AA114" s="284"/>
    </row>
    <row r="115" spans="1:27" ht="18" hidden="1">
      <c r="A115" s="291" t="s">
        <v>12</v>
      </c>
      <c r="B115" s="303">
        <v>0.2303</v>
      </c>
      <c r="C115" s="303">
        <v>4.2099999999999999E-2</v>
      </c>
      <c r="D115" s="303">
        <v>0.39989999999999998</v>
      </c>
      <c r="E115" s="303">
        <v>0</v>
      </c>
      <c r="F115" s="303">
        <v>6.8958999999999993</v>
      </c>
      <c r="G115" s="303">
        <v>0.34539999999999998</v>
      </c>
      <c r="H115" s="303">
        <v>0.112</v>
      </c>
      <c r="I115" s="303">
        <v>191.49370000000002</v>
      </c>
      <c r="J115" s="303">
        <v>199.51929999999999</v>
      </c>
      <c r="K115" s="303">
        <v>136.9667</v>
      </c>
      <c r="L115" s="303">
        <v>214.7216</v>
      </c>
      <c r="M115" s="303">
        <v>551.20759999999996</v>
      </c>
      <c r="N115" s="290"/>
      <c r="O115" s="284"/>
      <c r="P115" s="284"/>
      <c r="Q115" s="284"/>
      <c r="R115" s="284"/>
      <c r="S115" s="284"/>
      <c r="T115" s="284"/>
      <c r="U115" s="284"/>
      <c r="V115" s="284"/>
      <c r="W115" s="284"/>
      <c r="X115" s="284"/>
      <c r="Y115" s="284"/>
      <c r="Z115" s="284"/>
      <c r="AA115" s="284"/>
    </row>
    <row r="116" spans="1:27" ht="18" hidden="1">
      <c r="A116" s="291" t="s">
        <v>13</v>
      </c>
      <c r="B116" s="303">
        <v>15.0611</v>
      </c>
      <c r="C116" s="303">
        <v>1.5E-3</v>
      </c>
      <c r="D116" s="303">
        <v>0</v>
      </c>
      <c r="E116" s="303">
        <v>0</v>
      </c>
      <c r="F116" s="303">
        <v>0</v>
      </c>
      <c r="G116" s="303">
        <v>0</v>
      </c>
      <c r="H116" s="303">
        <v>0.112</v>
      </c>
      <c r="I116" s="303">
        <v>139.64079999999998</v>
      </c>
      <c r="J116" s="303">
        <v>154.81539999999998</v>
      </c>
      <c r="K116" s="303">
        <v>290.03909999999996</v>
      </c>
      <c r="L116" s="303">
        <v>149.26510000000002</v>
      </c>
      <c r="M116" s="303">
        <v>594.11969999999997</v>
      </c>
      <c r="N116" s="290"/>
      <c r="O116" s="284"/>
      <c r="P116" s="284"/>
      <c r="Q116" s="284"/>
      <c r="R116" s="284"/>
      <c r="S116" s="284"/>
      <c r="T116" s="284"/>
      <c r="U116" s="284"/>
      <c r="V116" s="284"/>
      <c r="W116" s="284"/>
      <c r="X116" s="284"/>
      <c r="Y116" s="284"/>
      <c r="Z116" s="284"/>
      <c r="AA116" s="284"/>
    </row>
    <row r="117" spans="1:27" ht="18" hidden="1">
      <c r="A117" s="291" t="s">
        <v>14</v>
      </c>
      <c r="B117" s="303">
        <v>33.019599999999997</v>
      </c>
      <c r="C117" s="303">
        <v>1.5E-3</v>
      </c>
      <c r="D117" s="303">
        <v>0</v>
      </c>
      <c r="E117" s="303">
        <v>0</v>
      </c>
      <c r="F117" s="303">
        <v>0</v>
      </c>
      <c r="G117" s="303">
        <v>0</v>
      </c>
      <c r="H117" s="303">
        <v>0.112</v>
      </c>
      <c r="I117" s="303">
        <v>464.82380000000001</v>
      </c>
      <c r="J117" s="303">
        <v>497.95699999999999</v>
      </c>
      <c r="K117" s="303">
        <v>331.8279</v>
      </c>
      <c r="L117" s="303">
        <v>186.75200000000001</v>
      </c>
      <c r="M117" s="303">
        <v>1016.5369000000001</v>
      </c>
      <c r="N117" s="290"/>
      <c r="O117" s="284"/>
      <c r="P117" s="284"/>
      <c r="Q117" s="284"/>
      <c r="R117" s="284"/>
      <c r="S117" s="284"/>
      <c r="T117" s="284"/>
      <c r="U117" s="284"/>
      <c r="V117" s="284"/>
      <c r="W117" s="284"/>
      <c r="X117" s="284"/>
      <c r="Y117" s="284"/>
      <c r="Z117" s="284"/>
      <c r="AA117" s="284"/>
    </row>
    <row r="118" spans="1:27" ht="18" hidden="1">
      <c r="A118" s="291" t="s">
        <v>15</v>
      </c>
      <c r="B118" s="303">
        <v>7.2412999999999998</v>
      </c>
      <c r="C118" s="303">
        <v>0</v>
      </c>
      <c r="D118" s="303">
        <v>0</v>
      </c>
      <c r="E118" s="303">
        <v>228.98129999999998</v>
      </c>
      <c r="F118" s="303">
        <v>0</v>
      </c>
      <c r="G118" s="303">
        <v>0</v>
      </c>
      <c r="H118" s="303">
        <v>0.2407</v>
      </c>
      <c r="I118" s="303">
        <v>317.83840000000004</v>
      </c>
      <c r="J118" s="303">
        <v>554.30160000000001</v>
      </c>
      <c r="K118" s="303">
        <v>510.33840000000004</v>
      </c>
      <c r="L118" s="303">
        <v>339.89940000000001</v>
      </c>
      <c r="M118" s="303">
        <v>1404.5395000000001</v>
      </c>
      <c r="N118" s="290"/>
      <c r="O118" s="284"/>
      <c r="P118" s="284"/>
      <c r="Q118" s="284"/>
      <c r="R118" s="284"/>
      <c r="S118" s="284"/>
      <c r="T118" s="284"/>
      <c r="U118" s="284"/>
      <c r="V118" s="284"/>
      <c r="W118" s="284"/>
      <c r="X118" s="284"/>
      <c r="Y118" s="284"/>
      <c r="Z118" s="284"/>
      <c r="AA118" s="284"/>
    </row>
    <row r="119" spans="1:27" ht="18" hidden="1">
      <c r="A119" s="291" t="s">
        <v>16</v>
      </c>
      <c r="B119" s="303">
        <v>0</v>
      </c>
      <c r="C119" s="303">
        <v>6.8958999999999993</v>
      </c>
      <c r="D119" s="303">
        <v>0</v>
      </c>
      <c r="E119" s="303">
        <v>0</v>
      </c>
      <c r="F119" s="303">
        <v>199.62520000000001</v>
      </c>
      <c r="G119" s="303">
        <v>0</v>
      </c>
      <c r="H119" s="303">
        <v>0.112</v>
      </c>
      <c r="I119" s="303">
        <v>569.00959999999998</v>
      </c>
      <c r="J119" s="303">
        <v>775.64260000000002</v>
      </c>
      <c r="K119" s="303">
        <v>406.38959999999997</v>
      </c>
      <c r="L119" s="303">
        <v>276.60750000000002</v>
      </c>
      <c r="M119" s="303">
        <v>1458.6396999999999</v>
      </c>
      <c r="N119" s="290"/>
      <c r="O119" s="284"/>
      <c r="P119" s="284"/>
      <c r="Q119" s="284"/>
      <c r="R119" s="284"/>
      <c r="S119" s="284"/>
      <c r="T119" s="284"/>
      <c r="U119" s="284"/>
      <c r="V119" s="284"/>
      <c r="W119" s="284"/>
      <c r="X119" s="284"/>
      <c r="Y119" s="284"/>
      <c r="Z119" s="284"/>
      <c r="AA119" s="284"/>
    </row>
    <row r="120" spans="1:27" ht="18" hidden="1">
      <c r="A120" s="291"/>
      <c r="B120" s="303"/>
      <c r="C120" s="303"/>
      <c r="D120" s="303"/>
      <c r="E120" s="303"/>
      <c r="F120" s="303"/>
      <c r="G120" s="303"/>
      <c r="H120" s="303"/>
      <c r="I120" s="303"/>
      <c r="J120" s="303"/>
      <c r="K120" s="303"/>
      <c r="L120" s="303"/>
      <c r="M120" s="303"/>
      <c r="N120" s="290"/>
      <c r="O120" s="284"/>
      <c r="P120" s="284"/>
      <c r="Q120" s="284"/>
      <c r="R120" s="284"/>
      <c r="S120" s="284"/>
      <c r="T120" s="284"/>
      <c r="U120" s="284"/>
      <c r="V120" s="284"/>
      <c r="W120" s="284"/>
      <c r="X120" s="284"/>
      <c r="Y120" s="284"/>
      <c r="Z120" s="284"/>
      <c r="AA120" s="284"/>
    </row>
    <row r="121" spans="1:27" ht="18" hidden="1">
      <c r="A121" s="291"/>
      <c r="B121" s="303"/>
      <c r="C121" s="303"/>
      <c r="D121" s="303"/>
      <c r="E121" s="303"/>
      <c r="F121" s="303"/>
      <c r="G121" s="303"/>
      <c r="H121" s="303"/>
      <c r="I121" s="303"/>
      <c r="J121" s="303"/>
      <c r="K121" s="303"/>
      <c r="L121" s="303"/>
      <c r="M121" s="303"/>
      <c r="N121" s="290"/>
      <c r="O121" s="284"/>
      <c r="P121" s="284"/>
      <c r="Q121" s="284"/>
      <c r="R121" s="284"/>
      <c r="S121" s="284"/>
      <c r="T121" s="284"/>
      <c r="U121" s="284"/>
      <c r="V121" s="284"/>
      <c r="W121" s="284"/>
      <c r="X121" s="284"/>
      <c r="Y121" s="284"/>
      <c r="Z121" s="284"/>
      <c r="AA121" s="284"/>
    </row>
    <row r="122" spans="1:27" ht="18" hidden="1">
      <c r="A122" s="304">
        <v>2006</v>
      </c>
      <c r="B122" s="303"/>
      <c r="C122" s="303"/>
      <c r="D122" s="303"/>
      <c r="E122" s="303"/>
      <c r="F122" s="303"/>
      <c r="G122" s="303"/>
      <c r="H122" s="303"/>
      <c r="I122" s="303"/>
      <c r="J122" s="303"/>
      <c r="K122" s="303"/>
      <c r="L122" s="303"/>
      <c r="M122" s="303"/>
      <c r="N122" s="290"/>
      <c r="O122" s="284"/>
      <c r="P122" s="284"/>
      <c r="Q122" s="284"/>
      <c r="R122" s="284"/>
      <c r="S122" s="284"/>
      <c r="T122" s="284"/>
      <c r="U122" s="284"/>
      <c r="V122" s="284"/>
      <c r="W122" s="284"/>
      <c r="X122" s="284"/>
      <c r="Y122" s="284"/>
      <c r="Z122" s="284"/>
      <c r="AA122" s="284"/>
    </row>
    <row r="123" spans="1:27" ht="18" hidden="1">
      <c r="A123" s="304"/>
      <c r="B123" s="303"/>
      <c r="C123" s="303"/>
      <c r="D123" s="303"/>
      <c r="E123" s="303"/>
      <c r="F123" s="303"/>
      <c r="G123" s="303"/>
      <c r="H123" s="303"/>
      <c r="I123" s="303"/>
      <c r="J123" s="303"/>
      <c r="K123" s="303"/>
      <c r="L123" s="303"/>
      <c r="M123" s="303"/>
      <c r="N123" s="290"/>
      <c r="O123" s="284"/>
      <c r="P123" s="284"/>
      <c r="Q123" s="284"/>
      <c r="R123" s="284"/>
      <c r="S123" s="284"/>
      <c r="T123" s="284"/>
      <c r="U123" s="284"/>
      <c r="V123" s="284"/>
      <c r="W123" s="284"/>
      <c r="X123" s="284"/>
      <c r="Y123" s="284"/>
      <c r="Z123" s="284"/>
      <c r="AA123" s="284"/>
    </row>
    <row r="124" spans="1:27" ht="18" hidden="1">
      <c r="A124" s="291" t="s">
        <v>8</v>
      </c>
      <c r="B124" s="303">
        <v>24.141549999999999</v>
      </c>
      <c r="C124" s="303">
        <v>323.31167800000003</v>
      </c>
      <c r="D124" s="303">
        <v>0</v>
      </c>
      <c r="E124" s="303">
        <v>0</v>
      </c>
      <c r="F124" s="303">
        <v>0</v>
      </c>
      <c r="G124" s="303">
        <v>0</v>
      </c>
      <c r="H124" s="303">
        <v>4.3161570000000005</v>
      </c>
      <c r="I124" s="303">
        <v>418.72778099999999</v>
      </c>
      <c r="J124" s="303">
        <v>770.49716599999999</v>
      </c>
      <c r="K124" s="303">
        <v>633.51146100000005</v>
      </c>
      <c r="L124" s="303">
        <v>1490.457034</v>
      </c>
      <c r="M124" s="303">
        <v>2894.4656609999997</v>
      </c>
      <c r="N124" s="290"/>
      <c r="O124" s="284"/>
      <c r="P124" s="284"/>
      <c r="Q124" s="284"/>
      <c r="R124" s="284"/>
      <c r="S124" s="284"/>
      <c r="T124" s="284"/>
      <c r="U124" s="284"/>
      <c r="V124" s="284"/>
      <c r="W124" s="284"/>
      <c r="X124" s="284"/>
      <c r="Y124" s="284"/>
      <c r="Z124" s="284"/>
      <c r="AA124" s="284"/>
    </row>
    <row r="125" spans="1:27" ht="18" hidden="1">
      <c r="A125" s="291" t="s">
        <v>9</v>
      </c>
      <c r="B125" s="303">
        <v>24.141549999999999</v>
      </c>
      <c r="C125" s="303">
        <v>323.31167800000003</v>
      </c>
      <c r="D125" s="303">
        <v>0</v>
      </c>
      <c r="E125" s="303">
        <v>0</v>
      </c>
      <c r="F125" s="303">
        <v>0</v>
      </c>
      <c r="G125" s="303">
        <v>0</v>
      </c>
      <c r="H125" s="303">
        <v>4.3161570000000005</v>
      </c>
      <c r="I125" s="303">
        <v>484.26892599999996</v>
      </c>
      <c r="J125" s="303">
        <v>836.03831100000002</v>
      </c>
      <c r="K125" s="303">
        <v>685.84862399999997</v>
      </c>
      <c r="L125" s="303">
        <v>1505.18948</v>
      </c>
      <c r="M125" s="303">
        <v>3027.076415</v>
      </c>
      <c r="N125" s="290"/>
      <c r="O125" s="284"/>
      <c r="P125" s="284"/>
      <c r="Q125" s="284"/>
      <c r="R125" s="284"/>
      <c r="S125" s="284"/>
      <c r="T125" s="284"/>
      <c r="U125" s="284"/>
      <c r="V125" s="284"/>
      <c r="W125" s="284"/>
      <c r="X125" s="284"/>
      <c r="Y125" s="284"/>
      <c r="Z125" s="284"/>
      <c r="AA125" s="284"/>
    </row>
    <row r="126" spans="1:27" ht="18" hidden="1">
      <c r="A126" s="291" t="s">
        <v>10</v>
      </c>
      <c r="B126" s="303">
        <v>2.1000259999999997</v>
      </c>
      <c r="C126" s="303">
        <v>0</v>
      </c>
      <c r="D126" s="303">
        <v>0</v>
      </c>
      <c r="E126" s="303">
        <v>0</v>
      </c>
      <c r="F126" s="303">
        <v>0</v>
      </c>
      <c r="G126" s="303">
        <v>0</v>
      </c>
      <c r="H126" s="303">
        <v>6.4521610000000003</v>
      </c>
      <c r="I126" s="303">
        <v>1139.6790169999999</v>
      </c>
      <c r="J126" s="303">
        <v>1148.2312039999999</v>
      </c>
      <c r="K126" s="303">
        <v>727.71023500000001</v>
      </c>
      <c r="L126" s="303">
        <v>1177.9767440000005</v>
      </c>
      <c r="M126" s="303">
        <v>3053.9181830000002</v>
      </c>
      <c r="N126" s="290"/>
      <c r="O126" s="284"/>
      <c r="P126" s="284"/>
      <c r="Q126" s="284"/>
      <c r="R126" s="284"/>
      <c r="S126" s="284"/>
      <c r="T126" s="284"/>
      <c r="U126" s="284"/>
      <c r="V126" s="284"/>
      <c r="W126" s="284"/>
      <c r="X126" s="284"/>
      <c r="Y126" s="284"/>
      <c r="Z126" s="284"/>
      <c r="AA126" s="284"/>
    </row>
    <row r="127" spans="1:27" ht="18" hidden="1">
      <c r="A127" s="291" t="s">
        <v>11</v>
      </c>
      <c r="B127" s="303">
        <v>21.8947</v>
      </c>
      <c r="C127" s="303">
        <v>16.983599999999999</v>
      </c>
      <c r="D127" s="303">
        <v>0</v>
      </c>
      <c r="E127" s="303">
        <v>0</v>
      </c>
      <c r="F127" s="303">
        <v>0</v>
      </c>
      <c r="G127" s="303">
        <v>0</v>
      </c>
      <c r="H127" s="303">
        <v>0</v>
      </c>
      <c r="I127" s="303">
        <v>1340.1142</v>
      </c>
      <c r="J127" s="303">
        <v>1378.9925000000001</v>
      </c>
      <c r="K127" s="303">
        <v>809.67619999999999</v>
      </c>
      <c r="L127" s="303">
        <v>1547.337</v>
      </c>
      <c r="M127" s="303">
        <f>(SUM(J127:L127))</f>
        <v>3736.0057000000002</v>
      </c>
      <c r="N127" s="290"/>
      <c r="O127" s="284"/>
      <c r="P127" s="284"/>
      <c r="Q127" s="284"/>
      <c r="R127" s="284"/>
      <c r="S127" s="284"/>
      <c r="T127" s="284"/>
      <c r="U127" s="284"/>
      <c r="V127" s="284"/>
      <c r="W127" s="284"/>
      <c r="X127" s="284"/>
      <c r="Y127" s="284"/>
      <c r="Z127" s="284"/>
      <c r="AA127" s="284"/>
    </row>
    <row r="128" spans="1:27" ht="18" hidden="1">
      <c r="A128" s="291" t="s">
        <v>337</v>
      </c>
      <c r="B128" s="303">
        <v>36.523199999999996</v>
      </c>
      <c r="C128" s="303">
        <v>0</v>
      </c>
      <c r="D128" s="303">
        <v>0</v>
      </c>
      <c r="E128" s="303">
        <v>0</v>
      </c>
      <c r="F128" s="303">
        <v>0</v>
      </c>
      <c r="G128" s="303">
        <v>0</v>
      </c>
      <c r="H128" s="303">
        <v>0</v>
      </c>
      <c r="I128" s="303">
        <v>932.15180000000009</v>
      </c>
      <c r="J128" s="303">
        <v>968.67489999999998</v>
      </c>
      <c r="K128" s="303">
        <v>887.57650000000001</v>
      </c>
      <c r="L128" s="303">
        <v>1411.8401999999999</v>
      </c>
      <c r="M128" s="303">
        <v>3268.0917000000004</v>
      </c>
      <c r="N128" s="290"/>
      <c r="O128" s="284"/>
      <c r="P128" s="284"/>
      <c r="Q128" s="284"/>
      <c r="R128" s="284"/>
      <c r="S128" s="284"/>
      <c r="T128" s="284"/>
      <c r="U128" s="284"/>
      <c r="V128" s="284"/>
      <c r="W128" s="284"/>
      <c r="X128" s="284"/>
      <c r="Y128" s="284"/>
      <c r="Z128" s="284"/>
      <c r="AA128" s="284"/>
    </row>
    <row r="129" spans="1:27" ht="18" hidden="1">
      <c r="A129" s="291" t="s">
        <v>346</v>
      </c>
      <c r="B129" s="303">
        <v>11.8811</v>
      </c>
      <c r="C129" s="303">
        <v>0</v>
      </c>
      <c r="D129" s="303">
        <v>0</v>
      </c>
      <c r="E129" s="303">
        <v>0</v>
      </c>
      <c r="F129" s="303">
        <v>0</v>
      </c>
      <c r="G129" s="303">
        <v>0</v>
      </c>
      <c r="H129" s="303">
        <v>0</v>
      </c>
      <c r="I129" s="303">
        <v>1169.1181000000001</v>
      </c>
      <c r="J129" s="303">
        <v>1180.9992</v>
      </c>
      <c r="K129" s="303">
        <v>1764.5326</v>
      </c>
      <c r="L129" s="303">
        <v>1433.0166999999999</v>
      </c>
      <c r="M129" s="303">
        <v>4378.5486000000001</v>
      </c>
      <c r="N129" s="290"/>
      <c r="O129" s="284"/>
      <c r="P129" s="284"/>
      <c r="Q129" s="284"/>
      <c r="R129" s="284"/>
      <c r="S129" s="284"/>
      <c r="T129" s="284"/>
      <c r="U129" s="284"/>
      <c r="V129" s="284"/>
      <c r="W129" s="284"/>
      <c r="X129" s="284"/>
      <c r="Y129" s="284"/>
      <c r="Z129" s="284"/>
      <c r="AA129" s="284"/>
    </row>
    <row r="130" spans="1:27" ht="18" hidden="1">
      <c r="A130" s="291" t="s">
        <v>347</v>
      </c>
      <c r="B130" s="303">
        <v>11.8561</v>
      </c>
      <c r="C130" s="303">
        <v>0</v>
      </c>
      <c r="D130" s="303">
        <v>0</v>
      </c>
      <c r="E130" s="303">
        <v>0</v>
      </c>
      <c r="F130" s="303">
        <v>0</v>
      </c>
      <c r="G130" s="303">
        <v>0</v>
      </c>
      <c r="H130" s="303">
        <v>0.112</v>
      </c>
      <c r="I130" s="303">
        <v>1139.0703999999998</v>
      </c>
      <c r="J130" s="303">
        <v>1151.0385000000001</v>
      </c>
      <c r="K130" s="303">
        <v>1753.4853999999998</v>
      </c>
      <c r="L130" s="303">
        <v>1754.0231999999999</v>
      </c>
      <c r="M130" s="303">
        <v>4658.5469999999996</v>
      </c>
      <c r="N130" s="290"/>
      <c r="O130" s="284"/>
      <c r="P130" s="284"/>
      <c r="Q130" s="284"/>
      <c r="R130" s="284"/>
      <c r="S130" s="284"/>
      <c r="T130" s="284"/>
      <c r="U130" s="284"/>
      <c r="V130" s="284"/>
      <c r="W130" s="284"/>
      <c r="X130" s="284"/>
      <c r="Y130" s="284"/>
      <c r="Z130" s="284"/>
      <c r="AA130" s="284"/>
    </row>
    <row r="131" spans="1:27" ht="18" hidden="1">
      <c r="A131" s="291" t="s">
        <v>12</v>
      </c>
      <c r="B131" s="303">
        <v>0</v>
      </c>
      <c r="C131" s="303">
        <v>0</v>
      </c>
      <c r="D131" s="303">
        <v>0</v>
      </c>
      <c r="E131" s="303">
        <v>0</v>
      </c>
      <c r="F131" s="303">
        <v>0</v>
      </c>
      <c r="G131" s="303">
        <v>0</v>
      </c>
      <c r="H131" s="303">
        <v>0</v>
      </c>
      <c r="I131" s="303">
        <v>1314.0531000000001</v>
      </c>
      <c r="J131" s="303">
        <v>1314.0531000000001</v>
      </c>
      <c r="K131" s="303">
        <v>2931.5920000000001</v>
      </c>
      <c r="L131" s="303">
        <v>2921.3447000000001</v>
      </c>
      <c r="M131" s="303">
        <v>7166.9899000000005</v>
      </c>
      <c r="N131" s="290"/>
      <c r="O131" s="284"/>
      <c r="P131" s="284"/>
      <c r="Q131" s="284"/>
      <c r="R131" s="284"/>
      <c r="S131" s="284"/>
      <c r="T131" s="284"/>
      <c r="U131" s="284"/>
      <c r="V131" s="284"/>
      <c r="W131" s="284"/>
      <c r="X131" s="284"/>
      <c r="Y131" s="284"/>
      <c r="Z131" s="284"/>
      <c r="AA131" s="284"/>
    </row>
    <row r="132" spans="1:27" ht="18" hidden="1">
      <c r="A132" s="291" t="s">
        <v>13</v>
      </c>
      <c r="B132" s="303">
        <v>0</v>
      </c>
      <c r="C132" s="303">
        <v>0</v>
      </c>
      <c r="D132" s="303">
        <v>0</v>
      </c>
      <c r="E132" s="303">
        <v>0</v>
      </c>
      <c r="F132" s="303">
        <v>0</v>
      </c>
      <c r="G132" s="303">
        <v>0</v>
      </c>
      <c r="H132" s="303">
        <v>0</v>
      </c>
      <c r="I132" s="303">
        <v>2493.2773999999999</v>
      </c>
      <c r="J132" s="303">
        <v>2493.2773999999999</v>
      </c>
      <c r="K132" s="303">
        <v>5527.6867000000002</v>
      </c>
      <c r="L132" s="303">
        <v>4590.0259999999998</v>
      </c>
      <c r="M132" s="303">
        <v>12610.990099999999</v>
      </c>
      <c r="N132" s="290"/>
      <c r="O132" s="284"/>
      <c r="P132" s="284"/>
      <c r="Q132" s="284"/>
      <c r="R132" s="284"/>
      <c r="S132" s="284"/>
      <c r="T132" s="284"/>
      <c r="U132" s="284"/>
      <c r="V132" s="284"/>
      <c r="W132" s="284"/>
      <c r="X132" s="284"/>
      <c r="Y132" s="284"/>
      <c r="Z132" s="284"/>
      <c r="AA132" s="284"/>
    </row>
    <row r="133" spans="1:27" ht="18" hidden="1">
      <c r="A133" s="291" t="s">
        <v>14</v>
      </c>
      <c r="B133" s="303">
        <v>0</v>
      </c>
      <c r="C133" s="303">
        <v>0</v>
      </c>
      <c r="D133" s="303">
        <v>0</v>
      </c>
      <c r="E133" s="303">
        <v>0</v>
      </c>
      <c r="F133" s="303">
        <v>81.617899999999992</v>
      </c>
      <c r="G133" s="303">
        <v>0</v>
      </c>
      <c r="H133" s="303">
        <v>0</v>
      </c>
      <c r="I133" s="303">
        <v>3697.3125</v>
      </c>
      <c r="J133" s="303">
        <v>3778.9303999999997</v>
      </c>
      <c r="K133" s="303">
        <v>6912.4107999999997</v>
      </c>
      <c r="L133" s="303">
        <v>5405.8431</v>
      </c>
      <c r="M133" s="303">
        <f>(SUM(J133:L133))</f>
        <v>16097.184299999999</v>
      </c>
      <c r="N133" s="290"/>
      <c r="O133" s="284"/>
      <c r="P133" s="284"/>
      <c r="Q133" s="284"/>
      <c r="R133" s="284"/>
      <c r="S133" s="284"/>
      <c r="T133" s="284"/>
      <c r="U133" s="284"/>
      <c r="V133" s="284"/>
      <c r="W133" s="284"/>
      <c r="X133" s="284"/>
      <c r="Y133" s="284"/>
      <c r="Z133" s="284"/>
      <c r="AA133" s="284"/>
    </row>
    <row r="134" spans="1:27" ht="18" hidden="1">
      <c r="A134" s="291" t="s">
        <v>15</v>
      </c>
      <c r="B134" s="303">
        <v>0</v>
      </c>
      <c r="C134" s="303">
        <v>0</v>
      </c>
      <c r="D134" s="303">
        <v>0</v>
      </c>
      <c r="E134" s="303">
        <v>0</v>
      </c>
      <c r="F134" s="303">
        <v>0</v>
      </c>
      <c r="G134" s="303">
        <v>0</v>
      </c>
      <c r="H134" s="303">
        <v>0</v>
      </c>
      <c r="I134" s="303">
        <v>3233.7583</v>
      </c>
      <c r="J134" s="303">
        <v>3233.7583</v>
      </c>
      <c r="K134" s="303">
        <v>8296.1847999999991</v>
      </c>
      <c r="L134" s="303">
        <v>6205.7972</v>
      </c>
      <c r="M134" s="303">
        <f>(SUM(J134:L134))</f>
        <v>17735.740299999998</v>
      </c>
      <c r="N134" s="290"/>
      <c r="O134" s="284"/>
      <c r="P134" s="284"/>
      <c r="Q134" s="284"/>
      <c r="R134" s="284"/>
      <c r="S134" s="284"/>
      <c r="T134" s="284"/>
      <c r="U134" s="284"/>
      <c r="V134" s="284"/>
      <c r="W134" s="284"/>
      <c r="X134" s="284"/>
      <c r="Y134" s="284"/>
      <c r="Z134" s="284"/>
      <c r="AA134" s="284"/>
    </row>
    <row r="135" spans="1:27" ht="18" hidden="1">
      <c r="A135" s="291" t="s">
        <v>16</v>
      </c>
      <c r="B135" s="303">
        <v>0</v>
      </c>
      <c r="C135" s="303">
        <v>0</v>
      </c>
      <c r="D135" s="303">
        <v>0</v>
      </c>
      <c r="E135" s="303">
        <v>0</v>
      </c>
      <c r="F135" s="303">
        <v>1814.2</v>
      </c>
      <c r="G135" s="303">
        <v>0</v>
      </c>
      <c r="H135" s="303">
        <v>0</v>
      </c>
      <c r="I135" s="303">
        <v>4964.16</v>
      </c>
      <c r="J135" s="303">
        <v>6778.37</v>
      </c>
      <c r="K135" s="303">
        <v>6768.7</v>
      </c>
      <c r="L135" s="303">
        <v>2147.3000000000002</v>
      </c>
      <c r="M135" s="303">
        <f>(SUM(J135:L135))</f>
        <v>15694.369999999999</v>
      </c>
      <c r="N135" s="290"/>
      <c r="O135" s="284"/>
      <c r="P135" s="284"/>
      <c r="Q135" s="284"/>
      <c r="R135" s="284"/>
      <c r="S135" s="284"/>
      <c r="T135" s="284"/>
      <c r="U135" s="284"/>
      <c r="V135" s="284"/>
      <c r="W135" s="284"/>
      <c r="X135" s="284"/>
      <c r="Y135" s="284"/>
      <c r="Z135" s="284"/>
      <c r="AA135" s="284"/>
    </row>
    <row r="136" spans="1:27" ht="18" hidden="1">
      <c r="A136" s="291"/>
      <c r="B136" s="303"/>
      <c r="C136" s="303"/>
      <c r="D136" s="303"/>
      <c r="E136" s="303"/>
      <c r="F136" s="303"/>
      <c r="G136" s="303"/>
      <c r="H136" s="303"/>
      <c r="I136" s="303"/>
      <c r="J136" s="303"/>
      <c r="K136" s="303"/>
      <c r="L136" s="303"/>
      <c r="M136" s="303"/>
      <c r="N136" s="290"/>
      <c r="O136" s="284"/>
      <c r="P136" s="284"/>
      <c r="Q136" s="284"/>
      <c r="R136" s="284"/>
      <c r="S136" s="284"/>
      <c r="T136" s="284"/>
      <c r="U136" s="284"/>
      <c r="V136" s="284"/>
      <c r="W136" s="284"/>
      <c r="X136" s="284"/>
      <c r="Y136" s="284"/>
      <c r="Z136" s="284"/>
      <c r="AA136" s="284"/>
    </row>
    <row r="137" spans="1:27" ht="18" hidden="1">
      <c r="A137" s="304">
        <v>2007</v>
      </c>
      <c r="B137" s="303"/>
      <c r="C137" s="303"/>
      <c r="D137" s="303"/>
      <c r="E137" s="303"/>
      <c r="F137" s="303"/>
      <c r="G137" s="303"/>
      <c r="H137" s="303"/>
      <c r="I137" s="303"/>
      <c r="J137" s="303"/>
      <c r="K137" s="303"/>
      <c r="L137" s="303"/>
      <c r="M137" s="303"/>
      <c r="N137" s="290"/>
      <c r="O137" s="284"/>
      <c r="P137" s="284"/>
      <c r="Q137" s="284"/>
      <c r="R137" s="284"/>
      <c r="S137" s="284"/>
      <c r="T137" s="284"/>
      <c r="U137" s="284"/>
      <c r="V137" s="284"/>
      <c r="W137" s="284"/>
      <c r="X137" s="284"/>
      <c r="Y137" s="284"/>
      <c r="Z137" s="284"/>
      <c r="AA137" s="284"/>
    </row>
    <row r="138" spans="1:27" ht="18" hidden="1">
      <c r="A138" s="291"/>
      <c r="B138" s="303"/>
      <c r="C138" s="303"/>
      <c r="D138" s="303"/>
      <c r="E138" s="303"/>
      <c r="F138" s="303"/>
      <c r="G138" s="303"/>
      <c r="H138" s="303"/>
      <c r="I138" s="303"/>
      <c r="J138" s="303"/>
      <c r="K138" s="303"/>
      <c r="L138" s="303"/>
      <c r="M138" s="303"/>
      <c r="N138" s="290"/>
      <c r="O138" s="284"/>
      <c r="P138" s="284"/>
      <c r="Q138" s="284"/>
      <c r="R138" s="284"/>
      <c r="S138" s="284"/>
      <c r="T138" s="284"/>
      <c r="U138" s="284"/>
      <c r="V138" s="284"/>
      <c r="W138" s="284"/>
      <c r="X138" s="284"/>
      <c r="Y138" s="284"/>
      <c r="Z138" s="284"/>
      <c r="AA138" s="284"/>
    </row>
    <row r="139" spans="1:27" ht="18" hidden="1">
      <c r="A139" s="291" t="s">
        <v>8</v>
      </c>
      <c r="B139" s="303">
        <v>655.4</v>
      </c>
      <c r="C139" s="303">
        <v>0</v>
      </c>
      <c r="D139" s="303">
        <v>100</v>
      </c>
      <c r="E139" s="303">
        <v>0</v>
      </c>
      <c r="F139" s="303">
        <v>0</v>
      </c>
      <c r="G139" s="303">
        <v>0</v>
      </c>
      <c r="H139" s="303">
        <v>0</v>
      </c>
      <c r="I139" s="303">
        <v>9776.4</v>
      </c>
      <c r="J139" s="303">
        <v>10531.9</v>
      </c>
      <c r="K139" s="303">
        <v>8090.7</v>
      </c>
      <c r="L139" s="303">
        <v>8679.2000000000007</v>
      </c>
      <c r="M139" s="303">
        <f t="shared" ref="M139:M150" si="10">(SUM(J139:L139))</f>
        <v>27301.8</v>
      </c>
      <c r="N139" s="290"/>
      <c r="O139" s="284"/>
      <c r="P139" s="284"/>
      <c r="Q139" s="284"/>
      <c r="R139" s="284"/>
      <c r="S139" s="284"/>
      <c r="T139" s="284"/>
      <c r="U139" s="284"/>
      <c r="V139" s="284"/>
      <c r="W139" s="284"/>
      <c r="X139" s="284"/>
      <c r="Y139" s="284"/>
      <c r="Z139" s="284"/>
      <c r="AA139" s="284"/>
    </row>
    <row r="140" spans="1:27" ht="18" hidden="1">
      <c r="A140" s="291" t="s">
        <v>9</v>
      </c>
      <c r="B140" s="303">
        <v>605.79999999999995</v>
      </c>
      <c r="C140" s="303">
        <v>0</v>
      </c>
      <c r="D140" s="303">
        <v>0</v>
      </c>
      <c r="E140" s="303">
        <v>0</v>
      </c>
      <c r="F140" s="303">
        <v>0</v>
      </c>
      <c r="G140" s="303">
        <v>0</v>
      </c>
      <c r="H140" s="303">
        <v>0</v>
      </c>
      <c r="I140" s="303">
        <v>14602.95</v>
      </c>
      <c r="J140" s="303">
        <v>15208.78</v>
      </c>
      <c r="K140" s="303">
        <v>9539.15</v>
      </c>
      <c r="L140" s="303">
        <v>13046.1</v>
      </c>
      <c r="M140" s="303">
        <f t="shared" si="10"/>
        <v>37794.03</v>
      </c>
      <c r="N140" s="290"/>
      <c r="O140" s="284"/>
      <c r="P140" s="284"/>
      <c r="Q140" s="284"/>
      <c r="R140" s="284"/>
      <c r="S140" s="284"/>
      <c r="T140" s="284"/>
      <c r="U140" s="284"/>
      <c r="V140" s="284"/>
      <c r="W140" s="284"/>
      <c r="X140" s="284"/>
      <c r="Y140" s="284"/>
      <c r="Z140" s="284"/>
      <c r="AA140" s="284"/>
    </row>
    <row r="141" spans="1:27" ht="18" hidden="1">
      <c r="A141" s="291" t="s">
        <v>10</v>
      </c>
      <c r="B141" s="303">
        <v>455.1</v>
      </c>
      <c r="C141" s="303">
        <v>0</v>
      </c>
      <c r="D141" s="303">
        <v>623.298</v>
      </c>
      <c r="E141" s="303">
        <v>0</v>
      </c>
      <c r="F141" s="303">
        <v>0</v>
      </c>
      <c r="G141" s="303">
        <v>0</v>
      </c>
      <c r="H141" s="303">
        <v>0</v>
      </c>
      <c r="I141" s="303">
        <v>25022.67</v>
      </c>
      <c r="J141" s="303">
        <v>26101.07</v>
      </c>
      <c r="K141" s="303">
        <v>18833.2</v>
      </c>
      <c r="L141" s="303">
        <v>10517.77</v>
      </c>
      <c r="M141" s="303">
        <f t="shared" si="10"/>
        <v>55452.040000000008</v>
      </c>
      <c r="N141" s="290"/>
      <c r="O141" s="284"/>
      <c r="P141" s="284"/>
      <c r="Q141" s="284"/>
      <c r="R141" s="284"/>
      <c r="S141" s="284"/>
      <c r="T141" s="284"/>
      <c r="U141" s="284"/>
      <c r="V141" s="284"/>
      <c r="W141" s="284"/>
      <c r="X141" s="284"/>
      <c r="Y141" s="284"/>
      <c r="Z141" s="284"/>
      <c r="AA141" s="284"/>
    </row>
    <row r="142" spans="1:27" ht="18" hidden="1">
      <c r="A142" s="291" t="s">
        <v>11</v>
      </c>
      <c r="B142" s="303">
        <v>214.88</v>
      </c>
      <c r="C142" s="303">
        <v>0</v>
      </c>
      <c r="D142" s="303">
        <v>160.899</v>
      </c>
      <c r="E142" s="303">
        <v>0</v>
      </c>
      <c r="F142" s="303">
        <v>0</v>
      </c>
      <c r="G142" s="303">
        <v>0</v>
      </c>
      <c r="H142" s="303">
        <v>0</v>
      </c>
      <c r="I142" s="303">
        <v>9806.8760000000002</v>
      </c>
      <c r="J142" s="303">
        <v>10182.656000000001</v>
      </c>
      <c r="K142" s="303">
        <v>12594.475</v>
      </c>
      <c r="L142" s="303">
        <v>8256.14</v>
      </c>
      <c r="M142" s="303">
        <f t="shared" si="10"/>
        <v>31033.271000000001</v>
      </c>
      <c r="N142" s="290"/>
      <c r="O142" s="284"/>
      <c r="P142" s="284"/>
      <c r="Q142" s="284"/>
      <c r="R142" s="284"/>
      <c r="S142" s="284"/>
      <c r="T142" s="284"/>
      <c r="U142" s="284"/>
      <c r="V142" s="284"/>
      <c r="W142" s="284"/>
      <c r="X142" s="284"/>
      <c r="Y142" s="284"/>
      <c r="Z142" s="284"/>
      <c r="AA142" s="284"/>
    </row>
    <row r="143" spans="1:27" ht="18" hidden="1">
      <c r="A143" s="291" t="s">
        <v>337</v>
      </c>
      <c r="B143" s="303">
        <v>1565.1</v>
      </c>
      <c r="C143" s="303">
        <v>0</v>
      </c>
      <c r="D143" s="303">
        <v>0</v>
      </c>
      <c r="E143" s="303">
        <v>0</v>
      </c>
      <c r="F143" s="303">
        <v>0</v>
      </c>
      <c r="G143" s="303">
        <v>0</v>
      </c>
      <c r="H143" s="303">
        <v>0</v>
      </c>
      <c r="I143" s="303">
        <v>65211.15</v>
      </c>
      <c r="J143" s="303">
        <v>66776.293000000005</v>
      </c>
      <c r="K143" s="303">
        <v>36040.281999999999</v>
      </c>
      <c r="L143" s="303">
        <v>35290.400000000001</v>
      </c>
      <c r="M143" s="303">
        <f t="shared" si="10"/>
        <v>138106.97500000001</v>
      </c>
      <c r="N143" s="290"/>
      <c r="O143" s="284"/>
      <c r="P143" s="284"/>
      <c r="Q143" s="284"/>
      <c r="R143" s="284"/>
      <c r="S143" s="284"/>
      <c r="T143" s="284"/>
      <c r="U143" s="284"/>
      <c r="V143" s="284"/>
      <c r="W143" s="284"/>
      <c r="X143" s="284"/>
      <c r="Y143" s="284"/>
      <c r="Z143" s="284"/>
      <c r="AA143" s="284"/>
    </row>
    <row r="144" spans="1:27" ht="18" hidden="1">
      <c r="A144" s="291" t="s">
        <v>346</v>
      </c>
      <c r="B144" s="303">
        <v>1610.2</v>
      </c>
      <c r="C144" s="303">
        <v>0</v>
      </c>
      <c r="D144" s="303">
        <v>885.37800000000004</v>
      </c>
      <c r="E144" s="303">
        <v>0</v>
      </c>
      <c r="F144" s="303">
        <v>1500</v>
      </c>
      <c r="G144" s="303">
        <v>0</v>
      </c>
      <c r="H144" s="303">
        <v>0</v>
      </c>
      <c r="I144" s="303">
        <v>224730.226</v>
      </c>
      <c r="J144" s="303">
        <v>228725.8</v>
      </c>
      <c r="K144" s="303">
        <v>112771.185</v>
      </c>
      <c r="L144" s="303">
        <v>60171.023999999998</v>
      </c>
      <c r="M144" s="303">
        <f t="shared" si="10"/>
        <v>401668.00899999996</v>
      </c>
      <c r="N144" s="290"/>
      <c r="O144" s="284"/>
      <c r="P144" s="284"/>
      <c r="Q144" s="284"/>
      <c r="R144" s="284"/>
      <c r="S144" s="284"/>
      <c r="T144" s="284"/>
      <c r="U144" s="284"/>
      <c r="V144" s="284"/>
      <c r="W144" s="284"/>
      <c r="X144" s="284"/>
      <c r="Y144" s="284"/>
      <c r="Z144" s="284"/>
      <c r="AA144" s="284"/>
    </row>
    <row r="145" spans="1:27" ht="18" hidden="1">
      <c r="A145" s="291" t="s">
        <v>347</v>
      </c>
      <c r="B145" s="303">
        <v>1840.3</v>
      </c>
      <c r="C145" s="303">
        <v>0</v>
      </c>
      <c r="D145" s="303">
        <v>1432.2</v>
      </c>
      <c r="E145" s="303">
        <v>0</v>
      </c>
      <c r="F145" s="303">
        <v>0</v>
      </c>
      <c r="G145" s="303">
        <v>1765</v>
      </c>
      <c r="H145" s="303">
        <v>0</v>
      </c>
      <c r="I145" s="303">
        <v>447358.8</v>
      </c>
      <c r="J145" s="303">
        <v>452396.4</v>
      </c>
      <c r="K145" s="303">
        <v>107808.7</v>
      </c>
      <c r="L145" s="303">
        <v>102090.3</v>
      </c>
      <c r="M145" s="303">
        <f t="shared" si="10"/>
        <v>662295.4</v>
      </c>
      <c r="N145" s="290"/>
      <c r="O145" s="284"/>
      <c r="P145" s="284"/>
      <c r="Q145" s="284"/>
      <c r="R145" s="284"/>
      <c r="S145" s="284"/>
      <c r="T145" s="284"/>
      <c r="U145" s="284"/>
      <c r="V145" s="284"/>
      <c r="W145" s="284"/>
      <c r="X145" s="284"/>
      <c r="Y145" s="284"/>
      <c r="Z145" s="284"/>
      <c r="AA145" s="284"/>
    </row>
    <row r="146" spans="1:27" ht="18" hidden="1">
      <c r="A146" s="291" t="s">
        <v>12</v>
      </c>
      <c r="B146" s="303">
        <v>0</v>
      </c>
      <c r="C146" s="303">
        <v>1432.2396000000001</v>
      </c>
      <c r="D146" s="303">
        <v>6000</v>
      </c>
      <c r="E146" s="303">
        <v>0</v>
      </c>
      <c r="F146" s="303">
        <v>1765</v>
      </c>
      <c r="G146" s="303">
        <v>5000</v>
      </c>
      <c r="H146" s="303">
        <v>0</v>
      </c>
      <c r="I146" s="303">
        <v>535915.10609999998</v>
      </c>
      <c r="J146" s="303">
        <v>550112.34569999995</v>
      </c>
      <c r="K146" s="303">
        <v>137436.40580000001</v>
      </c>
      <c r="L146" s="303">
        <v>174163.15410000001</v>
      </c>
      <c r="M146" s="303">
        <f t="shared" si="10"/>
        <v>861711.90560000006</v>
      </c>
      <c r="N146" s="290"/>
      <c r="O146" s="284"/>
      <c r="P146" s="284"/>
      <c r="Q146" s="284"/>
      <c r="R146" s="284"/>
      <c r="S146" s="284"/>
      <c r="T146" s="284"/>
      <c r="U146" s="284"/>
      <c r="V146" s="284"/>
      <c r="W146" s="284"/>
      <c r="X146" s="284"/>
      <c r="Y146" s="284"/>
      <c r="Z146" s="284"/>
      <c r="AA146" s="284"/>
    </row>
    <row r="147" spans="1:27" ht="18" hidden="1">
      <c r="A147" s="291" t="s">
        <v>13</v>
      </c>
      <c r="B147" s="303">
        <v>1432.2396000000001</v>
      </c>
      <c r="C147" s="303">
        <v>0</v>
      </c>
      <c r="D147" s="303">
        <v>40000</v>
      </c>
      <c r="E147" s="303">
        <v>0</v>
      </c>
      <c r="F147" s="303">
        <v>0</v>
      </c>
      <c r="G147" s="303">
        <v>0</v>
      </c>
      <c r="H147" s="303">
        <v>0</v>
      </c>
      <c r="I147" s="303">
        <v>943653.03890000004</v>
      </c>
      <c r="J147" s="303">
        <v>985085.27859999996</v>
      </c>
      <c r="K147" s="303">
        <v>358059.30239999999</v>
      </c>
      <c r="L147" s="303">
        <v>485173.74489999999</v>
      </c>
      <c r="M147" s="303">
        <f t="shared" si="10"/>
        <v>1828318.3259000001</v>
      </c>
      <c r="N147" s="290"/>
      <c r="O147" s="284"/>
      <c r="P147" s="284"/>
      <c r="Q147" s="284"/>
      <c r="R147" s="284"/>
      <c r="S147" s="284"/>
      <c r="T147" s="284"/>
      <c r="U147" s="284"/>
      <c r="V147" s="284"/>
      <c r="W147" s="284"/>
      <c r="X147" s="284"/>
      <c r="Y147" s="284"/>
      <c r="Z147" s="284"/>
      <c r="AA147" s="284"/>
    </row>
    <row r="148" spans="1:27" ht="18" hidden="1">
      <c r="A148" s="291" t="s">
        <v>14</v>
      </c>
      <c r="B148" s="303">
        <v>0</v>
      </c>
      <c r="C148" s="303">
        <v>1765</v>
      </c>
      <c r="D148" s="303">
        <v>30000</v>
      </c>
      <c r="E148" s="303">
        <v>0</v>
      </c>
      <c r="F148" s="303">
        <v>111444.86</v>
      </c>
      <c r="G148" s="303">
        <v>0</v>
      </c>
      <c r="H148" s="303">
        <v>0</v>
      </c>
      <c r="I148" s="303">
        <v>1471987.5</v>
      </c>
      <c r="J148" s="303">
        <v>1615197.4</v>
      </c>
      <c r="K148" s="303">
        <v>800850.2</v>
      </c>
      <c r="L148" s="303">
        <v>785070.1</v>
      </c>
      <c r="M148" s="303">
        <f t="shared" si="10"/>
        <v>3201117.6999999997</v>
      </c>
      <c r="N148" s="290"/>
      <c r="O148" s="284"/>
      <c r="P148" s="284"/>
      <c r="Q148" s="284"/>
      <c r="R148" s="284"/>
      <c r="S148" s="284"/>
      <c r="T148" s="284"/>
      <c r="U148" s="284"/>
      <c r="V148" s="284"/>
      <c r="W148" s="284"/>
      <c r="X148" s="284"/>
      <c r="Y148" s="284"/>
      <c r="Z148" s="284"/>
      <c r="AA148" s="284"/>
    </row>
    <row r="149" spans="1:27" ht="18" hidden="1">
      <c r="A149" s="291" t="s">
        <v>15</v>
      </c>
      <c r="B149" s="303">
        <v>1765</v>
      </c>
      <c r="C149" s="303">
        <v>0</v>
      </c>
      <c r="D149" s="303">
        <v>300000</v>
      </c>
      <c r="E149" s="303">
        <v>0</v>
      </c>
      <c r="F149" s="303">
        <v>0</v>
      </c>
      <c r="G149" s="303">
        <v>0</v>
      </c>
      <c r="H149" s="303">
        <v>0</v>
      </c>
      <c r="I149" s="303">
        <v>2472796.6</v>
      </c>
      <c r="J149" s="303">
        <v>2504561.6</v>
      </c>
      <c r="K149" s="303">
        <v>1957513.8</v>
      </c>
      <c r="L149" s="303">
        <v>977118.4</v>
      </c>
      <c r="M149" s="303">
        <f t="shared" si="10"/>
        <v>5439193.8000000007</v>
      </c>
      <c r="N149" s="290"/>
      <c r="O149" s="284"/>
      <c r="P149" s="284"/>
      <c r="Q149" s="284"/>
      <c r="R149" s="284"/>
      <c r="S149" s="284"/>
      <c r="T149" s="284"/>
      <c r="U149" s="284"/>
      <c r="V149" s="284"/>
      <c r="W149" s="284"/>
      <c r="X149" s="284"/>
      <c r="Y149" s="284"/>
      <c r="Z149" s="284"/>
      <c r="AA149" s="284"/>
    </row>
    <row r="150" spans="1:27" ht="18" hidden="1">
      <c r="A150" s="291" t="s">
        <v>16</v>
      </c>
      <c r="B150" s="303">
        <v>0</v>
      </c>
      <c r="C150" s="303">
        <v>0</v>
      </c>
      <c r="D150" s="303">
        <v>0</v>
      </c>
      <c r="E150" s="303">
        <v>0</v>
      </c>
      <c r="F150" s="303">
        <v>379744.38</v>
      </c>
      <c r="G150" s="303">
        <v>0</v>
      </c>
      <c r="H150" s="303">
        <v>0</v>
      </c>
      <c r="I150" s="303">
        <v>3988642.45</v>
      </c>
      <c r="J150" s="303">
        <v>4368386.8</v>
      </c>
      <c r="K150" s="303">
        <v>2798587.65</v>
      </c>
      <c r="L150" s="303">
        <v>1005260.28</v>
      </c>
      <c r="M150" s="303">
        <f t="shared" si="10"/>
        <v>8172234.7299999995</v>
      </c>
      <c r="N150" s="290"/>
      <c r="O150" s="305"/>
      <c r="P150" s="284"/>
      <c r="Q150" s="284"/>
      <c r="R150" s="284"/>
      <c r="S150" s="284"/>
      <c r="T150" s="284"/>
      <c r="U150" s="284"/>
      <c r="V150" s="284"/>
      <c r="W150" s="284"/>
      <c r="X150" s="284"/>
      <c r="Y150" s="284"/>
      <c r="Z150" s="284"/>
      <c r="AA150" s="284"/>
    </row>
    <row r="151" spans="1:27" ht="18.600000000000001" thickTop="1">
      <c r="A151" s="291"/>
      <c r="B151" s="303"/>
      <c r="C151" s="303"/>
      <c r="D151" s="303"/>
      <c r="E151" s="303"/>
      <c r="F151" s="303"/>
      <c r="G151" s="303"/>
      <c r="H151" s="303"/>
      <c r="I151" s="303"/>
      <c r="J151" s="303"/>
      <c r="K151" s="303"/>
      <c r="L151" s="303"/>
      <c r="M151" s="303"/>
      <c r="N151" s="290"/>
      <c r="O151" s="305"/>
      <c r="P151" s="284"/>
      <c r="Q151" s="284"/>
      <c r="R151" s="284"/>
      <c r="S151" s="284"/>
      <c r="T151" s="284"/>
      <c r="U151" s="284"/>
      <c r="V151" s="284"/>
      <c r="W151" s="284"/>
      <c r="X151" s="284"/>
      <c r="Y151" s="284"/>
      <c r="Z151" s="284"/>
      <c r="AA151" s="284"/>
    </row>
    <row r="152" spans="1:27" ht="18" hidden="1">
      <c r="A152" s="304">
        <v>2008</v>
      </c>
      <c r="B152" s="303"/>
      <c r="C152" s="303"/>
      <c r="D152" s="303"/>
      <c r="E152" s="303"/>
      <c r="F152" s="303"/>
      <c r="G152" s="303"/>
      <c r="H152" s="303"/>
      <c r="I152" s="303"/>
      <c r="J152" s="303"/>
      <c r="K152" s="303"/>
      <c r="L152" s="303"/>
      <c r="M152" s="303"/>
      <c r="N152" s="290"/>
      <c r="O152" s="305"/>
      <c r="P152" s="284"/>
      <c r="Q152" s="284"/>
      <c r="R152" s="284"/>
      <c r="S152" s="284"/>
      <c r="T152" s="284"/>
      <c r="U152" s="284"/>
      <c r="V152" s="284"/>
      <c r="W152" s="284"/>
      <c r="X152" s="284"/>
      <c r="Y152" s="284"/>
      <c r="Z152" s="284"/>
      <c r="AA152" s="284"/>
    </row>
    <row r="153" spans="1:27" ht="18" hidden="1">
      <c r="A153" s="291"/>
      <c r="B153" s="303"/>
      <c r="C153" s="303"/>
      <c r="D153" s="303"/>
      <c r="E153" s="303"/>
      <c r="F153" s="303"/>
      <c r="G153" s="303"/>
      <c r="H153" s="303"/>
      <c r="I153" s="303"/>
      <c r="J153" s="303"/>
      <c r="K153" s="303"/>
      <c r="L153" s="303"/>
      <c r="M153" s="303"/>
      <c r="N153" s="290"/>
      <c r="O153" s="305"/>
      <c r="P153" s="284"/>
      <c r="Q153" s="284"/>
      <c r="R153" s="284"/>
      <c r="S153" s="284"/>
      <c r="T153" s="284"/>
      <c r="U153" s="284"/>
      <c r="V153" s="284"/>
      <c r="W153" s="284"/>
      <c r="X153" s="284"/>
      <c r="Y153" s="284"/>
      <c r="Z153" s="284"/>
      <c r="AA153" s="284"/>
    </row>
    <row r="154" spans="1:27" ht="18" hidden="1">
      <c r="A154" s="291" t="s">
        <v>8</v>
      </c>
      <c r="B154" s="303">
        <v>2.4458420000000001E-5</v>
      </c>
      <c r="C154" s="303">
        <v>6.1054269999999997E-6</v>
      </c>
      <c r="D154" s="303">
        <v>3.3590040000000005E-5</v>
      </c>
      <c r="E154" s="303">
        <v>0</v>
      </c>
      <c r="F154" s="303">
        <v>5.4E-6</v>
      </c>
      <c r="G154" s="303">
        <v>0</v>
      </c>
      <c r="H154" s="303">
        <v>0</v>
      </c>
      <c r="I154" s="303">
        <v>7.9958425999999993E-4</v>
      </c>
      <c r="J154" s="303">
        <v>8.6913815000000004E-4</v>
      </c>
      <c r="K154" s="303">
        <v>4.6895597869999996E-4</v>
      </c>
      <c r="L154" s="303">
        <v>1.7152604999999999E-4</v>
      </c>
      <c r="M154" s="303">
        <f t="shared" ref="M154:M165" si="11">((SUM(J154:L154)))</f>
        <v>1.5096201787E-3</v>
      </c>
      <c r="N154" s="290"/>
      <c r="O154" s="305"/>
      <c r="P154" s="284"/>
      <c r="Q154" s="284"/>
      <c r="R154" s="284"/>
      <c r="S154" s="284"/>
      <c r="T154" s="284"/>
      <c r="U154" s="284"/>
      <c r="V154" s="284"/>
      <c r="W154" s="284"/>
      <c r="X154" s="284"/>
      <c r="Y154" s="284"/>
      <c r="Z154" s="284"/>
      <c r="AA154" s="284"/>
    </row>
    <row r="155" spans="1:27" ht="18" hidden="1">
      <c r="A155" s="291" t="s">
        <v>9</v>
      </c>
      <c r="B155" s="303">
        <v>9.4239411179999991E-5</v>
      </c>
      <c r="C155" s="303">
        <v>3.0000000000000001E-5</v>
      </c>
      <c r="D155" s="303">
        <v>7.8272632800000011E-6</v>
      </c>
      <c r="E155" s="303">
        <v>0</v>
      </c>
      <c r="F155" s="303">
        <v>1.1049999999999999E-5</v>
      </c>
      <c r="G155" s="303">
        <v>0</v>
      </c>
      <c r="H155" s="303">
        <v>0</v>
      </c>
      <c r="I155" s="303">
        <v>1.0538009101700001E-3</v>
      </c>
      <c r="J155" s="303">
        <v>1.19691758463E-3</v>
      </c>
      <c r="K155" s="303">
        <v>5.7799535791999994E-4</v>
      </c>
      <c r="L155" s="303">
        <v>2.9340670160999999E-4</v>
      </c>
      <c r="M155" s="303">
        <f t="shared" si="11"/>
        <v>2.06831964416E-3</v>
      </c>
      <c r="N155" s="290"/>
      <c r="O155" s="305"/>
      <c r="P155" s="284"/>
      <c r="Q155" s="284"/>
      <c r="R155" s="284"/>
      <c r="S155" s="284"/>
      <c r="T155" s="284"/>
      <c r="U155" s="284"/>
      <c r="V155" s="284"/>
      <c r="W155" s="284"/>
      <c r="X155" s="284"/>
      <c r="Y155" s="284"/>
      <c r="Z155" s="284"/>
      <c r="AA155" s="284"/>
    </row>
    <row r="156" spans="1:27" ht="18" hidden="1">
      <c r="A156" s="291" t="s">
        <v>10</v>
      </c>
      <c r="B156" s="303">
        <v>8.0128067229999989E-2</v>
      </c>
      <c r="C156" s="303">
        <v>0.05</v>
      </c>
      <c r="D156" s="303">
        <v>2.5000000000000001E-3</v>
      </c>
      <c r="E156" s="303">
        <v>0</v>
      </c>
      <c r="F156" s="303">
        <v>3.0020000000000002E-2</v>
      </c>
      <c r="G156" s="303">
        <v>0</v>
      </c>
      <c r="H156" s="303">
        <v>0</v>
      </c>
      <c r="I156" s="303">
        <v>1.9828866101</v>
      </c>
      <c r="J156" s="303">
        <v>2.1455346773300001</v>
      </c>
      <c r="K156" s="303">
        <v>0.88870549065000004</v>
      </c>
      <c r="L156" s="303">
        <v>0.49618152936999999</v>
      </c>
      <c r="M156" s="303">
        <f t="shared" si="11"/>
        <v>3.53042169735</v>
      </c>
      <c r="N156" s="290"/>
      <c r="O156" s="305"/>
      <c r="P156" s="284"/>
      <c r="Q156" s="284"/>
      <c r="R156" s="284"/>
      <c r="S156" s="284"/>
      <c r="T156" s="284"/>
      <c r="U156" s="284"/>
      <c r="V156" s="284"/>
      <c r="W156" s="284"/>
      <c r="X156" s="284"/>
      <c r="Y156" s="284"/>
      <c r="Z156" s="284"/>
      <c r="AA156" s="284"/>
    </row>
    <row r="157" spans="1:27" ht="18" hidden="1">
      <c r="A157" s="291" t="s">
        <v>11</v>
      </c>
      <c r="B157" s="303">
        <v>0.76500660569250001</v>
      </c>
      <c r="C157" s="303">
        <v>0</v>
      </c>
      <c r="D157" s="303">
        <v>0</v>
      </c>
      <c r="E157" s="303">
        <v>0</v>
      </c>
      <c r="F157" s="303">
        <v>1.4515800000000001E-2</v>
      </c>
      <c r="G157" s="303">
        <v>0</v>
      </c>
      <c r="H157" s="303">
        <v>0</v>
      </c>
      <c r="I157" s="303">
        <v>13.23265512186374</v>
      </c>
      <c r="J157" s="303">
        <v>14.012177527556242</v>
      </c>
      <c r="K157" s="303">
        <v>5.3886051951781999</v>
      </c>
      <c r="L157" s="303">
        <v>3.6998095435117979</v>
      </c>
      <c r="M157" s="303">
        <f t="shared" si="11"/>
        <v>23.100592266246238</v>
      </c>
      <c r="N157" s="290"/>
      <c r="O157" s="305"/>
      <c r="P157" s="284"/>
      <c r="Q157" s="284"/>
      <c r="R157" s="284"/>
      <c r="S157" s="284"/>
      <c r="T157" s="284"/>
      <c r="U157" s="284"/>
      <c r="V157" s="284"/>
      <c r="W157" s="284"/>
      <c r="X157" s="284"/>
      <c r="Y157" s="284"/>
      <c r="Z157" s="284"/>
      <c r="AA157" s="284"/>
    </row>
    <row r="158" spans="1:27" ht="18" hidden="1">
      <c r="A158" s="291" t="s">
        <v>337</v>
      </c>
      <c r="B158" s="303">
        <v>1.0235015884743</v>
      </c>
      <c r="C158" s="303">
        <v>0</v>
      </c>
      <c r="D158" s="303">
        <v>0</v>
      </c>
      <c r="E158" s="303">
        <v>0</v>
      </c>
      <c r="F158" s="303">
        <v>0</v>
      </c>
      <c r="G158" s="303">
        <v>0</v>
      </c>
      <c r="H158" s="303">
        <v>0</v>
      </c>
      <c r="I158" s="303">
        <v>36.254822248912987</v>
      </c>
      <c r="J158" s="303">
        <v>37.278323837387283</v>
      </c>
      <c r="K158" s="303">
        <v>10.432676968258519</v>
      </c>
      <c r="L158" s="303">
        <v>12.388892574939337</v>
      </c>
      <c r="M158" s="303">
        <f t="shared" si="11"/>
        <v>60.099893380585144</v>
      </c>
      <c r="N158" s="290"/>
      <c r="O158" s="305"/>
      <c r="P158" s="284"/>
      <c r="Q158" s="284"/>
      <c r="R158" s="284"/>
      <c r="S158" s="284"/>
      <c r="T158" s="284"/>
      <c r="U158" s="284"/>
      <c r="V158" s="284"/>
      <c r="W158" s="284"/>
      <c r="X158" s="284"/>
      <c r="Y158" s="284"/>
      <c r="Z158" s="284"/>
      <c r="AA158" s="284"/>
    </row>
    <row r="159" spans="1:27" ht="18" hidden="1">
      <c r="A159" s="291" t="s">
        <v>346</v>
      </c>
      <c r="B159" s="303">
        <v>0.79096358779910003</v>
      </c>
      <c r="C159" s="303">
        <v>0</v>
      </c>
      <c r="D159" s="303">
        <v>0</v>
      </c>
      <c r="E159" s="303">
        <v>0</v>
      </c>
      <c r="F159" s="303">
        <v>65.304703500000002</v>
      </c>
      <c r="G159" s="303">
        <v>0</v>
      </c>
      <c r="H159" s="303">
        <v>0</v>
      </c>
      <c r="I159" s="303">
        <v>1670.7294071002468</v>
      </c>
      <c r="J159" s="303">
        <v>1736.8250741880458</v>
      </c>
      <c r="K159" s="303">
        <v>1487.161601705822</v>
      </c>
      <c r="L159" s="303">
        <v>573.76295124364299</v>
      </c>
      <c r="M159" s="303">
        <f t="shared" si="11"/>
        <v>3797.7496271375107</v>
      </c>
      <c r="N159" s="290"/>
      <c r="O159" s="305"/>
      <c r="P159" s="284"/>
      <c r="Q159" s="284"/>
      <c r="R159" s="284"/>
      <c r="S159" s="284"/>
      <c r="T159" s="284"/>
      <c r="U159" s="284"/>
      <c r="V159" s="284"/>
      <c r="W159" s="284"/>
      <c r="X159" s="284"/>
      <c r="Y159" s="284"/>
      <c r="Z159" s="284"/>
      <c r="AA159" s="284"/>
    </row>
    <row r="160" spans="1:27" ht="18" hidden="1">
      <c r="A160" s="291" t="s">
        <v>347</v>
      </c>
      <c r="B160" s="303">
        <v>1494.9557011342656</v>
      </c>
      <c r="C160" s="303">
        <v>0</v>
      </c>
      <c r="D160" s="303">
        <v>400</v>
      </c>
      <c r="E160" s="303">
        <v>0</v>
      </c>
      <c r="F160" s="303">
        <v>0</v>
      </c>
      <c r="G160" s="303">
        <v>173.3647</v>
      </c>
      <c r="H160" s="303">
        <v>0</v>
      </c>
      <c r="I160" s="303">
        <v>15825.087484123453</v>
      </c>
      <c r="J160" s="303">
        <v>17893.407885257719</v>
      </c>
      <c r="K160" s="303">
        <v>3314.4315565998568</v>
      </c>
      <c r="L160" s="303">
        <v>2536.9534917313185</v>
      </c>
      <c r="M160" s="303">
        <f t="shared" si="11"/>
        <v>23744.792933588895</v>
      </c>
      <c r="N160" s="290"/>
      <c r="O160" s="305"/>
      <c r="P160" s="284"/>
      <c r="Q160" s="284"/>
      <c r="R160" s="284"/>
      <c r="S160" s="284"/>
      <c r="T160" s="284"/>
      <c r="U160" s="284"/>
      <c r="V160" s="284"/>
      <c r="W160" s="284"/>
      <c r="X160" s="284"/>
      <c r="Y160" s="284"/>
      <c r="Z160" s="284"/>
      <c r="AA160" s="284"/>
    </row>
    <row r="161" spans="1:27" ht="18" hidden="1">
      <c r="A161" s="291" t="s">
        <v>12</v>
      </c>
      <c r="B161" s="303">
        <v>11615</v>
      </c>
      <c r="C161" s="303">
        <v>0</v>
      </c>
      <c r="D161" s="303">
        <v>0</v>
      </c>
      <c r="E161" s="303">
        <v>0</v>
      </c>
      <c r="F161" s="303">
        <v>0</v>
      </c>
      <c r="G161" s="303">
        <v>0</v>
      </c>
      <c r="H161" s="303">
        <v>0</v>
      </c>
      <c r="I161" s="303">
        <v>178584.68608000001</v>
      </c>
      <c r="J161" s="303">
        <v>190199.7</v>
      </c>
      <c r="K161" s="303">
        <v>317704.07900000003</v>
      </c>
      <c r="L161" s="303">
        <v>48415.7</v>
      </c>
      <c r="M161" s="303">
        <f t="shared" si="11"/>
        <v>556319.47900000005</v>
      </c>
      <c r="N161" s="290"/>
      <c r="O161" s="305"/>
      <c r="P161" s="284"/>
      <c r="Q161" s="284"/>
      <c r="R161" s="284"/>
      <c r="S161" s="284"/>
      <c r="T161" s="284"/>
      <c r="U161" s="284"/>
      <c r="V161" s="284"/>
      <c r="W161" s="284"/>
      <c r="X161" s="284"/>
      <c r="Y161" s="284"/>
      <c r="Z161" s="284"/>
      <c r="AA161" s="284"/>
    </row>
    <row r="162" spans="1:27" ht="18" hidden="1">
      <c r="A162" s="291" t="s">
        <v>13</v>
      </c>
      <c r="B162" s="303">
        <v>109607</v>
      </c>
      <c r="C162" s="303">
        <v>0</v>
      </c>
      <c r="D162" s="303">
        <v>0</v>
      </c>
      <c r="E162" s="303">
        <v>0</v>
      </c>
      <c r="F162" s="303">
        <v>0</v>
      </c>
      <c r="G162" s="303">
        <v>0</v>
      </c>
      <c r="H162" s="303">
        <v>0</v>
      </c>
      <c r="I162" s="303">
        <v>56865221.582000002</v>
      </c>
      <c r="J162" s="303">
        <v>56974828.600000001</v>
      </c>
      <c r="K162" s="303">
        <v>260907068.419</v>
      </c>
      <c r="L162" s="303">
        <v>15705792.699999999</v>
      </c>
      <c r="M162" s="303">
        <f t="shared" si="11"/>
        <v>333587689.71899998</v>
      </c>
      <c r="N162" s="290"/>
      <c r="O162" s="305"/>
      <c r="P162" s="284"/>
      <c r="Q162" s="284"/>
      <c r="R162" s="284"/>
      <c r="S162" s="284"/>
      <c r="T162" s="284"/>
      <c r="U162" s="284"/>
      <c r="V162" s="284"/>
      <c r="W162" s="284"/>
      <c r="X162" s="284"/>
      <c r="Y162" s="284"/>
      <c r="Z162" s="284"/>
      <c r="AA162" s="284"/>
    </row>
    <row r="163" spans="1:27" ht="18" hidden="1">
      <c r="A163" s="291" t="s">
        <v>14</v>
      </c>
      <c r="B163" s="303">
        <v>1775947760</v>
      </c>
      <c r="C163" s="303">
        <v>0</v>
      </c>
      <c r="D163" s="303">
        <v>0</v>
      </c>
      <c r="E163" s="303">
        <v>0</v>
      </c>
      <c r="F163" s="303">
        <v>0</v>
      </c>
      <c r="G163" s="303">
        <v>0</v>
      </c>
      <c r="H163" s="303">
        <v>0</v>
      </c>
      <c r="I163" s="303">
        <v>950753839552</v>
      </c>
      <c r="J163" s="303">
        <v>952529787312</v>
      </c>
      <c r="K163" s="303">
        <v>54556603696.300003</v>
      </c>
      <c r="L163" s="303">
        <v>164063251745</v>
      </c>
      <c r="M163" s="303">
        <f t="shared" si="11"/>
        <v>1171149642753.3</v>
      </c>
      <c r="N163" s="290"/>
      <c r="O163" s="305"/>
      <c r="P163" s="284"/>
      <c r="Q163" s="284"/>
      <c r="R163" s="284"/>
      <c r="S163" s="284"/>
      <c r="T163" s="284"/>
      <c r="U163" s="284"/>
      <c r="V163" s="284"/>
      <c r="W163" s="284"/>
      <c r="X163" s="284"/>
      <c r="Y163" s="284"/>
      <c r="Z163" s="284"/>
      <c r="AA163" s="284"/>
    </row>
    <row r="164" spans="1:27" ht="18" hidden="1">
      <c r="A164" s="291" t="s">
        <v>15</v>
      </c>
      <c r="B164" s="303">
        <v>1000000000020000</v>
      </c>
      <c r="C164" s="303">
        <v>0</v>
      </c>
      <c r="D164" s="303">
        <v>469093782510000</v>
      </c>
      <c r="E164" s="303">
        <v>0</v>
      </c>
      <c r="F164" s="303">
        <v>0</v>
      </c>
      <c r="G164" s="303">
        <v>0</v>
      </c>
      <c r="H164" s="303">
        <v>0</v>
      </c>
      <c r="I164" s="303">
        <v>5.43332241663312E+17</v>
      </c>
      <c r="J164" s="303">
        <v>5.4480133544584198E+17</v>
      </c>
      <c r="K164" s="303">
        <v>2.1803700387527101E+17</v>
      </c>
      <c r="L164" s="303">
        <v>1.03366273186332E+17</v>
      </c>
      <c r="M164" s="303">
        <f t="shared" si="11"/>
        <v>8.6620461250744499E+17</v>
      </c>
      <c r="N164" s="290"/>
      <c r="O164" s="305"/>
      <c r="P164" s="284"/>
      <c r="Q164" s="284"/>
      <c r="R164" s="284"/>
      <c r="S164" s="284"/>
      <c r="T164" s="284"/>
      <c r="U164" s="284"/>
      <c r="V164" s="284"/>
      <c r="W164" s="284"/>
      <c r="X164" s="284"/>
      <c r="Y164" s="284"/>
      <c r="Z164" s="284"/>
      <c r="AA164" s="284"/>
    </row>
    <row r="165" spans="1:27" ht="18" hidden="1">
      <c r="A165" s="291" t="s">
        <v>16</v>
      </c>
      <c r="B165" s="303">
        <v>0</v>
      </c>
      <c r="C165" s="303">
        <v>0</v>
      </c>
      <c r="D165" s="303">
        <v>0</v>
      </c>
      <c r="E165" s="303">
        <v>0</v>
      </c>
      <c r="F165" s="303">
        <v>0</v>
      </c>
      <c r="G165" s="303">
        <v>0</v>
      </c>
      <c r="H165" s="303">
        <v>0</v>
      </c>
      <c r="I165" s="303">
        <v>3.28684808148034E+18</v>
      </c>
      <c r="J165" s="303">
        <v>3.28684808148034E+18</v>
      </c>
      <c r="K165" s="303">
        <v>1.9237715623132401E+18</v>
      </c>
      <c r="L165" s="303">
        <v>6.9885807409721395E+17</v>
      </c>
      <c r="M165" s="303">
        <f t="shared" si="11"/>
        <v>5.9094777178907935E+18</v>
      </c>
      <c r="N165" s="290"/>
      <c r="O165" s="305"/>
      <c r="P165" s="284"/>
      <c r="Q165" s="284"/>
      <c r="R165" s="284"/>
      <c r="S165" s="284"/>
      <c r="T165" s="284"/>
      <c r="U165" s="284"/>
      <c r="V165" s="284"/>
      <c r="W165" s="284"/>
      <c r="X165" s="284"/>
      <c r="Y165" s="284"/>
      <c r="Z165" s="284"/>
      <c r="AA165" s="284"/>
    </row>
    <row r="166" spans="1:27" ht="16.95" hidden="1" customHeight="1" thickBot="1">
      <c r="A166" s="306"/>
      <c r="B166" s="307"/>
      <c r="C166" s="307"/>
      <c r="D166" s="307"/>
      <c r="E166" s="307"/>
      <c r="F166" s="308"/>
      <c r="G166" s="308"/>
      <c r="H166" s="308"/>
      <c r="I166" s="308"/>
      <c r="J166" s="308"/>
      <c r="K166" s="308"/>
      <c r="L166" s="308"/>
      <c r="M166" s="308"/>
      <c r="N166" s="284"/>
      <c r="O166" s="284"/>
      <c r="P166" s="309"/>
      <c r="Q166" s="309"/>
      <c r="R166" s="309"/>
      <c r="S166" s="309"/>
      <c r="T166" s="309"/>
      <c r="U166" s="309"/>
      <c r="V166" s="309"/>
      <c r="W166" s="309"/>
      <c r="X166" s="309"/>
      <c r="Y166" s="309"/>
      <c r="Z166" s="309"/>
      <c r="AA166" s="309"/>
    </row>
    <row r="167" spans="1:27" ht="21.75" hidden="1" customHeight="1" thickTop="1">
      <c r="A167" s="287"/>
      <c r="B167" s="287"/>
      <c r="C167" s="310"/>
      <c r="D167" s="287"/>
      <c r="E167" s="287"/>
      <c r="F167" s="287"/>
      <c r="G167" s="287"/>
      <c r="H167" s="287"/>
      <c r="I167" s="287"/>
      <c r="J167" s="287"/>
      <c r="K167" s="287"/>
      <c r="L167" s="287"/>
      <c r="M167" s="287"/>
      <c r="N167" s="284"/>
      <c r="O167" s="284"/>
      <c r="P167" s="284"/>
      <c r="Q167" s="284"/>
      <c r="R167" s="284"/>
      <c r="S167" s="284"/>
      <c r="T167" s="284"/>
      <c r="U167" s="284"/>
      <c r="V167" s="284"/>
      <c r="W167" s="284"/>
      <c r="X167" s="284"/>
      <c r="Y167" s="284"/>
      <c r="Z167" s="284"/>
      <c r="AA167" s="284"/>
    </row>
    <row r="168" spans="1:27" ht="21.75" hidden="1" customHeight="1">
      <c r="N168" s="284"/>
      <c r="O168" s="284"/>
      <c r="P168" s="284"/>
      <c r="Q168" s="284"/>
      <c r="R168" s="284"/>
      <c r="S168" s="284"/>
      <c r="T168" s="284"/>
      <c r="U168" s="284"/>
      <c r="V168" s="284"/>
      <c r="W168" s="284"/>
      <c r="X168" s="284"/>
      <c r="Y168" s="284"/>
      <c r="Z168" s="284"/>
      <c r="AA168" s="284"/>
    </row>
    <row r="169" spans="1:27" ht="16.95" hidden="1" customHeight="1">
      <c r="N169" s="284"/>
      <c r="O169" s="284"/>
      <c r="P169" s="284"/>
      <c r="Q169" s="284"/>
      <c r="R169" s="284"/>
      <c r="S169" s="284"/>
      <c r="T169" s="284"/>
      <c r="U169" s="284"/>
      <c r="V169" s="284"/>
      <c r="W169" s="284"/>
      <c r="X169" s="284"/>
      <c r="Y169" s="284"/>
      <c r="Z169" s="284"/>
      <c r="AA169" s="284"/>
    </row>
    <row r="170" spans="1:27" ht="24" hidden="1" customHeight="1">
      <c r="A170" s="286" t="s">
        <v>1009</v>
      </c>
      <c r="B170" s="287"/>
      <c r="C170" s="287"/>
      <c r="D170" s="287"/>
      <c r="E170" s="287"/>
      <c r="F170" s="287"/>
      <c r="G170" s="287"/>
      <c r="H170" s="287"/>
      <c r="I170" s="287"/>
      <c r="J170" s="287"/>
      <c r="K170" s="287"/>
      <c r="L170" s="287"/>
      <c r="M170" s="287"/>
      <c r="N170" s="284"/>
      <c r="O170" s="284"/>
      <c r="P170" s="284"/>
      <c r="Q170" s="284"/>
      <c r="R170" s="284"/>
      <c r="S170" s="284"/>
      <c r="T170" s="284"/>
      <c r="U170" s="284"/>
      <c r="V170" s="284"/>
      <c r="W170" s="284"/>
      <c r="X170" s="284"/>
      <c r="Y170" s="284"/>
      <c r="Z170" s="284"/>
      <c r="AA170" s="284"/>
    </row>
    <row r="171" spans="1:27" ht="16.95" hidden="1" customHeight="1">
      <c r="A171" s="286"/>
      <c r="B171" s="287"/>
      <c r="C171" s="287"/>
      <c r="D171" s="287"/>
      <c r="E171" s="287"/>
      <c r="F171" s="287"/>
      <c r="G171" s="287"/>
      <c r="H171" s="287"/>
      <c r="I171" s="287"/>
      <c r="J171" s="287"/>
      <c r="K171" s="287"/>
      <c r="L171" s="287"/>
      <c r="M171" s="287"/>
      <c r="N171" s="284"/>
      <c r="O171" s="284"/>
      <c r="P171" s="284"/>
      <c r="Q171" s="284"/>
      <c r="R171" s="284"/>
      <c r="S171" s="284"/>
      <c r="T171" s="284"/>
      <c r="U171" s="284"/>
      <c r="V171" s="284"/>
      <c r="W171" s="284"/>
      <c r="X171" s="284"/>
      <c r="Y171" s="284"/>
      <c r="Z171" s="284"/>
      <c r="AA171" s="284"/>
    </row>
    <row r="172" spans="1:27" ht="22.5" hidden="1" customHeight="1">
      <c r="A172" s="293"/>
      <c r="B172" s="293"/>
      <c r="C172" s="311" t="s">
        <v>1018</v>
      </c>
      <c r="D172" s="293"/>
      <c r="E172" s="293"/>
      <c r="F172" s="312"/>
      <c r="G172" s="293"/>
      <c r="H172" s="293"/>
      <c r="I172" s="293"/>
      <c r="J172" s="293"/>
      <c r="K172" s="293"/>
      <c r="L172" s="293"/>
      <c r="M172" s="293"/>
      <c r="N172" s="284"/>
      <c r="O172" s="284"/>
      <c r="P172" s="284"/>
      <c r="Q172" s="284"/>
      <c r="R172" s="284"/>
      <c r="S172" s="284"/>
      <c r="T172" s="284"/>
      <c r="U172" s="284"/>
      <c r="V172" s="284"/>
      <c r="W172" s="284"/>
      <c r="X172" s="284"/>
      <c r="Y172" s="284"/>
      <c r="Z172" s="284"/>
      <c r="AA172" s="284"/>
    </row>
    <row r="173" spans="1:27" ht="16.95" hidden="1" customHeight="1" thickBot="1">
      <c r="A173" s="287"/>
      <c r="B173" s="287"/>
      <c r="C173" s="287"/>
      <c r="D173" s="287"/>
      <c r="E173" s="287"/>
      <c r="F173" s="287"/>
      <c r="G173" s="287"/>
      <c r="H173" s="287"/>
      <c r="I173" s="287"/>
      <c r="J173" s="287"/>
      <c r="K173" s="287"/>
      <c r="L173" s="287"/>
      <c r="M173" s="287"/>
      <c r="N173" s="284"/>
      <c r="O173" s="284"/>
      <c r="P173" s="284"/>
      <c r="Q173" s="284"/>
      <c r="R173" s="284"/>
      <c r="S173" s="284"/>
      <c r="T173" s="284"/>
      <c r="U173" s="284"/>
      <c r="V173" s="284"/>
      <c r="W173" s="284"/>
      <c r="X173" s="284"/>
      <c r="Y173" s="284"/>
      <c r="Z173" s="284"/>
      <c r="AA173" s="284"/>
    </row>
    <row r="174" spans="1:27" ht="16.95" hidden="1" customHeight="1" thickTop="1">
      <c r="A174" s="288"/>
      <c r="B174" s="289"/>
      <c r="C174" s="289"/>
      <c r="D174" s="289"/>
      <c r="E174" s="289"/>
      <c r="F174" s="289"/>
      <c r="G174" s="289"/>
      <c r="H174" s="289"/>
      <c r="I174" s="289"/>
      <c r="J174" s="289"/>
      <c r="K174" s="288"/>
      <c r="L174" s="288"/>
      <c r="M174" s="288"/>
      <c r="N174" s="290"/>
      <c r="O174" s="284"/>
      <c r="P174" s="284"/>
      <c r="Q174" s="284"/>
      <c r="R174" s="284"/>
      <c r="S174" s="284"/>
      <c r="T174" s="284"/>
      <c r="U174" s="284"/>
      <c r="V174" s="284"/>
      <c r="W174" s="284"/>
      <c r="X174" s="284"/>
      <c r="Y174" s="284"/>
      <c r="Z174" s="284"/>
      <c r="AA174" s="284"/>
    </row>
    <row r="175" spans="1:27" ht="20.25" hidden="1" customHeight="1">
      <c r="A175" s="291"/>
      <c r="B175" s="1899" t="s">
        <v>1010</v>
      </c>
      <c r="C175" s="1900"/>
      <c r="D175" s="1900"/>
      <c r="E175" s="1900"/>
      <c r="F175" s="1900"/>
      <c r="G175" s="1900"/>
      <c r="H175" s="1900"/>
      <c r="I175" s="1900"/>
      <c r="J175" s="1901"/>
      <c r="K175" s="291"/>
      <c r="L175" s="291"/>
      <c r="M175" s="291"/>
      <c r="N175" s="290"/>
      <c r="O175" s="284"/>
      <c r="P175" s="284"/>
      <c r="Q175" s="284"/>
      <c r="R175" s="284"/>
      <c r="S175" s="284"/>
      <c r="T175" s="284"/>
      <c r="U175" s="284"/>
      <c r="V175" s="284"/>
      <c r="W175" s="284"/>
      <c r="X175" s="284"/>
      <c r="Y175" s="284"/>
      <c r="Z175" s="284"/>
      <c r="AA175" s="284"/>
    </row>
    <row r="176" spans="1:27" ht="21.75" hidden="1" customHeight="1" thickBot="1">
      <c r="A176" s="292" t="s">
        <v>32</v>
      </c>
      <c r="B176" s="293"/>
      <c r="C176" s="293"/>
      <c r="D176" s="293"/>
      <c r="E176" s="293"/>
      <c r="F176" s="293"/>
      <c r="G176" s="293"/>
      <c r="H176" s="293"/>
      <c r="I176" s="293"/>
      <c r="J176" s="293"/>
      <c r="K176" s="292" t="s">
        <v>39</v>
      </c>
      <c r="L176" s="292" t="s">
        <v>31</v>
      </c>
      <c r="M176" s="292" t="s">
        <v>287</v>
      </c>
      <c r="N176" s="290"/>
      <c r="O176" s="284"/>
      <c r="P176" s="284"/>
      <c r="Q176" s="284"/>
      <c r="R176" s="284"/>
      <c r="S176" s="284"/>
      <c r="T176" s="284"/>
      <c r="U176" s="284"/>
      <c r="V176" s="284"/>
      <c r="W176" s="284"/>
      <c r="X176" s="284"/>
      <c r="Y176" s="284"/>
      <c r="Z176" s="284"/>
      <c r="AA176" s="284"/>
    </row>
    <row r="177" spans="1:27" ht="16.95" hidden="1" customHeight="1" thickTop="1">
      <c r="A177" s="292"/>
      <c r="B177" s="294"/>
      <c r="C177" s="288"/>
      <c r="D177" s="288"/>
      <c r="E177" s="288"/>
      <c r="F177" s="288"/>
      <c r="G177" s="288"/>
      <c r="H177" s="288"/>
      <c r="I177" s="288"/>
      <c r="J177" s="295"/>
      <c r="K177" s="292"/>
      <c r="L177" s="292"/>
      <c r="M177" s="292"/>
      <c r="N177" s="290"/>
      <c r="O177" s="284"/>
      <c r="P177" s="284"/>
      <c r="Q177" s="284"/>
      <c r="R177" s="284"/>
      <c r="S177" s="284"/>
      <c r="T177" s="284"/>
      <c r="U177" s="284"/>
      <c r="V177" s="284"/>
      <c r="W177" s="284"/>
      <c r="X177" s="284"/>
      <c r="Y177" s="284"/>
      <c r="Z177" s="284"/>
      <c r="AA177" s="284"/>
    </row>
    <row r="178" spans="1:27" ht="21.75" hidden="1" customHeight="1">
      <c r="A178" s="291"/>
      <c r="B178" s="292" t="s">
        <v>1011</v>
      </c>
      <c r="C178" s="292" t="s">
        <v>1012</v>
      </c>
      <c r="D178" s="292" t="s">
        <v>65</v>
      </c>
      <c r="E178" s="292" t="s">
        <v>1013</v>
      </c>
      <c r="F178" s="292" t="s">
        <v>66</v>
      </c>
      <c r="G178" s="292" t="s">
        <v>1014</v>
      </c>
      <c r="H178" s="292" t="s">
        <v>1015</v>
      </c>
      <c r="I178" s="292" t="s">
        <v>1016</v>
      </c>
      <c r="J178" s="296" t="s">
        <v>37</v>
      </c>
      <c r="K178" s="292" t="s">
        <v>766</v>
      </c>
      <c r="L178" s="291"/>
      <c r="M178" s="291"/>
      <c r="N178" s="290"/>
      <c r="O178" s="284"/>
      <c r="P178" s="284"/>
      <c r="Q178" s="284"/>
      <c r="R178" s="284"/>
      <c r="S178" s="284"/>
      <c r="T178" s="284"/>
      <c r="U178" s="284"/>
      <c r="V178" s="284"/>
      <c r="W178" s="284"/>
      <c r="X178" s="284"/>
      <c r="Y178" s="284"/>
      <c r="Z178" s="284"/>
      <c r="AA178" s="284"/>
    </row>
    <row r="179" spans="1:27" ht="24" hidden="1" customHeight="1">
      <c r="A179" s="291"/>
      <c r="B179" s="292" t="s">
        <v>67</v>
      </c>
      <c r="C179" s="292" t="s">
        <v>68</v>
      </c>
      <c r="D179" s="292" t="s">
        <v>68</v>
      </c>
      <c r="E179" s="292" t="s">
        <v>68</v>
      </c>
      <c r="F179" s="292" t="s">
        <v>69</v>
      </c>
      <c r="G179" s="292" t="s">
        <v>296</v>
      </c>
      <c r="H179" s="292" t="s">
        <v>70</v>
      </c>
      <c r="I179" s="292" t="s">
        <v>1017</v>
      </c>
      <c r="J179" s="292"/>
      <c r="K179" s="292" t="s">
        <v>1008</v>
      </c>
      <c r="L179" s="291"/>
      <c r="M179" s="291"/>
      <c r="N179" s="290"/>
      <c r="O179" s="284"/>
      <c r="P179" s="284"/>
      <c r="Q179" s="284"/>
      <c r="R179" s="284"/>
      <c r="S179" s="284"/>
      <c r="T179" s="284"/>
      <c r="U179" s="284"/>
      <c r="V179" s="284"/>
      <c r="W179" s="284"/>
      <c r="X179" s="284"/>
      <c r="Y179" s="284"/>
      <c r="Z179" s="284"/>
      <c r="AA179" s="284"/>
    </row>
    <row r="180" spans="1:27" ht="16.95" hidden="1" customHeight="1" thickBot="1">
      <c r="A180" s="297"/>
      <c r="B180" s="298"/>
      <c r="C180" s="298"/>
      <c r="D180" s="298"/>
      <c r="E180" s="298"/>
      <c r="F180" s="298"/>
      <c r="G180" s="298"/>
      <c r="H180" s="298"/>
      <c r="I180" s="298"/>
      <c r="J180" s="297"/>
      <c r="K180" s="298"/>
      <c r="L180" s="297"/>
      <c r="M180" s="297"/>
      <c r="N180" s="290"/>
      <c r="O180" s="284"/>
      <c r="P180" s="284"/>
      <c r="Q180" s="284"/>
      <c r="R180" s="284"/>
      <c r="S180" s="284"/>
      <c r="T180" s="284"/>
      <c r="U180" s="284"/>
      <c r="V180" s="284"/>
      <c r="W180" s="284"/>
      <c r="X180" s="284"/>
      <c r="Y180" s="284"/>
      <c r="Z180" s="284"/>
      <c r="AA180" s="284"/>
    </row>
    <row r="181" spans="1:27" ht="16.95" hidden="1" customHeight="1" thickTop="1">
      <c r="A181" s="299"/>
      <c r="B181" s="300"/>
      <c r="C181" s="300"/>
      <c r="D181" s="300"/>
      <c r="E181" s="300"/>
      <c r="F181" s="300"/>
      <c r="G181" s="300"/>
      <c r="H181" s="300"/>
      <c r="I181" s="300"/>
      <c r="J181" s="301"/>
      <c r="K181" s="300"/>
      <c r="L181" s="301"/>
      <c r="M181" s="301"/>
      <c r="N181" s="290"/>
      <c r="O181" s="284"/>
      <c r="P181" s="284"/>
      <c r="Q181" s="284"/>
      <c r="R181" s="284"/>
      <c r="S181" s="284"/>
      <c r="T181" s="284"/>
      <c r="U181" s="284"/>
      <c r="V181" s="284"/>
      <c r="W181" s="284"/>
      <c r="X181" s="284"/>
      <c r="Y181" s="284"/>
      <c r="Z181" s="284"/>
      <c r="AA181" s="284"/>
    </row>
    <row r="182" spans="1:27" ht="12.75" hidden="1" customHeight="1">
      <c r="A182" s="299">
        <v>1999</v>
      </c>
      <c r="B182" s="292"/>
      <c r="C182" s="292"/>
      <c r="D182" s="292"/>
      <c r="E182" s="292"/>
      <c r="F182" s="292"/>
      <c r="G182" s="292"/>
      <c r="H182" s="292"/>
      <c r="I182" s="292"/>
      <c r="J182" s="291"/>
      <c r="K182" s="292"/>
      <c r="L182" s="291"/>
      <c r="M182" s="291"/>
      <c r="N182" s="290"/>
      <c r="O182" s="284"/>
      <c r="P182" s="284"/>
      <c r="Q182" s="284"/>
      <c r="R182" s="284"/>
      <c r="S182" s="284"/>
      <c r="T182" s="284"/>
      <c r="U182" s="284"/>
      <c r="V182" s="284"/>
      <c r="W182" s="284"/>
      <c r="X182" s="284"/>
      <c r="Y182" s="284"/>
      <c r="Z182" s="284"/>
      <c r="AA182" s="284"/>
    </row>
    <row r="183" spans="1:27" ht="12.75" hidden="1" customHeight="1">
      <c r="A183" s="302"/>
      <c r="B183" s="302"/>
      <c r="C183" s="302"/>
      <c r="D183" s="302"/>
      <c r="E183" s="302"/>
      <c r="F183" s="302"/>
      <c r="G183" s="302"/>
      <c r="H183" s="302"/>
      <c r="I183" s="302"/>
      <c r="J183" s="302"/>
      <c r="K183" s="302"/>
      <c r="L183" s="302"/>
      <c r="M183" s="302"/>
      <c r="N183" s="290"/>
      <c r="O183" s="284"/>
      <c r="P183" s="284"/>
      <c r="Q183" s="284"/>
      <c r="R183" s="284"/>
      <c r="S183" s="284"/>
      <c r="T183" s="284"/>
      <c r="U183" s="284"/>
      <c r="V183" s="284"/>
      <c r="W183" s="284"/>
      <c r="X183" s="284"/>
      <c r="Y183" s="284"/>
      <c r="Z183" s="284"/>
      <c r="AA183" s="284"/>
    </row>
    <row r="184" spans="1:27" ht="12.75" hidden="1" customHeight="1">
      <c r="A184" s="291" t="s">
        <v>8</v>
      </c>
      <c r="B184" s="303">
        <v>0.02</v>
      </c>
      <c r="C184" s="303">
        <v>0.245</v>
      </c>
      <c r="D184" s="303">
        <v>8.8000000000000005E-3</v>
      </c>
      <c r="E184" s="303">
        <v>6.9000000000000006E-2</v>
      </c>
      <c r="F184" s="303">
        <v>0.34849999999999998</v>
      </c>
      <c r="G184" s="303">
        <v>1.6399999999999998E-2</v>
      </c>
      <c r="H184" s="303">
        <v>0.11</v>
      </c>
      <c r="I184" s="303">
        <v>1.409135</v>
      </c>
      <c r="J184" s="303">
        <v>2.2268349999999999</v>
      </c>
      <c r="K184" s="303">
        <v>0.45250599999999996</v>
      </c>
      <c r="L184" s="303">
        <v>0.44819700000000012</v>
      </c>
      <c r="M184" s="303">
        <v>3.1275379999999999</v>
      </c>
      <c r="N184" s="290"/>
      <c r="O184" s="284"/>
      <c r="P184" s="284"/>
      <c r="Q184" s="284"/>
      <c r="R184" s="284"/>
      <c r="S184" s="284"/>
      <c r="T184" s="284"/>
      <c r="U184" s="284"/>
      <c r="V184" s="284"/>
      <c r="W184" s="284"/>
      <c r="X184" s="284"/>
      <c r="Y184" s="284"/>
      <c r="Z184" s="284"/>
      <c r="AA184" s="284"/>
    </row>
    <row r="185" spans="1:27" ht="12.75" hidden="1" customHeight="1">
      <c r="A185" s="291" t="s">
        <v>9</v>
      </c>
      <c r="B185" s="303">
        <v>3.0000000000000001E-3</v>
      </c>
      <c r="C185" s="303">
        <v>0.43080000000000002</v>
      </c>
      <c r="D185" s="303">
        <v>2E-3</v>
      </c>
      <c r="E185" s="303">
        <v>6.3E-2</v>
      </c>
      <c r="F185" s="303">
        <v>0.36760000000000004</v>
      </c>
      <c r="G185" s="303">
        <v>6.1799999999999994E-2</v>
      </c>
      <c r="H185" s="303">
        <v>0.11</v>
      </c>
      <c r="I185" s="303">
        <v>0.98548800000000003</v>
      </c>
      <c r="J185" s="303">
        <v>2.0236879999999999</v>
      </c>
      <c r="K185" s="303">
        <v>0.41829100000000002</v>
      </c>
      <c r="L185" s="303">
        <v>0.50188399999999955</v>
      </c>
      <c r="M185" s="303">
        <v>2.9438629999999999</v>
      </c>
      <c r="N185" s="290"/>
      <c r="O185" s="284"/>
      <c r="P185" s="284"/>
      <c r="Q185" s="284"/>
      <c r="R185" s="284"/>
      <c r="S185" s="284"/>
      <c r="T185" s="284"/>
      <c r="U185" s="284"/>
      <c r="V185" s="284"/>
      <c r="W185" s="284"/>
      <c r="X185" s="284"/>
      <c r="Y185" s="284"/>
      <c r="Z185" s="284"/>
      <c r="AA185" s="284"/>
    </row>
    <row r="186" spans="1:27" ht="12.75" hidden="1" customHeight="1">
      <c r="A186" s="291" t="s">
        <v>10</v>
      </c>
      <c r="B186" s="303">
        <v>0</v>
      </c>
      <c r="C186" s="303">
        <v>0.56747400000000003</v>
      </c>
      <c r="D186" s="303">
        <v>9.4E-2</v>
      </c>
      <c r="E186" s="303">
        <v>5.7500000000000002E-2</v>
      </c>
      <c r="F186" s="303">
        <v>0.73368</v>
      </c>
      <c r="G186" s="303">
        <v>0.16700000000000001</v>
      </c>
      <c r="H186" s="303">
        <v>0.11</v>
      </c>
      <c r="I186" s="303">
        <v>1.1058800000000002</v>
      </c>
      <c r="J186" s="303">
        <v>2.835534</v>
      </c>
      <c r="K186" s="303">
        <v>0.40593200000000002</v>
      </c>
      <c r="L186" s="303">
        <v>0.57554499999999997</v>
      </c>
      <c r="M186" s="303">
        <v>3.8170109999999999</v>
      </c>
      <c r="N186" s="290"/>
      <c r="O186" s="284"/>
      <c r="P186" s="284"/>
      <c r="Q186" s="284"/>
      <c r="R186" s="284"/>
      <c r="S186" s="284"/>
      <c r="T186" s="284"/>
      <c r="U186" s="284"/>
      <c r="V186" s="284"/>
      <c r="W186" s="284"/>
      <c r="X186" s="284"/>
      <c r="Y186" s="284"/>
      <c r="Z186" s="284"/>
      <c r="AA186" s="284"/>
    </row>
    <row r="187" spans="1:27" ht="12.75" hidden="1" customHeight="1">
      <c r="A187" s="291" t="s">
        <v>11</v>
      </c>
      <c r="B187" s="303">
        <v>0.18245699999999998</v>
      </c>
      <c r="C187" s="303">
        <v>0.459561</v>
      </c>
      <c r="D187" s="303">
        <v>0.37196800000000002</v>
      </c>
      <c r="E187" s="303">
        <v>5.0700000000000002E-2</v>
      </c>
      <c r="F187" s="303">
        <v>0.82479100000000005</v>
      </c>
      <c r="G187" s="303">
        <v>0.2283</v>
      </c>
      <c r="H187" s="303">
        <v>0.13800000000000001</v>
      </c>
      <c r="I187" s="303">
        <v>1.2522219999999999</v>
      </c>
      <c r="J187" s="303">
        <v>3.5079990000000003</v>
      </c>
      <c r="K187" s="303">
        <v>0.40699599999999997</v>
      </c>
      <c r="L187" s="303">
        <v>0.61766199999999982</v>
      </c>
      <c r="M187" s="303">
        <v>4.5326570000000004</v>
      </c>
      <c r="N187" s="290"/>
      <c r="O187" s="284"/>
      <c r="P187" s="284"/>
      <c r="Q187" s="284"/>
      <c r="R187" s="284"/>
      <c r="S187" s="284"/>
      <c r="T187" s="284"/>
      <c r="U187" s="284"/>
      <c r="V187" s="284"/>
      <c r="W187" s="284"/>
      <c r="X187" s="284"/>
      <c r="Y187" s="284"/>
      <c r="Z187" s="284"/>
      <c r="AA187" s="284"/>
    </row>
    <row r="188" spans="1:27" ht="12.75" hidden="1" customHeight="1">
      <c r="A188" s="291" t="s">
        <v>337</v>
      </c>
      <c r="B188" s="303">
        <v>0</v>
      </c>
      <c r="C188" s="303">
        <v>0.72922600000000004</v>
      </c>
      <c r="D188" s="303">
        <v>8.5897000000000001E-2</v>
      </c>
      <c r="E188" s="303">
        <v>0.15329699999999999</v>
      </c>
      <c r="F188" s="303">
        <v>0.76362399999999997</v>
      </c>
      <c r="G188" s="303">
        <v>0.21209999999999998</v>
      </c>
      <c r="H188" s="303">
        <v>0.13800000000000001</v>
      </c>
      <c r="I188" s="303">
        <v>1.1409910000000001</v>
      </c>
      <c r="J188" s="303">
        <v>3.2231350000000001</v>
      </c>
      <c r="K188" s="303">
        <v>0.39991300000000002</v>
      </c>
      <c r="L188" s="303">
        <v>0.63382000000000005</v>
      </c>
      <c r="M188" s="303">
        <v>4.2568680000000008</v>
      </c>
      <c r="N188" s="290"/>
      <c r="O188" s="284"/>
      <c r="P188" s="284"/>
      <c r="Q188" s="284"/>
      <c r="R188" s="284"/>
      <c r="S188" s="284"/>
      <c r="T188" s="284"/>
      <c r="U188" s="284"/>
      <c r="V188" s="284"/>
      <c r="W188" s="284"/>
      <c r="X188" s="284"/>
      <c r="Y188" s="284"/>
      <c r="Z188" s="284"/>
      <c r="AA188" s="284"/>
    </row>
    <row r="189" spans="1:27" ht="12.75" hidden="1" customHeight="1">
      <c r="A189" s="291" t="s">
        <v>346</v>
      </c>
      <c r="B189" s="303">
        <v>0.10629999999999999</v>
      </c>
      <c r="C189" s="303">
        <v>0.29455000000000003</v>
      </c>
      <c r="D189" s="303">
        <v>0.17089799999999999</v>
      </c>
      <c r="E189" s="303">
        <v>0.13214099999999998</v>
      </c>
      <c r="F189" s="303">
        <v>0.62639599999999995</v>
      </c>
      <c r="G189" s="303">
        <v>0.14130000000000001</v>
      </c>
      <c r="H189" s="303">
        <v>0.13800000000000001</v>
      </c>
      <c r="I189" s="303">
        <v>1.1599280000000001</v>
      </c>
      <c r="J189" s="303">
        <v>2.7695129999999999</v>
      </c>
      <c r="K189" s="303">
        <v>0.38664299999999996</v>
      </c>
      <c r="L189" s="303">
        <v>0.62701900000000022</v>
      </c>
      <c r="M189" s="303">
        <v>3.7831750000000004</v>
      </c>
      <c r="N189" s="290"/>
      <c r="O189" s="284"/>
      <c r="P189" s="284"/>
      <c r="Q189" s="284"/>
      <c r="R189" s="284"/>
      <c r="S189" s="284"/>
      <c r="T189" s="284"/>
      <c r="U189" s="284"/>
      <c r="V189" s="284"/>
      <c r="W189" s="284"/>
      <c r="X189" s="284"/>
      <c r="Y189" s="284"/>
      <c r="Z189" s="284"/>
      <c r="AA189" s="284"/>
    </row>
    <row r="190" spans="1:27" ht="12.75" hidden="1" customHeight="1">
      <c r="A190" s="291" t="s">
        <v>347</v>
      </c>
      <c r="B190" s="303">
        <v>0.22618000000000002</v>
      </c>
      <c r="C190" s="303">
        <v>0.54085400000000006</v>
      </c>
      <c r="D190" s="303">
        <v>0.11275</v>
      </c>
      <c r="E190" s="303">
        <v>0.30406299999999997</v>
      </c>
      <c r="F190" s="303">
        <v>0.397312</v>
      </c>
      <c r="G190" s="303">
        <v>6.0000000000000001E-3</v>
      </c>
      <c r="H190" s="303">
        <v>0.13800000000000001</v>
      </c>
      <c r="I190" s="303">
        <v>1.4135199999999999</v>
      </c>
      <c r="J190" s="303">
        <v>3.1386790000000002</v>
      </c>
      <c r="K190" s="303">
        <v>0.36507100000000003</v>
      </c>
      <c r="L190" s="303">
        <v>1.0209319999999997</v>
      </c>
      <c r="M190" s="303">
        <v>4.5246819999999994</v>
      </c>
      <c r="N190" s="290"/>
      <c r="O190" s="284"/>
      <c r="P190" s="284"/>
      <c r="Q190" s="284"/>
      <c r="R190" s="284"/>
      <c r="S190" s="284"/>
      <c r="T190" s="284"/>
      <c r="U190" s="284"/>
      <c r="V190" s="284"/>
      <c r="W190" s="284"/>
      <c r="X190" s="284"/>
      <c r="Y190" s="284"/>
      <c r="Z190" s="284"/>
      <c r="AA190" s="284"/>
    </row>
    <row r="191" spans="1:27" ht="12.75" hidden="1" customHeight="1">
      <c r="A191" s="291" t="s">
        <v>12</v>
      </c>
      <c r="B191" s="303">
        <v>0.145291</v>
      </c>
      <c r="C191" s="303">
        <v>0.22690000000000002</v>
      </c>
      <c r="D191" s="303">
        <v>0.1555</v>
      </c>
      <c r="E191" s="303">
        <v>5.4634000000000002E-2</v>
      </c>
      <c r="F191" s="303">
        <v>0.39350599999999997</v>
      </c>
      <c r="G191" s="303">
        <v>2.1299999999999999E-2</v>
      </c>
      <c r="H191" s="303">
        <v>0.13800000000000001</v>
      </c>
      <c r="I191" s="303">
        <v>1.3130709999999999</v>
      </c>
      <c r="J191" s="303">
        <v>2.4482019999999998</v>
      </c>
      <c r="K191" s="303">
        <v>0.36247299999999999</v>
      </c>
      <c r="L191" s="303">
        <v>1.0853970000000004</v>
      </c>
      <c r="M191" s="303">
        <v>3.8960720000000002</v>
      </c>
      <c r="N191" s="290"/>
      <c r="O191" s="284"/>
      <c r="P191" s="284"/>
      <c r="Q191" s="284"/>
      <c r="R191" s="284"/>
      <c r="S191" s="284"/>
      <c r="T191" s="284"/>
      <c r="U191" s="284"/>
      <c r="V191" s="284"/>
      <c r="W191" s="284"/>
      <c r="X191" s="284"/>
      <c r="Y191" s="284"/>
      <c r="Z191" s="284"/>
      <c r="AA191" s="284"/>
    </row>
    <row r="192" spans="1:27" ht="12.75" hidden="1" customHeight="1">
      <c r="A192" s="291" t="s">
        <v>13</v>
      </c>
      <c r="B192" s="303">
        <v>1.0817929999999998</v>
      </c>
      <c r="C192" s="303">
        <v>0.2404</v>
      </c>
      <c r="D192" s="303">
        <v>0.18090400000000001</v>
      </c>
      <c r="E192" s="303">
        <v>6.2209E-2</v>
      </c>
      <c r="F192" s="303">
        <v>0.45442100000000002</v>
      </c>
      <c r="G192" s="303">
        <v>2.2499999999999999E-2</v>
      </c>
      <c r="H192" s="303">
        <v>2.8000000000000001E-2</v>
      </c>
      <c r="I192" s="303">
        <v>1.14002</v>
      </c>
      <c r="J192" s="303">
        <v>3.2102469999999999</v>
      </c>
      <c r="K192" s="303">
        <v>0.39728600000000003</v>
      </c>
      <c r="L192" s="303">
        <v>1.3091979999999999</v>
      </c>
      <c r="M192" s="303">
        <v>4.9167309999999995</v>
      </c>
      <c r="N192" s="290"/>
      <c r="O192" s="284"/>
      <c r="P192" s="284"/>
      <c r="Q192" s="284"/>
      <c r="R192" s="284"/>
      <c r="S192" s="284"/>
      <c r="T192" s="284"/>
      <c r="U192" s="284"/>
      <c r="V192" s="284"/>
      <c r="W192" s="284"/>
      <c r="X192" s="284"/>
      <c r="Y192" s="284"/>
      <c r="Z192" s="284"/>
      <c r="AA192" s="284"/>
    </row>
    <row r="193" spans="1:27" ht="12.75" hidden="1" customHeight="1">
      <c r="A193" s="291" t="s">
        <v>14</v>
      </c>
      <c r="B193" s="303">
        <v>3.4229999999999998E-3</v>
      </c>
      <c r="C193" s="303">
        <v>0.20652500000000001</v>
      </c>
      <c r="D193" s="303">
        <v>7.0358000000000004E-2</v>
      </c>
      <c r="E193" s="303">
        <v>0.212501</v>
      </c>
      <c r="F193" s="303">
        <v>0.54972299999999996</v>
      </c>
      <c r="G193" s="303">
        <v>0</v>
      </c>
      <c r="H193" s="303">
        <v>2.8000000000000001E-2</v>
      </c>
      <c r="I193" s="303">
        <v>1.4042809999999999</v>
      </c>
      <c r="J193" s="303">
        <v>2.4748109999999999</v>
      </c>
      <c r="K193" s="303">
        <v>0.53231200000000001</v>
      </c>
      <c r="L193" s="303">
        <v>1.3831450000000001</v>
      </c>
      <c r="M193" s="303">
        <v>4.3902679999999998</v>
      </c>
      <c r="N193" s="290"/>
      <c r="O193" s="284"/>
      <c r="P193" s="284"/>
      <c r="Q193" s="284"/>
      <c r="R193" s="284"/>
      <c r="S193" s="284"/>
      <c r="T193" s="284"/>
      <c r="U193" s="284"/>
      <c r="V193" s="284"/>
      <c r="W193" s="284"/>
      <c r="X193" s="284"/>
      <c r="Y193" s="284"/>
      <c r="Z193" s="284"/>
      <c r="AA193" s="284"/>
    </row>
    <row r="194" spans="1:27" ht="12.75" hidden="1" customHeight="1">
      <c r="A194" s="291" t="s">
        <v>15</v>
      </c>
      <c r="B194" s="303">
        <v>0.69423900000000005</v>
      </c>
      <c r="C194" s="303">
        <v>0.16053999999999999</v>
      </c>
      <c r="D194" s="303">
        <v>1.9350000000000001E-3</v>
      </c>
      <c r="E194" s="303">
        <v>0.20936600000000002</v>
      </c>
      <c r="F194" s="303">
        <v>0.41362900000000002</v>
      </c>
      <c r="G194" s="303">
        <v>4.675E-2</v>
      </c>
      <c r="H194" s="303">
        <v>2.8000000000000001E-2</v>
      </c>
      <c r="I194" s="303">
        <v>1.4750750000000001</v>
      </c>
      <c r="J194" s="303">
        <v>3.0295339999999999</v>
      </c>
      <c r="K194" s="303">
        <v>0.57449899999999998</v>
      </c>
      <c r="L194" s="303">
        <v>1.4778459999999995</v>
      </c>
      <c r="M194" s="303">
        <v>5.0818789999999998</v>
      </c>
      <c r="N194" s="290"/>
      <c r="O194" s="284"/>
      <c r="P194" s="284"/>
      <c r="Q194" s="284"/>
      <c r="R194" s="284"/>
      <c r="S194" s="284"/>
      <c r="T194" s="284"/>
      <c r="U194" s="284"/>
      <c r="V194" s="284"/>
      <c r="W194" s="284"/>
      <c r="X194" s="284"/>
      <c r="Y194" s="284"/>
      <c r="Z194" s="284"/>
      <c r="AA194" s="284"/>
    </row>
    <row r="195" spans="1:27" ht="12.75" hidden="1" customHeight="1">
      <c r="A195" s="291" t="s">
        <v>16</v>
      </c>
      <c r="B195" s="303">
        <v>0</v>
      </c>
      <c r="C195" s="303">
        <v>0.11579</v>
      </c>
      <c r="D195" s="303">
        <v>7.0000000000000007E-2</v>
      </c>
      <c r="E195" s="303">
        <v>2.4315999999999997E-2</v>
      </c>
      <c r="F195" s="303">
        <v>0.28614999999999996</v>
      </c>
      <c r="G195" s="303">
        <v>0.1002</v>
      </c>
      <c r="H195" s="303">
        <v>2.8000000000000001E-2</v>
      </c>
      <c r="I195" s="303">
        <v>1.2507470000000001</v>
      </c>
      <c r="J195" s="303">
        <v>1.875203</v>
      </c>
      <c r="K195" s="303">
        <v>0.534215</v>
      </c>
      <c r="L195" s="303">
        <v>1.2144879999999998</v>
      </c>
      <c r="M195" s="303">
        <v>3.6239059999999998</v>
      </c>
      <c r="N195" s="290"/>
      <c r="O195" s="284"/>
      <c r="P195" s="284"/>
      <c r="Q195" s="284"/>
      <c r="R195" s="284"/>
      <c r="S195" s="284"/>
      <c r="T195" s="284"/>
      <c r="U195" s="284"/>
      <c r="V195" s="284"/>
      <c r="W195" s="284"/>
      <c r="X195" s="284"/>
      <c r="Y195" s="284"/>
      <c r="Z195" s="284"/>
      <c r="AA195" s="284"/>
    </row>
    <row r="196" spans="1:27" ht="12.75" hidden="1" customHeight="1">
      <c r="A196" s="291"/>
      <c r="B196" s="303"/>
      <c r="C196" s="303"/>
      <c r="D196" s="303"/>
      <c r="E196" s="303"/>
      <c r="F196" s="303"/>
      <c r="G196" s="303"/>
      <c r="H196" s="303"/>
      <c r="I196" s="303"/>
      <c r="J196" s="303"/>
      <c r="K196" s="303"/>
      <c r="L196" s="303"/>
      <c r="M196" s="303"/>
      <c r="N196" s="290"/>
      <c r="O196" s="284"/>
      <c r="P196" s="284"/>
      <c r="Q196" s="284"/>
      <c r="R196" s="284"/>
      <c r="S196" s="284"/>
      <c r="T196" s="284"/>
      <c r="U196" s="284"/>
      <c r="V196" s="284"/>
      <c r="W196" s="284"/>
      <c r="X196" s="284"/>
      <c r="Y196" s="284"/>
      <c r="Z196" s="284"/>
      <c r="AA196" s="284"/>
    </row>
    <row r="197" spans="1:27" ht="16.95" hidden="1" customHeight="1">
      <c r="A197" s="299" t="s">
        <v>710</v>
      </c>
      <c r="B197" s="303"/>
      <c r="C197" s="303"/>
      <c r="D197" s="303"/>
      <c r="E197" s="303"/>
      <c r="F197" s="303"/>
      <c r="G197" s="303"/>
      <c r="H197" s="303"/>
      <c r="I197" s="303"/>
      <c r="J197" s="303"/>
      <c r="K197" s="303"/>
      <c r="L197" s="303"/>
      <c r="M197" s="303"/>
      <c r="N197" s="290"/>
      <c r="O197" s="284"/>
      <c r="P197" s="284"/>
      <c r="Q197" s="284"/>
      <c r="R197" s="284"/>
      <c r="S197" s="284"/>
      <c r="T197" s="284"/>
      <c r="U197" s="284"/>
      <c r="V197" s="284"/>
      <c r="W197" s="284"/>
      <c r="X197" s="284"/>
      <c r="Y197" s="284"/>
      <c r="Z197" s="284"/>
      <c r="AA197" s="284"/>
    </row>
    <row r="198" spans="1:27" ht="16.95" hidden="1" customHeight="1">
      <c r="A198" s="291"/>
      <c r="B198" s="303"/>
      <c r="C198" s="303"/>
      <c r="D198" s="303"/>
      <c r="E198" s="303"/>
      <c r="F198" s="303"/>
      <c r="G198" s="303"/>
      <c r="H198" s="303"/>
      <c r="I198" s="303"/>
      <c r="J198" s="303"/>
      <c r="K198" s="303"/>
      <c r="L198" s="303"/>
      <c r="M198" s="303"/>
      <c r="N198" s="290"/>
      <c r="O198" s="284"/>
      <c r="P198" s="284"/>
      <c r="Q198" s="284"/>
      <c r="R198" s="284"/>
      <c r="S198" s="284"/>
      <c r="T198" s="284"/>
      <c r="U198" s="284"/>
      <c r="V198" s="284"/>
      <c r="W198" s="284"/>
      <c r="X198" s="284"/>
      <c r="Y198" s="284"/>
      <c r="Z198" s="284"/>
      <c r="AA198" s="284"/>
    </row>
    <row r="199" spans="1:27" ht="16.95" hidden="1" customHeight="1">
      <c r="A199" s="291" t="s">
        <v>8</v>
      </c>
      <c r="B199" s="303">
        <v>7.0699999999999999E-2</v>
      </c>
      <c r="C199" s="303">
        <v>0.76619999999999999</v>
      </c>
      <c r="D199" s="303">
        <v>0.39339999999999997</v>
      </c>
      <c r="E199" s="303">
        <v>0.2051</v>
      </c>
      <c r="F199" s="303">
        <v>0.68400000000000005</v>
      </c>
      <c r="G199" s="303">
        <v>5.2600000000000001E-2</v>
      </c>
      <c r="H199" s="303">
        <v>0.14000000000000001</v>
      </c>
      <c r="I199" s="303">
        <v>1.7085999999999999</v>
      </c>
      <c r="J199" s="303">
        <v>4.0205000000000002</v>
      </c>
      <c r="K199" s="303">
        <v>0.66179999999999994</v>
      </c>
      <c r="L199" s="303">
        <v>2.0200999999999998</v>
      </c>
      <c r="M199" s="303">
        <v>6.7023999999999999</v>
      </c>
      <c r="N199" s="290"/>
      <c r="O199" s="284"/>
      <c r="P199" s="284"/>
      <c r="Q199" s="284"/>
      <c r="R199" s="284"/>
      <c r="S199" s="284"/>
      <c r="T199" s="284"/>
      <c r="U199" s="284"/>
      <c r="V199" s="284"/>
      <c r="W199" s="284"/>
      <c r="X199" s="284"/>
      <c r="Y199" s="284"/>
      <c r="Z199" s="284"/>
      <c r="AA199" s="284"/>
    </row>
    <row r="200" spans="1:27" ht="16.95" hidden="1" customHeight="1">
      <c r="A200" s="291" t="s">
        <v>9</v>
      </c>
      <c r="B200" s="303">
        <v>4.4999999999999998E-2</v>
      </c>
      <c r="C200" s="303">
        <v>0.15930000000000002</v>
      </c>
      <c r="D200" s="303">
        <v>0.1741</v>
      </c>
      <c r="E200" s="303">
        <v>1.1900000000000001E-2</v>
      </c>
      <c r="F200" s="303">
        <v>0.46379999999999999</v>
      </c>
      <c r="G200" s="303">
        <v>5.1400000000000001E-2</v>
      </c>
      <c r="H200" s="303">
        <v>0.14000000000000001</v>
      </c>
      <c r="I200" s="303">
        <v>1.7425999999999999</v>
      </c>
      <c r="J200" s="303">
        <v>2.7881</v>
      </c>
      <c r="K200" s="303">
        <v>0.68589999999999995</v>
      </c>
      <c r="L200" s="303">
        <v>1.8174999999999999</v>
      </c>
      <c r="M200" s="303">
        <v>5.2915000000000001</v>
      </c>
      <c r="N200" s="290"/>
      <c r="O200" s="284"/>
      <c r="P200" s="284"/>
      <c r="Q200" s="284"/>
      <c r="R200" s="284"/>
      <c r="S200" s="284"/>
      <c r="T200" s="284"/>
      <c r="U200" s="284"/>
      <c r="V200" s="284"/>
      <c r="W200" s="284"/>
      <c r="X200" s="284"/>
      <c r="Y200" s="284"/>
      <c r="Z200" s="284"/>
      <c r="AA200" s="284"/>
    </row>
    <row r="201" spans="1:27" ht="16.95" hidden="1" customHeight="1">
      <c r="A201" s="291" t="s">
        <v>10</v>
      </c>
      <c r="B201" s="303">
        <v>9.2999999999999999E-2</v>
      </c>
      <c r="C201" s="303">
        <v>0.23860000000000001</v>
      </c>
      <c r="D201" s="303">
        <v>4.3E-3</v>
      </c>
      <c r="E201" s="303">
        <v>2.41E-2</v>
      </c>
      <c r="F201" s="303">
        <v>0.35149999999999998</v>
      </c>
      <c r="G201" s="303">
        <v>0.08</v>
      </c>
      <c r="H201" s="303">
        <v>0.14000000000000001</v>
      </c>
      <c r="I201" s="303">
        <v>1.7690999999999999</v>
      </c>
      <c r="J201" s="303">
        <v>2.7004999999999999</v>
      </c>
      <c r="K201" s="303">
        <v>0.79589999999999994</v>
      </c>
      <c r="L201" s="303">
        <v>1.3932</v>
      </c>
      <c r="M201" s="303">
        <v>4.8896000000000006</v>
      </c>
      <c r="N201" s="290"/>
      <c r="O201" s="284"/>
      <c r="P201" s="284"/>
      <c r="Q201" s="284"/>
      <c r="R201" s="284"/>
      <c r="S201" s="284"/>
      <c r="T201" s="284"/>
      <c r="U201" s="284"/>
      <c r="V201" s="284"/>
      <c r="W201" s="284"/>
      <c r="X201" s="284"/>
      <c r="Y201" s="284"/>
      <c r="Z201" s="284"/>
      <c r="AA201" s="284"/>
    </row>
    <row r="202" spans="1:27" ht="16.95" hidden="1" customHeight="1">
      <c r="A202" s="291" t="s">
        <v>11</v>
      </c>
      <c r="B202" s="303">
        <v>0.39950000000000002</v>
      </c>
      <c r="C202" s="303">
        <v>0.28910000000000002</v>
      </c>
      <c r="D202" s="303">
        <v>0</v>
      </c>
      <c r="E202" s="303">
        <v>7.46E-2</v>
      </c>
      <c r="F202" s="303">
        <v>0.58120000000000005</v>
      </c>
      <c r="G202" s="303">
        <v>7.6100000000000001E-2</v>
      </c>
      <c r="H202" s="303">
        <v>0.14000000000000001</v>
      </c>
      <c r="I202" s="303">
        <v>1.9801</v>
      </c>
      <c r="J202" s="303">
        <v>3.5406</v>
      </c>
      <c r="K202" s="303">
        <v>0.87450000000000006</v>
      </c>
      <c r="L202" s="303">
        <v>1.7515999999999998</v>
      </c>
      <c r="M202" s="303">
        <v>6.1668000000000003</v>
      </c>
      <c r="N202" s="290"/>
      <c r="O202" s="284"/>
      <c r="P202" s="284"/>
      <c r="Q202" s="284"/>
      <c r="R202" s="284"/>
      <c r="S202" s="284"/>
      <c r="T202" s="284"/>
      <c r="U202" s="284"/>
      <c r="V202" s="284"/>
      <c r="W202" s="284"/>
      <c r="X202" s="284"/>
      <c r="Y202" s="284"/>
      <c r="Z202" s="284"/>
      <c r="AA202" s="284"/>
    </row>
    <row r="203" spans="1:27" ht="16.95" hidden="1" customHeight="1">
      <c r="A203" s="291" t="s">
        <v>337</v>
      </c>
      <c r="B203" s="303">
        <v>0.30099999999999999</v>
      </c>
      <c r="C203" s="303">
        <v>0.33310000000000001</v>
      </c>
      <c r="D203" s="303">
        <v>0.1613</v>
      </c>
      <c r="E203" s="303">
        <v>0.12079999999999999</v>
      </c>
      <c r="F203" s="303">
        <v>0.31489999999999996</v>
      </c>
      <c r="G203" s="303">
        <v>0.10299999999999999</v>
      </c>
      <c r="H203" s="303">
        <v>0.14000000000000001</v>
      </c>
      <c r="I203" s="303">
        <v>1.6384000000000001</v>
      </c>
      <c r="J203" s="303">
        <v>3.1124000000000001</v>
      </c>
      <c r="K203" s="303">
        <v>0.86050000000000004</v>
      </c>
      <c r="L203" s="303">
        <v>1.9299000000000002</v>
      </c>
      <c r="M203" s="303">
        <v>5.9028999999999998</v>
      </c>
      <c r="N203" s="290"/>
      <c r="O203" s="284"/>
      <c r="P203" s="284"/>
      <c r="Q203" s="284"/>
      <c r="R203" s="284"/>
      <c r="S203" s="284"/>
      <c r="T203" s="284"/>
      <c r="U203" s="284"/>
      <c r="V203" s="284"/>
      <c r="W203" s="284"/>
      <c r="X203" s="284"/>
      <c r="Y203" s="284"/>
      <c r="Z203" s="284"/>
      <c r="AA203" s="284"/>
    </row>
    <row r="204" spans="1:27" ht="16.95" hidden="1" customHeight="1">
      <c r="A204" s="291" t="s">
        <v>346</v>
      </c>
      <c r="B204" s="303">
        <v>0.43610000000000004</v>
      </c>
      <c r="C204" s="303">
        <v>0.57250000000000001</v>
      </c>
      <c r="D204" s="303">
        <v>6.3399999999999998E-2</v>
      </c>
      <c r="E204" s="303">
        <v>2.75E-2</v>
      </c>
      <c r="F204" s="303">
        <v>0.2555</v>
      </c>
      <c r="G204" s="303">
        <v>0.04</v>
      </c>
      <c r="H204" s="303">
        <v>0.14000000000000001</v>
      </c>
      <c r="I204" s="303">
        <v>2.1107</v>
      </c>
      <c r="J204" s="303">
        <v>3.6456</v>
      </c>
      <c r="K204" s="303">
        <v>0.8852000000000001</v>
      </c>
      <c r="L204" s="303">
        <v>1.2938000000000001</v>
      </c>
      <c r="M204" s="303">
        <v>5.8246000000000002</v>
      </c>
      <c r="N204" s="290"/>
      <c r="O204" s="284"/>
      <c r="P204" s="284"/>
      <c r="Q204" s="284"/>
      <c r="R204" s="284"/>
      <c r="S204" s="284"/>
      <c r="T204" s="284"/>
      <c r="U204" s="284"/>
      <c r="V204" s="284"/>
      <c r="W204" s="284"/>
      <c r="X204" s="284"/>
      <c r="Y204" s="284"/>
      <c r="Z204" s="284"/>
      <c r="AA204" s="284"/>
    </row>
    <row r="205" spans="1:27" ht="16.95" hidden="1" customHeight="1">
      <c r="A205" s="291" t="s">
        <v>347</v>
      </c>
      <c r="B205" s="303">
        <v>1.1227</v>
      </c>
      <c r="C205" s="303">
        <v>0.43060000000000004</v>
      </c>
      <c r="D205" s="303">
        <v>0.1391</v>
      </c>
      <c r="E205" s="303">
        <v>9.8500000000000004E-2</v>
      </c>
      <c r="F205" s="303">
        <v>0.97870000000000001</v>
      </c>
      <c r="G205" s="303">
        <v>9.9000000000000005E-2</v>
      </c>
      <c r="H205" s="303">
        <v>0.14000000000000001</v>
      </c>
      <c r="I205" s="303">
        <v>2.3849</v>
      </c>
      <c r="J205" s="303">
        <v>5.3936000000000002</v>
      </c>
      <c r="K205" s="303">
        <v>0.95189999999999997</v>
      </c>
      <c r="L205" s="303">
        <v>1.6755</v>
      </c>
      <c r="M205" s="303">
        <v>8.0208999999999993</v>
      </c>
      <c r="N205" s="290"/>
      <c r="O205" s="284"/>
      <c r="P205" s="284"/>
      <c r="Q205" s="284"/>
      <c r="R205" s="284"/>
      <c r="S205" s="284"/>
      <c r="T205" s="284"/>
      <c r="U205" s="284"/>
      <c r="V205" s="284"/>
      <c r="W205" s="284"/>
      <c r="X205" s="284"/>
      <c r="Y205" s="284"/>
      <c r="Z205" s="284"/>
      <c r="AA205" s="284"/>
    </row>
    <row r="206" spans="1:27" ht="16.95" hidden="1" customHeight="1">
      <c r="A206" s="291" t="s">
        <v>12</v>
      </c>
      <c r="B206" s="303">
        <v>0.50549999999999995</v>
      </c>
      <c r="C206" s="303">
        <v>0.27550000000000002</v>
      </c>
      <c r="D206" s="303">
        <v>6.5299999999999997E-2</v>
      </c>
      <c r="E206" s="303">
        <v>4.7700000000000006E-2</v>
      </c>
      <c r="F206" s="303">
        <v>0.63790000000000002</v>
      </c>
      <c r="G206" s="303">
        <v>0.11890000000000001</v>
      </c>
      <c r="H206" s="303">
        <v>0.14000000000000001</v>
      </c>
      <c r="I206" s="303">
        <v>1.9439000000000002</v>
      </c>
      <c r="J206" s="303">
        <v>3.7345999999999999</v>
      </c>
      <c r="K206" s="303">
        <v>1.0135000000000001</v>
      </c>
      <c r="L206" s="303">
        <v>1.6294000000000002</v>
      </c>
      <c r="M206" s="303">
        <v>6.3776000000000002</v>
      </c>
      <c r="N206" s="290"/>
      <c r="O206" s="284"/>
      <c r="P206" s="284"/>
      <c r="Q206" s="284"/>
      <c r="R206" s="284"/>
      <c r="S206" s="284"/>
      <c r="T206" s="284"/>
      <c r="U206" s="284"/>
      <c r="V206" s="284"/>
      <c r="W206" s="284"/>
      <c r="X206" s="284"/>
      <c r="Y206" s="284"/>
      <c r="Z206" s="284"/>
      <c r="AA206" s="284"/>
    </row>
    <row r="207" spans="1:27" ht="16.95" hidden="1" customHeight="1">
      <c r="A207" s="291" t="s">
        <v>13</v>
      </c>
      <c r="B207" s="303">
        <v>0.37380000000000002</v>
      </c>
      <c r="C207" s="303">
        <v>0.30930000000000002</v>
      </c>
      <c r="D207" s="303">
        <v>1.26E-2</v>
      </c>
      <c r="E207" s="303">
        <v>1.8600000000000002E-2</v>
      </c>
      <c r="F207" s="303">
        <v>0.63970000000000005</v>
      </c>
      <c r="G207" s="303">
        <v>0.14809999999999998</v>
      </c>
      <c r="H207" s="303">
        <v>0.14000000000000001</v>
      </c>
      <c r="I207" s="303">
        <v>1.9036</v>
      </c>
      <c r="J207" s="303">
        <v>3.5456999999999996</v>
      </c>
      <c r="K207" s="303">
        <v>1.1502000000000001</v>
      </c>
      <c r="L207" s="303">
        <v>1.6005</v>
      </c>
      <c r="M207" s="303">
        <v>6.2963999999999993</v>
      </c>
      <c r="N207" s="290"/>
      <c r="O207" s="284"/>
      <c r="P207" s="284"/>
      <c r="Q207" s="284"/>
      <c r="R207" s="284"/>
      <c r="S207" s="284"/>
      <c r="T207" s="284"/>
      <c r="U207" s="284"/>
      <c r="V207" s="284"/>
      <c r="W207" s="284"/>
      <c r="X207" s="284"/>
      <c r="Y207" s="284"/>
      <c r="Z207" s="284"/>
      <c r="AA207" s="284"/>
    </row>
    <row r="208" spans="1:27" ht="16.95" hidden="1" customHeight="1">
      <c r="A208" s="291" t="s">
        <v>14</v>
      </c>
      <c r="B208" s="303">
        <v>1.7235</v>
      </c>
      <c r="C208" s="303">
        <v>0.48039999999999999</v>
      </c>
      <c r="D208" s="303">
        <v>5.9400000000000001E-2</v>
      </c>
      <c r="E208" s="303">
        <v>6.59E-2</v>
      </c>
      <c r="F208" s="303">
        <v>1.0677000000000001</v>
      </c>
      <c r="G208" s="303">
        <v>0.24890000000000001</v>
      </c>
      <c r="H208" s="303">
        <v>0.14000000000000001</v>
      </c>
      <c r="I208" s="303">
        <v>3.0921999999999996</v>
      </c>
      <c r="J208" s="303">
        <v>6.8780000000000001</v>
      </c>
      <c r="K208" s="303">
        <v>1.2869000000000002</v>
      </c>
      <c r="L208" s="303">
        <v>2.4528000000000003</v>
      </c>
      <c r="M208" s="303">
        <v>10.617599999999999</v>
      </c>
      <c r="N208" s="290"/>
      <c r="O208" s="284"/>
      <c r="P208" s="284"/>
      <c r="Q208" s="284"/>
      <c r="R208" s="284"/>
      <c r="S208" s="284"/>
      <c r="T208" s="284"/>
      <c r="U208" s="284"/>
      <c r="V208" s="284"/>
      <c r="W208" s="284"/>
      <c r="X208" s="284"/>
      <c r="Y208" s="284"/>
      <c r="Z208" s="284"/>
      <c r="AA208" s="284"/>
    </row>
    <row r="209" spans="1:27" ht="16.95" hidden="1" customHeight="1">
      <c r="A209" s="291" t="s">
        <v>15</v>
      </c>
      <c r="B209" s="303">
        <v>1.1382000000000001</v>
      </c>
      <c r="C209" s="303">
        <v>0.44800000000000001</v>
      </c>
      <c r="D209" s="303">
        <v>7.0999999999999995E-3</v>
      </c>
      <c r="E209" s="303">
        <v>4.5600000000000002E-2</v>
      </c>
      <c r="F209" s="303">
        <v>0.91900000000000004</v>
      </c>
      <c r="G209" s="303">
        <v>0.27660000000000001</v>
      </c>
      <c r="H209" s="303">
        <v>0.15819999999999998</v>
      </c>
      <c r="I209" s="303">
        <v>2.7240000000000002</v>
      </c>
      <c r="J209" s="303">
        <v>5.7166999999999994</v>
      </c>
      <c r="K209" s="303">
        <v>1.3842999999999999</v>
      </c>
      <c r="L209" s="303">
        <v>3.3815</v>
      </c>
      <c r="M209" s="303">
        <v>10.4824</v>
      </c>
      <c r="N209" s="290"/>
      <c r="O209" s="284"/>
      <c r="P209" s="284"/>
      <c r="Q209" s="284"/>
      <c r="R209" s="284"/>
      <c r="S209" s="284"/>
      <c r="T209" s="284"/>
      <c r="U209" s="284"/>
      <c r="V209" s="284"/>
      <c r="W209" s="284"/>
      <c r="X209" s="284"/>
      <c r="Y209" s="284"/>
      <c r="Z209" s="284"/>
      <c r="AA209" s="284"/>
    </row>
    <row r="210" spans="1:27" ht="16.95" hidden="1" customHeight="1">
      <c r="A210" s="291" t="s">
        <v>16</v>
      </c>
      <c r="B210" s="303">
        <v>0.74320000000000008</v>
      </c>
      <c r="C210" s="303">
        <v>0.77889999999999993</v>
      </c>
      <c r="D210" s="303">
        <v>2.01E-2</v>
      </c>
      <c r="E210" s="303">
        <v>0.16819999999999999</v>
      </c>
      <c r="F210" s="303">
        <v>0.78670000000000007</v>
      </c>
      <c r="G210" s="303">
        <v>0.1014</v>
      </c>
      <c r="H210" s="303">
        <v>0.15819999999999998</v>
      </c>
      <c r="I210" s="303">
        <v>3.0310000000000001</v>
      </c>
      <c r="J210" s="303">
        <v>5.7877000000000001</v>
      </c>
      <c r="K210" s="303">
        <v>1.4068000000000001</v>
      </c>
      <c r="L210" s="303">
        <v>5.5415000000000001</v>
      </c>
      <c r="M210" s="303">
        <v>12.736000000000001</v>
      </c>
      <c r="N210" s="290"/>
      <c r="O210" s="284"/>
      <c r="P210" s="284"/>
      <c r="Q210" s="284"/>
      <c r="R210" s="284"/>
      <c r="S210" s="284"/>
      <c r="T210" s="284"/>
      <c r="U210" s="284"/>
      <c r="V210" s="284"/>
      <c r="W210" s="284"/>
      <c r="X210" s="284"/>
      <c r="Y210" s="284"/>
      <c r="Z210" s="284"/>
      <c r="AA210" s="284"/>
    </row>
    <row r="211" spans="1:27" ht="16.95" hidden="1" customHeight="1">
      <c r="A211" s="291"/>
      <c r="B211" s="303"/>
      <c r="C211" s="303"/>
      <c r="D211" s="303"/>
      <c r="E211" s="303"/>
      <c r="F211" s="303"/>
      <c r="G211" s="303"/>
      <c r="H211" s="303"/>
      <c r="I211" s="303"/>
      <c r="J211" s="303"/>
      <c r="K211" s="303"/>
      <c r="L211" s="303"/>
      <c r="M211" s="303"/>
      <c r="N211" s="290"/>
      <c r="O211" s="284"/>
      <c r="P211" s="284"/>
      <c r="Q211" s="284"/>
      <c r="R211" s="284"/>
      <c r="S211" s="284"/>
      <c r="T211" s="284"/>
      <c r="U211" s="284"/>
      <c r="V211" s="284"/>
      <c r="W211" s="284"/>
      <c r="X211" s="284"/>
      <c r="Y211" s="284"/>
      <c r="Z211" s="284"/>
      <c r="AA211" s="284"/>
    </row>
    <row r="212" spans="1:27" ht="16.95" hidden="1" customHeight="1">
      <c r="A212" s="299" t="s">
        <v>40</v>
      </c>
      <c r="B212" s="303"/>
      <c r="C212" s="303"/>
      <c r="D212" s="303"/>
      <c r="E212" s="303"/>
      <c r="F212" s="303"/>
      <c r="G212" s="303"/>
      <c r="H212" s="303"/>
      <c r="I212" s="303"/>
      <c r="J212" s="303"/>
      <c r="K212" s="303"/>
      <c r="L212" s="303"/>
      <c r="M212" s="303"/>
      <c r="N212" s="290"/>
      <c r="O212" s="284"/>
      <c r="P212" s="284"/>
      <c r="Q212" s="284"/>
      <c r="R212" s="284"/>
      <c r="S212" s="284"/>
      <c r="T212" s="284"/>
      <c r="U212" s="284"/>
      <c r="V212" s="284"/>
      <c r="W212" s="284"/>
      <c r="X212" s="284"/>
      <c r="Y212" s="284"/>
      <c r="Z212" s="284"/>
      <c r="AA212" s="284"/>
    </row>
    <row r="213" spans="1:27" ht="16.95" hidden="1" customHeight="1">
      <c r="A213" s="291"/>
      <c r="B213" s="303"/>
      <c r="C213" s="303"/>
      <c r="D213" s="303"/>
      <c r="E213" s="303"/>
      <c r="F213" s="303"/>
      <c r="G213" s="303"/>
      <c r="H213" s="303"/>
      <c r="I213" s="303"/>
      <c r="J213" s="303"/>
      <c r="K213" s="303"/>
      <c r="L213" s="303"/>
      <c r="M213" s="303"/>
      <c r="N213" s="290"/>
      <c r="O213" s="284"/>
      <c r="P213" s="284"/>
      <c r="Q213" s="284"/>
      <c r="R213" s="284"/>
      <c r="S213" s="284"/>
      <c r="T213" s="284"/>
      <c r="U213" s="284"/>
      <c r="V213" s="284"/>
      <c r="W213" s="284"/>
      <c r="X213" s="284"/>
      <c r="Y213" s="284"/>
      <c r="Z213" s="284"/>
      <c r="AA213" s="284"/>
    </row>
    <row r="214" spans="1:27" ht="16.95" hidden="1" customHeight="1">
      <c r="A214" s="291" t="s">
        <v>8</v>
      </c>
      <c r="B214" s="303">
        <v>1.0116000000000001</v>
      </c>
      <c r="C214" s="303">
        <v>0.21930000000000002</v>
      </c>
      <c r="D214" s="303">
        <v>0.1012</v>
      </c>
      <c r="E214" s="303">
        <v>0.22740000000000002</v>
      </c>
      <c r="F214" s="303">
        <v>2.4001000000000001</v>
      </c>
      <c r="G214" s="303">
        <v>0.1066</v>
      </c>
      <c r="H214" s="303">
        <v>0.15819999999999998</v>
      </c>
      <c r="I214" s="303">
        <v>5.3878000000000004</v>
      </c>
      <c r="J214" s="303">
        <f t="shared" ref="J214:J225" si="12">(SUM(B214:I214))/1000</f>
        <v>9.6122000000000013E-3</v>
      </c>
      <c r="K214" s="303">
        <v>2.2370000000000001</v>
      </c>
      <c r="L214" s="303">
        <v>6.8731</v>
      </c>
      <c r="M214" s="303">
        <f t="shared" ref="M214:M225" si="13">(SUM(J214:L214))/1000</f>
        <v>9.1197122000000012E-3</v>
      </c>
      <c r="N214" s="290"/>
      <c r="O214" s="284"/>
      <c r="P214" s="284"/>
      <c r="Q214" s="284"/>
      <c r="R214" s="284"/>
      <c r="S214" s="284"/>
      <c r="T214" s="284"/>
      <c r="U214" s="284"/>
      <c r="V214" s="284"/>
      <c r="W214" s="284"/>
      <c r="X214" s="284"/>
      <c r="Y214" s="284"/>
      <c r="Z214" s="284"/>
      <c r="AA214" s="284"/>
    </row>
    <row r="215" spans="1:27" ht="16.95" hidden="1" customHeight="1">
      <c r="A215" s="291" t="s">
        <v>9</v>
      </c>
      <c r="B215" s="303">
        <v>0.29649999999999999</v>
      </c>
      <c r="C215" s="303">
        <v>3.3E-3</v>
      </c>
      <c r="D215" s="303">
        <v>0</v>
      </c>
      <c r="E215" s="303">
        <v>0.12720000000000001</v>
      </c>
      <c r="F215" s="303">
        <v>0.86829999999999996</v>
      </c>
      <c r="G215" s="303">
        <v>2.35E-2</v>
      </c>
      <c r="H215" s="303">
        <v>0.15819999999999998</v>
      </c>
      <c r="I215" s="303">
        <v>4.6630000000000003</v>
      </c>
      <c r="J215" s="303">
        <f t="shared" si="12"/>
        <v>6.1400000000000005E-3</v>
      </c>
      <c r="K215" s="303">
        <v>2.3799000000000001</v>
      </c>
      <c r="L215" s="303">
        <v>7.2706</v>
      </c>
      <c r="M215" s="303">
        <f t="shared" si="13"/>
        <v>9.6566399999999993E-3</v>
      </c>
      <c r="N215" s="290"/>
      <c r="O215" s="284"/>
      <c r="P215" s="284"/>
      <c r="Q215" s="284"/>
      <c r="R215" s="284"/>
      <c r="S215" s="284"/>
      <c r="T215" s="284"/>
      <c r="U215" s="284"/>
      <c r="V215" s="284"/>
      <c r="W215" s="284"/>
      <c r="X215" s="284"/>
      <c r="Y215" s="284"/>
      <c r="Z215" s="284"/>
      <c r="AA215" s="284"/>
    </row>
    <row r="216" spans="1:27" ht="16.95" hidden="1" customHeight="1">
      <c r="A216" s="291" t="s">
        <v>10</v>
      </c>
      <c r="B216" s="303">
        <v>0.71450000000000002</v>
      </c>
      <c r="C216" s="303">
        <v>0.1714</v>
      </c>
      <c r="D216" s="303">
        <v>0.1</v>
      </c>
      <c r="E216" s="303">
        <v>4.5899999999999996E-2</v>
      </c>
      <c r="F216" s="303">
        <v>0.99170000000000003</v>
      </c>
      <c r="G216" s="303">
        <v>8.5599999999999996E-2</v>
      </c>
      <c r="H216" s="303">
        <v>0.13019999999999998</v>
      </c>
      <c r="I216" s="303">
        <v>4.9291</v>
      </c>
      <c r="J216" s="303">
        <f t="shared" si="12"/>
        <v>7.1684000000000001E-3</v>
      </c>
      <c r="K216" s="303">
        <v>2.8426</v>
      </c>
      <c r="L216" s="303">
        <v>7.6368</v>
      </c>
      <c r="M216" s="303">
        <f t="shared" si="13"/>
        <v>1.04865684E-2</v>
      </c>
      <c r="N216" s="290"/>
      <c r="O216" s="284"/>
      <c r="P216" s="284"/>
      <c r="Q216" s="284"/>
      <c r="R216" s="284"/>
      <c r="S216" s="284"/>
      <c r="T216" s="284"/>
      <c r="U216" s="284"/>
      <c r="V216" s="284"/>
      <c r="W216" s="284"/>
      <c r="X216" s="284"/>
      <c r="Y216" s="284"/>
      <c r="Z216" s="284"/>
      <c r="AA216" s="284"/>
    </row>
    <row r="217" spans="1:27" ht="16.95" hidden="1" customHeight="1">
      <c r="A217" s="291" t="s">
        <v>11</v>
      </c>
      <c r="B217" s="303">
        <v>0.48169999999999996</v>
      </c>
      <c r="C217" s="303">
        <v>3.3999999999999998E-3</v>
      </c>
      <c r="D217" s="303">
        <v>7.3499999999999996E-2</v>
      </c>
      <c r="E217" s="303">
        <v>0.45679999999999998</v>
      </c>
      <c r="F217" s="303">
        <v>0.43369999999999997</v>
      </c>
      <c r="G217" s="303">
        <v>8.8599999999999998E-2</v>
      </c>
      <c r="H217" s="303">
        <v>0.13019999999999998</v>
      </c>
      <c r="I217" s="303">
        <v>5.0762</v>
      </c>
      <c r="J217" s="303">
        <f t="shared" si="12"/>
        <v>6.7440999999999994E-3</v>
      </c>
      <c r="K217" s="303">
        <v>3.1218000000000004</v>
      </c>
      <c r="L217" s="303">
        <v>9.0767999999999986</v>
      </c>
      <c r="M217" s="303">
        <f t="shared" si="13"/>
        <v>1.22053441E-2</v>
      </c>
      <c r="N217" s="290"/>
      <c r="O217" s="284"/>
      <c r="P217" s="284"/>
      <c r="Q217" s="284"/>
      <c r="R217" s="284"/>
      <c r="S217" s="284"/>
      <c r="T217" s="284"/>
      <c r="U217" s="284"/>
      <c r="V217" s="284"/>
      <c r="W217" s="284"/>
      <c r="X217" s="284"/>
      <c r="Y217" s="284"/>
      <c r="Z217" s="284"/>
      <c r="AA217" s="284"/>
    </row>
    <row r="218" spans="1:27" ht="16.95" hidden="1" customHeight="1">
      <c r="A218" s="291" t="s">
        <v>337</v>
      </c>
      <c r="B218" s="303">
        <v>1.8360000000000001</v>
      </c>
      <c r="C218" s="303">
        <v>0.1817</v>
      </c>
      <c r="D218" s="303">
        <v>4.7000000000000002E-3</v>
      </c>
      <c r="E218" s="303">
        <v>0.8197000000000001</v>
      </c>
      <c r="F218" s="303">
        <v>0.4708</v>
      </c>
      <c r="G218" s="303">
        <v>4.53E-2</v>
      </c>
      <c r="H218" s="303">
        <v>0.13019999999999998</v>
      </c>
      <c r="I218" s="303">
        <v>3.8289</v>
      </c>
      <c r="J218" s="303">
        <f t="shared" si="12"/>
        <v>7.3173000000000005E-3</v>
      </c>
      <c r="K218" s="303">
        <v>3.4714999999999998</v>
      </c>
      <c r="L218" s="303">
        <v>17.02</v>
      </c>
      <c r="M218" s="303">
        <f t="shared" si="13"/>
        <v>2.04988173E-2</v>
      </c>
      <c r="N218" s="290"/>
      <c r="O218" s="284"/>
      <c r="P218" s="284"/>
      <c r="Q218" s="284"/>
      <c r="R218" s="284"/>
      <c r="S218" s="284"/>
      <c r="T218" s="284"/>
      <c r="U218" s="284"/>
      <c r="V218" s="284"/>
      <c r="W218" s="284"/>
      <c r="X218" s="284"/>
      <c r="Y218" s="284"/>
      <c r="Z218" s="284"/>
      <c r="AA218" s="284"/>
    </row>
    <row r="219" spans="1:27" ht="16.95" hidden="1" customHeight="1">
      <c r="A219" s="291" t="s">
        <v>346</v>
      </c>
      <c r="B219" s="303">
        <v>1.3535999999999999</v>
      </c>
      <c r="C219" s="303">
        <v>0.17749999999999999</v>
      </c>
      <c r="D219" s="303">
        <v>0.8</v>
      </c>
      <c r="E219" s="303">
        <v>0.92789999999999995</v>
      </c>
      <c r="F219" s="303">
        <v>0.79120000000000001</v>
      </c>
      <c r="G219" s="303">
        <v>0.19650000000000001</v>
      </c>
      <c r="H219" s="303">
        <v>0.13019999999999998</v>
      </c>
      <c r="I219" s="303">
        <v>3.8971999999999998</v>
      </c>
      <c r="J219" s="303">
        <f t="shared" si="12"/>
        <v>8.2741000000000012E-3</v>
      </c>
      <c r="K219" s="303">
        <v>3.6499000000000001</v>
      </c>
      <c r="L219" s="303">
        <v>12.603200000000001</v>
      </c>
      <c r="M219" s="303">
        <f t="shared" si="13"/>
        <v>1.62613741E-2</v>
      </c>
      <c r="N219" s="290"/>
      <c r="O219" s="284"/>
      <c r="P219" s="284"/>
      <c r="Q219" s="284"/>
      <c r="R219" s="284"/>
      <c r="S219" s="284"/>
      <c r="T219" s="284"/>
      <c r="U219" s="284"/>
      <c r="V219" s="284"/>
      <c r="W219" s="284"/>
      <c r="X219" s="284"/>
      <c r="Y219" s="284"/>
      <c r="Z219" s="284"/>
      <c r="AA219" s="284"/>
    </row>
    <row r="220" spans="1:27" ht="16.95" hidden="1" customHeight="1">
      <c r="A220" s="291" t="s">
        <v>347</v>
      </c>
      <c r="B220" s="303">
        <v>0.1288</v>
      </c>
      <c r="C220" s="303">
        <v>0.3054</v>
      </c>
      <c r="D220" s="303">
        <v>0.15</v>
      </c>
      <c r="E220" s="303">
        <v>0.83199999999999996</v>
      </c>
      <c r="F220" s="303">
        <v>1.2612000000000001</v>
      </c>
      <c r="G220" s="303">
        <v>0.1237</v>
      </c>
      <c r="H220" s="303">
        <v>0.13019999999999998</v>
      </c>
      <c r="I220" s="303">
        <v>6.4329000000000001</v>
      </c>
      <c r="J220" s="303">
        <f t="shared" si="12"/>
        <v>9.3641999999999996E-3</v>
      </c>
      <c r="K220" s="303">
        <v>3.8973</v>
      </c>
      <c r="L220" s="303">
        <v>11.946</v>
      </c>
      <c r="M220" s="303">
        <f t="shared" si="13"/>
        <v>1.5852664199999998E-2</v>
      </c>
      <c r="N220" s="290"/>
      <c r="O220" s="284"/>
      <c r="P220" s="284"/>
      <c r="Q220" s="284"/>
      <c r="R220" s="284"/>
      <c r="S220" s="284"/>
      <c r="T220" s="284"/>
      <c r="U220" s="284"/>
      <c r="V220" s="284"/>
      <c r="W220" s="284"/>
      <c r="X220" s="284"/>
      <c r="Y220" s="284"/>
      <c r="Z220" s="284"/>
      <c r="AA220" s="284"/>
    </row>
    <row r="221" spans="1:27" ht="16.95" hidden="1" customHeight="1">
      <c r="A221" s="291" t="s">
        <v>12</v>
      </c>
      <c r="B221" s="303">
        <v>0.6472</v>
      </c>
      <c r="C221" s="303">
        <v>0.2334</v>
      </c>
      <c r="D221" s="303">
        <v>0.34910000000000002</v>
      </c>
      <c r="E221" s="303">
        <v>0.64770000000000005</v>
      </c>
      <c r="F221" s="303">
        <v>1.0324</v>
      </c>
      <c r="G221" s="303">
        <v>0.113</v>
      </c>
      <c r="H221" s="303">
        <v>0.13019999999999998</v>
      </c>
      <c r="I221" s="303">
        <v>4.4880000000000004</v>
      </c>
      <c r="J221" s="303">
        <f t="shared" si="12"/>
        <v>7.6410000000000002E-3</v>
      </c>
      <c r="K221" s="303">
        <v>4.0125999999999999</v>
      </c>
      <c r="L221" s="303">
        <v>11.1614</v>
      </c>
      <c r="M221" s="303">
        <f t="shared" si="13"/>
        <v>1.5181640999999999E-2</v>
      </c>
      <c r="N221" s="290"/>
      <c r="O221" s="284"/>
      <c r="P221" s="284"/>
      <c r="Q221" s="284"/>
      <c r="R221" s="284"/>
      <c r="S221" s="284"/>
      <c r="T221" s="284"/>
      <c r="U221" s="284"/>
      <c r="V221" s="284"/>
      <c r="W221" s="284"/>
      <c r="X221" s="284"/>
      <c r="Y221" s="284"/>
      <c r="Z221" s="284"/>
      <c r="AA221" s="284"/>
    </row>
    <row r="222" spans="1:27" ht="16.95" hidden="1" customHeight="1">
      <c r="A222" s="291" t="s">
        <v>13</v>
      </c>
      <c r="B222" s="303">
        <v>0.2399</v>
      </c>
      <c r="C222" s="303">
        <v>0.2334</v>
      </c>
      <c r="D222" s="303">
        <v>0.1</v>
      </c>
      <c r="E222" s="303">
        <v>0.85639999999999994</v>
      </c>
      <c r="F222" s="303">
        <v>0.73009999999999997</v>
      </c>
      <c r="G222" s="303">
        <v>0.1421</v>
      </c>
      <c r="H222" s="303">
        <v>0.13019999999999998</v>
      </c>
      <c r="I222" s="303">
        <v>5.1619999999999999</v>
      </c>
      <c r="J222" s="303">
        <f t="shared" si="12"/>
        <v>7.5940999999999995E-3</v>
      </c>
      <c r="K222" s="303">
        <v>4.3161000000000005</v>
      </c>
      <c r="L222" s="303">
        <v>9.3544999999999998</v>
      </c>
      <c r="M222" s="303">
        <f t="shared" si="13"/>
        <v>1.3678194100000001E-2</v>
      </c>
      <c r="N222" s="290"/>
      <c r="O222" s="284"/>
      <c r="P222" s="284"/>
      <c r="Q222" s="284"/>
      <c r="R222" s="284"/>
      <c r="S222" s="284"/>
      <c r="T222" s="284"/>
      <c r="U222" s="284"/>
      <c r="V222" s="284"/>
      <c r="W222" s="284"/>
      <c r="X222" s="284"/>
      <c r="Y222" s="284"/>
      <c r="Z222" s="284"/>
      <c r="AA222" s="284"/>
    </row>
    <row r="223" spans="1:27" ht="16.95" hidden="1" customHeight="1">
      <c r="A223" s="291" t="s">
        <v>14</v>
      </c>
      <c r="B223" s="303">
        <v>2.8035999999999999</v>
      </c>
      <c r="C223" s="303">
        <v>0.55000000000000004</v>
      </c>
      <c r="D223" s="303">
        <v>0.12140000000000001</v>
      </c>
      <c r="E223" s="303">
        <v>1.0945</v>
      </c>
      <c r="F223" s="303">
        <v>1.1822999999999999</v>
      </c>
      <c r="G223" s="303">
        <v>7.3599999999999999E-2</v>
      </c>
      <c r="H223" s="303">
        <v>0.13019999999999998</v>
      </c>
      <c r="I223" s="303">
        <v>4.9115000000000002</v>
      </c>
      <c r="J223" s="303">
        <f t="shared" si="12"/>
        <v>1.0867100000000001E-2</v>
      </c>
      <c r="K223" s="303">
        <v>4.3366999999999996</v>
      </c>
      <c r="L223" s="303">
        <v>9.1917000000000009</v>
      </c>
      <c r="M223" s="303">
        <f t="shared" si="13"/>
        <v>1.35392671E-2</v>
      </c>
      <c r="N223" s="290"/>
      <c r="O223" s="284"/>
      <c r="P223" s="284"/>
      <c r="Q223" s="284"/>
      <c r="R223" s="284"/>
      <c r="S223" s="284"/>
      <c r="T223" s="284"/>
      <c r="U223" s="284"/>
      <c r="V223" s="284"/>
      <c r="W223" s="284"/>
      <c r="X223" s="284"/>
      <c r="Y223" s="284"/>
      <c r="Z223" s="284"/>
      <c r="AA223" s="284"/>
    </row>
    <row r="224" spans="1:27" ht="16.95" hidden="1" customHeight="1">
      <c r="A224" s="291" t="s">
        <v>15</v>
      </c>
      <c r="B224" s="303">
        <v>0.23169999999999999</v>
      </c>
      <c r="C224" s="303">
        <v>0.245</v>
      </c>
      <c r="D224" s="303">
        <v>3.0000000000000001E-3</v>
      </c>
      <c r="E224" s="303">
        <v>1.1305000000000001</v>
      </c>
      <c r="F224" s="303">
        <v>1.1942999999999999</v>
      </c>
      <c r="G224" s="303">
        <v>7.0000000000000001E-3</v>
      </c>
      <c r="H224" s="303">
        <v>0.13019999999999998</v>
      </c>
      <c r="I224" s="303">
        <v>5.4166999999999996</v>
      </c>
      <c r="J224" s="303">
        <f t="shared" si="12"/>
        <v>8.3584000000000002E-3</v>
      </c>
      <c r="K224" s="303">
        <v>5.7696000000000005</v>
      </c>
      <c r="L224" s="303">
        <v>8.9457999999999984</v>
      </c>
      <c r="M224" s="303">
        <f t="shared" si="13"/>
        <v>1.4723758399999998E-2</v>
      </c>
      <c r="N224" s="290"/>
      <c r="O224" s="284"/>
      <c r="P224" s="284"/>
      <c r="Q224" s="284"/>
      <c r="R224" s="284"/>
      <c r="S224" s="284"/>
      <c r="T224" s="284"/>
      <c r="U224" s="284"/>
      <c r="V224" s="284"/>
      <c r="W224" s="284"/>
      <c r="X224" s="284"/>
      <c r="Y224" s="284"/>
      <c r="Z224" s="284"/>
      <c r="AA224" s="284"/>
    </row>
    <row r="225" spans="1:27" ht="16.95" hidden="1" customHeight="1">
      <c r="A225" s="291" t="s">
        <v>16</v>
      </c>
      <c r="B225" s="303">
        <v>0.61229999999999996</v>
      </c>
      <c r="C225" s="303">
        <v>1.4999999999999999E-2</v>
      </c>
      <c r="D225" s="303">
        <v>0</v>
      </c>
      <c r="E225" s="303">
        <v>0.83839999999999992</v>
      </c>
      <c r="F225" s="303">
        <v>0.5222</v>
      </c>
      <c r="G225" s="303">
        <v>0.1075</v>
      </c>
      <c r="H225" s="303">
        <v>1.8200000000000001E-2</v>
      </c>
      <c r="I225" s="303">
        <v>5.4476000000000004</v>
      </c>
      <c r="J225" s="303">
        <f t="shared" si="12"/>
        <v>7.5612000000000014E-3</v>
      </c>
      <c r="K225" s="303">
        <v>5.3129</v>
      </c>
      <c r="L225" s="303">
        <v>8.7172000000000001</v>
      </c>
      <c r="M225" s="303">
        <f t="shared" si="13"/>
        <v>1.4037661199999999E-2</v>
      </c>
      <c r="N225" s="290"/>
      <c r="O225" s="284"/>
      <c r="P225" s="284"/>
      <c r="Q225" s="284"/>
      <c r="R225" s="284"/>
      <c r="S225" s="284"/>
      <c r="T225" s="284"/>
      <c r="U225" s="284"/>
      <c r="V225" s="284"/>
      <c r="W225" s="284"/>
      <c r="X225" s="284"/>
      <c r="Y225" s="284"/>
      <c r="Z225" s="284"/>
      <c r="AA225" s="284"/>
    </row>
    <row r="226" spans="1:27" ht="16.95" hidden="1" customHeight="1">
      <c r="A226" s="291"/>
      <c r="B226" s="303"/>
      <c r="C226" s="303"/>
      <c r="D226" s="303"/>
      <c r="E226" s="303"/>
      <c r="F226" s="303"/>
      <c r="G226" s="303"/>
      <c r="H226" s="303"/>
      <c r="I226" s="303"/>
      <c r="J226" s="303"/>
      <c r="K226" s="303"/>
      <c r="L226" s="303"/>
      <c r="M226" s="303"/>
      <c r="N226" s="290"/>
      <c r="O226" s="284"/>
      <c r="P226" s="284"/>
      <c r="Q226" s="284"/>
      <c r="R226" s="284"/>
      <c r="S226" s="284"/>
      <c r="T226" s="284"/>
      <c r="U226" s="284"/>
      <c r="V226" s="284"/>
      <c r="W226" s="284"/>
      <c r="X226" s="284"/>
      <c r="Y226" s="284"/>
      <c r="Z226" s="284"/>
      <c r="AA226" s="284"/>
    </row>
    <row r="227" spans="1:27" ht="18.75" hidden="1" customHeight="1">
      <c r="A227" s="304">
        <v>2002</v>
      </c>
      <c r="B227" s="303"/>
      <c r="C227" s="303"/>
      <c r="D227" s="303"/>
      <c r="E227" s="303"/>
      <c r="F227" s="303"/>
      <c r="G227" s="303"/>
      <c r="H227" s="303"/>
      <c r="I227" s="303"/>
      <c r="J227" s="303"/>
      <c r="K227" s="303"/>
      <c r="L227" s="303"/>
      <c r="M227" s="303"/>
      <c r="N227" s="290"/>
      <c r="O227" s="284"/>
      <c r="P227" s="284"/>
      <c r="Q227" s="284"/>
      <c r="R227" s="284"/>
      <c r="S227" s="284"/>
      <c r="T227" s="284"/>
      <c r="U227" s="284"/>
      <c r="V227" s="284"/>
      <c r="W227" s="284"/>
      <c r="X227" s="284"/>
      <c r="Y227" s="284"/>
      <c r="Z227" s="284"/>
      <c r="AA227" s="284"/>
    </row>
    <row r="228" spans="1:27" ht="16.95" hidden="1" customHeight="1">
      <c r="A228" s="291"/>
      <c r="B228" s="303"/>
      <c r="C228" s="303"/>
      <c r="D228" s="303"/>
      <c r="E228" s="303"/>
      <c r="F228" s="303"/>
      <c r="G228" s="303"/>
      <c r="H228" s="303"/>
      <c r="I228" s="303"/>
      <c r="J228" s="303"/>
      <c r="K228" s="303"/>
      <c r="L228" s="303"/>
      <c r="M228" s="303"/>
      <c r="N228" s="290"/>
      <c r="O228" s="284"/>
      <c r="P228" s="284"/>
      <c r="Q228" s="284"/>
      <c r="R228" s="284"/>
      <c r="S228" s="284"/>
      <c r="T228" s="284"/>
      <c r="U228" s="284"/>
      <c r="V228" s="284"/>
      <c r="W228" s="284"/>
      <c r="X228" s="284"/>
      <c r="Y228" s="284"/>
      <c r="Z228" s="284"/>
      <c r="AA228" s="284"/>
    </row>
    <row r="229" spans="1:27" ht="16.95" hidden="1" customHeight="1">
      <c r="A229" s="291" t="s">
        <v>8</v>
      </c>
      <c r="B229" s="303">
        <v>0.1351</v>
      </c>
      <c r="C229" s="303">
        <v>0.1701</v>
      </c>
      <c r="D229" s="303">
        <v>2.2000000000000001E-3</v>
      </c>
      <c r="E229" s="303">
        <v>1.0659000000000001</v>
      </c>
      <c r="F229" s="303">
        <v>0.60709999999999997</v>
      </c>
      <c r="G229" s="303">
        <v>5.2200000000000003E-2</v>
      </c>
      <c r="H229" s="303">
        <v>0</v>
      </c>
      <c r="I229" s="303">
        <v>8.6632999999999996</v>
      </c>
      <c r="J229" s="303">
        <f t="shared" ref="J229:J240" si="14">(SUM(B229:I229))/1000</f>
        <v>1.06959E-2</v>
      </c>
      <c r="K229" s="303">
        <v>4.0960000000000001</v>
      </c>
      <c r="L229" s="303">
        <v>9.1997</v>
      </c>
      <c r="M229" s="303">
        <f t="shared" ref="M229:M240" si="15">(SUM(J229:L229))/1000</f>
        <v>1.33063959E-2</v>
      </c>
      <c r="N229" s="290"/>
      <c r="O229" s="284"/>
      <c r="P229" s="284"/>
      <c r="Q229" s="284"/>
      <c r="R229" s="284"/>
      <c r="S229" s="284"/>
      <c r="T229" s="284"/>
      <c r="U229" s="284"/>
      <c r="V229" s="284"/>
      <c r="W229" s="284"/>
      <c r="X229" s="284"/>
      <c r="Y229" s="284"/>
      <c r="Z229" s="284"/>
      <c r="AA229" s="284"/>
    </row>
    <row r="230" spans="1:27" ht="16.95" hidden="1" customHeight="1">
      <c r="A230" s="291" t="s">
        <v>9</v>
      </c>
      <c r="B230" s="303">
        <v>0.44110000000000005</v>
      </c>
      <c r="C230" s="303">
        <v>0.27010000000000001</v>
      </c>
      <c r="D230" s="303">
        <v>8.199999999999999E-3</v>
      </c>
      <c r="E230" s="303">
        <v>0.37889999999999996</v>
      </c>
      <c r="F230" s="303">
        <v>0.61060000000000003</v>
      </c>
      <c r="G230" s="303">
        <v>7.9000000000000001E-2</v>
      </c>
      <c r="H230" s="303">
        <v>0</v>
      </c>
      <c r="I230" s="303">
        <v>9.8062000000000005</v>
      </c>
      <c r="J230" s="303">
        <f t="shared" si="14"/>
        <v>1.1594100000000001E-2</v>
      </c>
      <c r="K230" s="303">
        <v>3.4356999999999998</v>
      </c>
      <c r="L230" s="303">
        <v>11.792200000000001</v>
      </c>
      <c r="M230" s="303">
        <f t="shared" si="15"/>
        <v>1.5239494100000002E-2</v>
      </c>
      <c r="N230" s="290"/>
      <c r="O230" s="284"/>
      <c r="P230" s="284"/>
      <c r="Q230" s="284"/>
      <c r="R230" s="284"/>
      <c r="S230" s="284"/>
      <c r="T230" s="284"/>
      <c r="U230" s="284"/>
      <c r="V230" s="284"/>
      <c r="W230" s="284"/>
      <c r="X230" s="284"/>
      <c r="Y230" s="284"/>
      <c r="Z230" s="284"/>
      <c r="AA230" s="284"/>
    </row>
    <row r="231" spans="1:27" ht="16.95" hidden="1" customHeight="1">
      <c r="A231" s="291" t="s">
        <v>10</v>
      </c>
      <c r="B231" s="303">
        <v>1.2367000000000001</v>
      </c>
      <c r="C231" s="303">
        <v>0.12959999999999999</v>
      </c>
      <c r="D231" s="303">
        <v>0</v>
      </c>
      <c r="E231" s="303">
        <v>0.3196</v>
      </c>
      <c r="F231" s="303">
        <v>1.1725000000000001</v>
      </c>
      <c r="G231" s="303">
        <v>6.3E-2</v>
      </c>
      <c r="H231" s="303">
        <v>0</v>
      </c>
      <c r="I231" s="303">
        <v>11.7127</v>
      </c>
      <c r="J231" s="303">
        <f t="shared" si="14"/>
        <v>1.4634100000000001E-2</v>
      </c>
      <c r="K231" s="303">
        <v>2.9140999999999999</v>
      </c>
      <c r="L231" s="303">
        <v>11.188600000000001</v>
      </c>
      <c r="M231" s="303">
        <f t="shared" si="15"/>
        <v>1.41173341E-2</v>
      </c>
      <c r="N231" s="290"/>
      <c r="O231" s="284"/>
      <c r="P231" s="284"/>
      <c r="Q231" s="284"/>
      <c r="R231" s="284"/>
      <c r="S231" s="284"/>
      <c r="T231" s="284"/>
      <c r="U231" s="284"/>
      <c r="V231" s="284"/>
      <c r="W231" s="284"/>
      <c r="X231" s="284"/>
      <c r="Y231" s="284"/>
      <c r="Z231" s="284"/>
      <c r="AA231" s="284"/>
    </row>
    <row r="232" spans="1:27" ht="16.95" hidden="1" customHeight="1">
      <c r="A232" s="291" t="s">
        <v>11</v>
      </c>
      <c r="B232" s="303">
        <v>2.4158000000000004</v>
      </c>
      <c r="C232" s="303">
        <v>0.21659999999999999</v>
      </c>
      <c r="D232" s="303">
        <v>0</v>
      </c>
      <c r="E232" s="303">
        <v>0.52870000000000006</v>
      </c>
      <c r="F232" s="303">
        <v>1.4220999999999999</v>
      </c>
      <c r="G232" s="303">
        <v>0.3629</v>
      </c>
      <c r="H232" s="303">
        <v>0.112</v>
      </c>
      <c r="I232" s="303">
        <v>13.051399999999999</v>
      </c>
      <c r="J232" s="303">
        <f t="shared" si="14"/>
        <v>1.8109500000000001E-2</v>
      </c>
      <c r="K232" s="303">
        <v>3.2044999999999999</v>
      </c>
      <c r="L232" s="303">
        <v>22.598800000000001</v>
      </c>
      <c r="M232" s="303">
        <f t="shared" si="15"/>
        <v>2.58214095E-2</v>
      </c>
      <c r="N232" s="290"/>
      <c r="O232" s="284"/>
      <c r="P232" s="284"/>
      <c r="Q232" s="284"/>
      <c r="R232" s="284"/>
      <c r="S232" s="284"/>
      <c r="T232" s="284"/>
      <c r="U232" s="284"/>
      <c r="V232" s="284"/>
      <c r="W232" s="284"/>
      <c r="X232" s="284"/>
      <c r="Y232" s="284"/>
      <c r="Z232" s="284"/>
      <c r="AA232" s="284"/>
    </row>
    <row r="233" spans="1:27" ht="16.95" hidden="1" customHeight="1">
      <c r="A233" s="291" t="s">
        <v>337</v>
      </c>
      <c r="B233" s="303">
        <v>2.7979000000000003</v>
      </c>
      <c r="C233" s="303">
        <v>0.26850000000000002</v>
      </c>
      <c r="D233" s="303">
        <v>0.34100000000000003</v>
      </c>
      <c r="E233" s="303">
        <v>1.1291</v>
      </c>
      <c r="F233" s="303">
        <v>1.8332999999999999</v>
      </c>
      <c r="G233" s="303">
        <v>0.65179999999999993</v>
      </c>
      <c r="H233" s="303">
        <v>0.112</v>
      </c>
      <c r="I233" s="303">
        <v>14.111799999999999</v>
      </c>
      <c r="J233" s="303">
        <f t="shared" si="14"/>
        <v>2.1245399999999998E-2</v>
      </c>
      <c r="K233" s="303">
        <v>4.5521000000000003</v>
      </c>
      <c r="L233" s="303">
        <v>28.479599999999998</v>
      </c>
      <c r="M233" s="303">
        <f t="shared" si="15"/>
        <v>3.3052945399999999E-2</v>
      </c>
      <c r="N233" s="290"/>
      <c r="O233" s="284"/>
      <c r="P233" s="284"/>
      <c r="Q233" s="284"/>
      <c r="R233" s="284"/>
      <c r="S233" s="284"/>
      <c r="T233" s="284"/>
      <c r="U233" s="284"/>
      <c r="V233" s="284"/>
      <c r="W233" s="284"/>
      <c r="X233" s="284"/>
      <c r="Y233" s="284"/>
      <c r="Z233" s="284"/>
      <c r="AA233" s="284"/>
    </row>
    <row r="234" spans="1:27" ht="20.25" hidden="1" customHeight="1">
      <c r="A234" s="291" t="s">
        <v>346</v>
      </c>
      <c r="B234" s="303">
        <v>1.1692</v>
      </c>
      <c r="C234" s="303">
        <v>0.113</v>
      </c>
      <c r="D234" s="303">
        <v>0.25869999999999999</v>
      </c>
      <c r="E234" s="303">
        <v>0.89729999999999999</v>
      </c>
      <c r="F234" s="303">
        <v>2.3498000000000001</v>
      </c>
      <c r="G234" s="303">
        <v>0.18330000000000002</v>
      </c>
      <c r="H234" s="303">
        <v>0.112</v>
      </c>
      <c r="I234" s="303">
        <v>18.401199999999999</v>
      </c>
      <c r="J234" s="303">
        <f t="shared" si="14"/>
        <v>2.3484500000000002E-2</v>
      </c>
      <c r="K234" s="303">
        <v>4.7275</v>
      </c>
      <c r="L234" s="303">
        <v>17.541599999999999</v>
      </c>
      <c r="M234" s="303">
        <f t="shared" si="15"/>
        <v>2.22925845E-2</v>
      </c>
      <c r="N234" s="290"/>
      <c r="O234" s="284"/>
      <c r="P234" s="284"/>
      <c r="Q234" s="284"/>
      <c r="R234" s="284"/>
      <c r="S234" s="284"/>
      <c r="T234" s="284"/>
      <c r="U234" s="284"/>
      <c r="V234" s="284"/>
      <c r="W234" s="284"/>
      <c r="X234" s="284"/>
      <c r="Y234" s="284"/>
      <c r="Z234" s="284"/>
      <c r="AA234" s="284"/>
    </row>
    <row r="235" spans="1:27" ht="20.25" hidden="1" customHeight="1">
      <c r="A235" s="291" t="s">
        <v>347</v>
      </c>
      <c r="B235" s="303">
        <v>0.32189999999999996</v>
      </c>
      <c r="C235" s="303">
        <v>0.87779999999999991</v>
      </c>
      <c r="D235" s="303">
        <v>0.26</v>
      </c>
      <c r="E235" s="303">
        <v>2.4535999999999998</v>
      </c>
      <c r="F235" s="303">
        <v>2.2046999999999999</v>
      </c>
      <c r="G235" s="303">
        <v>0.42780000000000001</v>
      </c>
      <c r="H235" s="303">
        <v>0.112</v>
      </c>
      <c r="I235" s="303">
        <v>17.642900000000001</v>
      </c>
      <c r="J235" s="303">
        <f t="shared" si="14"/>
        <v>2.4300699999999998E-2</v>
      </c>
      <c r="K235" s="303">
        <v>4.4154</v>
      </c>
      <c r="L235" s="303">
        <v>17.414900000000003</v>
      </c>
      <c r="M235" s="303">
        <f t="shared" si="15"/>
        <v>2.1854600700000001E-2</v>
      </c>
      <c r="N235" s="290"/>
      <c r="O235" s="284"/>
      <c r="P235" s="284"/>
      <c r="Q235" s="284"/>
      <c r="R235" s="284"/>
      <c r="S235" s="284"/>
      <c r="T235" s="284"/>
      <c r="U235" s="284"/>
      <c r="V235" s="284"/>
      <c r="W235" s="284"/>
      <c r="X235" s="284"/>
      <c r="Y235" s="284"/>
      <c r="Z235" s="284"/>
      <c r="AA235" s="284"/>
    </row>
    <row r="236" spans="1:27" ht="20.25" hidden="1" customHeight="1">
      <c r="A236" s="291" t="s">
        <v>12</v>
      </c>
      <c r="B236" s="303">
        <v>2.5576999999999996</v>
      </c>
      <c r="C236" s="303">
        <v>1.3389000000000002</v>
      </c>
      <c r="D236" s="303">
        <v>0.33710000000000001</v>
      </c>
      <c r="E236" s="303">
        <v>1.8271999999999999</v>
      </c>
      <c r="F236" s="303">
        <v>2.0979999999999999</v>
      </c>
      <c r="G236" s="303">
        <v>0.502</v>
      </c>
      <c r="H236" s="303">
        <v>0.112</v>
      </c>
      <c r="I236" s="303">
        <v>15.780700000000001</v>
      </c>
      <c r="J236" s="303">
        <f t="shared" si="14"/>
        <v>2.4553600000000002E-2</v>
      </c>
      <c r="K236" s="303">
        <v>4.6515000000000004</v>
      </c>
      <c r="L236" s="303">
        <v>17.209199999999999</v>
      </c>
      <c r="M236" s="303">
        <f t="shared" si="15"/>
        <v>2.1885253599999998E-2</v>
      </c>
      <c r="N236" s="290"/>
      <c r="O236" s="284"/>
      <c r="P236" s="284"/>
      <c r="Q236" s="284"/>
      <c r="R236" s="284"/>
      <c r="S236" s="284"/>
      <c r="T236" s="284"/>
      <c r="U236" s="284"/>
      <c r="V236" s="284"/>
      <c r="W236" s="284"/>
      <c r="X236" s="284"/>
      <c r="Y236" s="284"/>
      <c r="Z236" s="284"/>
      <c r="AA236" s="284"/>
    </row>
    <row r="237" spans="1:27" ht="20.25" hidden="1" customHeight="1">
      <c r="A237" s="291" t="s">
        <v>13</v>
      </c>
      <c r="B237" s="303">
        <v>7.8011999999999997</v>
      </c>
      <c r="C237" s="303">
        <v>0.14299999999999999</v>
      </c>
      <c r="D237" s="303">
        <v>0.32880000000000004</v>
      </c>
      <c r="E237" s="303">
        <v>1.4854000000000001</v>
      </c>
      <c r="F237" s="303">
        <v>2.6301000000000001</v>
      </c>
      <c r="G237" s="303">
        <v>0.3251</v>
      </c>
      <c r="H237" s="303">
        <v>0.112</v>
      </c>
      <c r="I237" s="303">
        <v>17.872499999999999</v>
      </c>
      <c r="J237" s="303">
        <f t="shared" si="14"/>
        <v>3.0698099999999999E-2</v>
      </c>
      <c r="K237" s="303">
        <v>4.9634999999999998</v>
      </c>
      <c r="L237" s="303">
        <v>16.819599999999998</v>
      </c>
      <c r="M237" s="303">
        <f t="shared" si="15"/>
        <v>2.18137981E-2</v>
      </c>
      <c r="N237" s="290"/>
      <c r="O237" s="284"/>
      <c r="P237" s="284"/>
      <c r="Q237" s="284"/>
      <c r="R237" s="284"/>
      <c r="S237" s="284"/>
      <c r="T237" s="284"/>
      <c r="U237" s="284"/>
      <c r="V237" s="284"/>
      <c r="W237" s="284"/>
      <c r="X237" s="284"/>
      <c r="Y237" s="284"/>
      <c r="Z237" s="284"/>
      <c r="AA237" s="284"/>
    </row>
    <row r="238" spans="1:27" ht="20.25" hidden="1" customHeight="1">
      <c r="A238" s="291" t="s">
        <v>14</v>
      </c>
      <c r="B238" s="303">
        <v>3.6914000000000002</v>
      </c>
      <c r="C238" s="303">
        <v>3.0000000000000001E-3</v>
      </c>
      <c r="D238" s="303">
        <v>2.2100000000000002E-2</v>
      </c>
      <c r="E238" s="303">
        <v>1.0634000000000001</v>
      </c>
      <c r="F238" s="303">
        <v>2.8088000000000002</v>
      </c>
      <c r="G238" s="303">
        <v>0.30060000000000003</v>
      </c>
      <c r="H238" s="303">
        <v>0.112</v>
      </c>
      <c r="I238" s="303">
        <v>26.389400000000002</v>
      </c>
      <c r="J238" s="303">
        <f t="shared" si="14"/>
        <v>3.4390700000000003E-2</v>
      </c>
      <c r="K238" s="303">
        <v>5.0973000000000006</v>
      </c>
      <c r="L238" s="303">
        <v>17.605400000000003</v>
      </c>
      <c r="M238" s="303">
        <f t="shared" si="15"/>
        <v>2.2737090700000004E-2</v>
      </c>
      <c r="N238" s="290"/>
      <c r="O238" s="284"/>
      <c r="P238" s="284"/>
      <c r="Q238" s="284"/>
      <c r="R238" s="284"/>
      <c r="S238" s="284"/>
      <c r="T238" s="284"/>
      <c r="U238" s="284"/>
      <c r="V238" s="284"/>
      <c r="W238" s="284"/>
      <c r="X238" s="284"/>
      <c r="Y238" s="284"/>
      <c r="Z238" s="284"/>
      <c r="AA238" s="284"/>
    </row>
    <row r="239" spans="1:27" ht="20.25" hidden="1" customHeight="1">
      <c r="A239" s="291" t="s">
        <v>15</v>
      </c>
      <c r="B239" s="303">
        <v>1.1240000000000001</v>
      </c>
      <c r="C239" s="303">
        <v>0.68159999999999998</v>
      </c>
      <c r="D239" s="303">
        <v>0.13419999999999999</v>
      </c>
      <c r="E239" s="303">
        <v>1.8511</v>
      </c>
      <c r="F239" s="303">
        <v>2.7195</v>
      </c>
      <c r="G239" s="303">
        <v>1.3829</v>
      </c>
      <c r="H239" s="303">
        <v>0.112</v>
      </c>
      <c r="I239" s="303">
        <v>33.991300000000003</v>
      </c>
      <c r="J239" s="303">
        <f t="shared" si="14"/>
        <v>4.1996600000000002E-2</v>
      </c>
      <c r="K239" s="303">
        <v>5.1501000000000001</v>
      </c>
      <c r="L239" s="303">
        <v>18.722999999999999</v>
      </c>
      <c r="M239" s="303">
        <f t="shared" si="15"/>
        <v>2.3915096599999998E-2</v>
      </c>
      <c r="N239" s="290"/>
      <c r="O239" s="284"/>
      <c r="P239" s="284"/>
      <c r="Q239" s="284"/>
      <c r="R239" s="284"/>
      <c r="S239" s="284"/>
      <c r="T239" s="284"/>
      <c r="U239" s="284"/>
      <c r="V239" s="284"/>
      <c r="W239" s="284"/>
      <c r="X239" s="284"/>
      <c r="Y239" s="284"/>
      <c r="Z239" s="284"/>
      <c r="AA239" s="284"/>
    </row>
    <row r="240" spans="1:27" ht="20.25" hidden="1" customHeight="1">
      <c r="A240" s="291" t="s">
        <v>16</v>
      </c>
      <c r="B240" s="303">
        <v>1.5764</v>
      </c>
      <c r="C240" s="303">
        <v>0.53170000000000006</v>
      </c>
      <c r="D240" s="303">
        <v>2.6600000000000002E-2</v>
      </c>
      <c r="E240" s="303">
        <v>0.2122</v>
      </c>
      <c r="F240" s="303">
        <v>2.0761999999999996</v>
      </c>
      <c r="G240" s="303">
        <v>1.9439000000000002</v>
      </c>
      <c r="H240" s="303">
        <v>0.112</v>
      </c>
      <c r="I240" s="303">
        <v>27.949099999999998</v>
      </c>
      <c r="J240" s="303">
        <f t="shared" si="14"/>
        <v>3.4428100000000003E-2</v>
      </c>
      <c r="K240" s="303">
        <v>5.6295000000000002</v>
      </c>
      <c r="L240" s="303">
        <v>20.302099999999999</v>
      </c>
      <c r="M240" s="303">
        <f t="shared" si="15"/>
        <v>2.59660281E-2</v>
      </c>
      <c r="N240" s="290"/>
      <c r="O240" s="284"/>
      <c r="P240" s="284"/>
      <c r="Q240" s="284"/>
      <c r="R240" s="284"/>
      <c r="S240" s="284"/>
      <c r="T240" s="284"/>
      <c r="U240" s="284"/>
      <c r="V240" s="284"/>
      <c r="W240" s="284"/>
      <c r="X240" s="284"/>
      <c r="Y240" s="284"/>
      <c r="Z240" s="284"/>
      <c r="AA240" s="284"/>
    </row>
    <row r="241" spans="1:27" ht="16.95" hidden="1" customHeight="1">
      <c r="A241" s="291"/>
      <c r="B241" s="303">
        <v>0</v>
      </c>
      <c r="C241" s="303">
        <v>0</v>
      </c>
      <c r="D241" s="303">
        <v>0</v>
      </c>
      <c r="E241" s="303">
        <v>0</v>
      </c>
      <c r="F241" s="303">
        <v>0</v>
      </c>
      <c r="G241" s="303">
        <v>0</v>
      </c>
      <c r="H241" s="303">
        <v>0</v>
      </c>
      <c r="I241" s="303">
        <v>0</v>
      </c>
      <c r="J241" s="303">
        <v>0</v>
      </c>
      <c r="K241" s="303">
        <v>0</v>
      </c>
      <c r="L241" s="303">
        <v>0</v>
      </c>
      <c r="M241" s="303">
        <v>0</v>
      </c>
      <c r="N241" s="290"/>
      <c r="O241" s="284"/>
      <c r="P241" s="284"/>
      <c r="Q241" s="284"/>
      <c r="R241" s="284"/>
      <c r="S241" s="284"/>
      <c r="T241" s="284"/>
      <c r="U241" s="284"/>
      <c r="V241" s="284"/>
      <c r="W241" s="284"/>
      <c r="X241" s="284"/>
      <c r="Y241" s="284"/>
      <c r="Z241" s="284"/>
      <c r="AA241" s="284"/>
    </row>
    <row r="242" spans="1:27" ht="18.75" hidden="1" customHeight="1">
      <c r="A242" s="304">
        <v>2003</v>
      </c>
      <c r="B242" s="303"/>
      <c r="C242" s="303"/>
      <c r="D242" s="303"/>
      <c r="E242" s="303"/>
      <c r="F242" s="303"/>
      <c r="G242" s="303"/>
      <c r="H242" s="303"/>
      <c r="I242" s="303"/>
      <c r="J242" s="303"/>
      <c r="K242" s="303"/>
      <c r="L242" s="303"/>
      <c r="M242" s="303"/>
      <c r="N242" s="290"/>
      <c r="O242" s="284"/>
      <c r="P242" s="284"/>
      <c r="Q242" s="284"/>
      <c r="R242" s="284"/>
      <c r="S242" s="284"/>
      <c r="T242" s="284"/>
      <c r="U242" s="284"/>
      <c r="V242" s="284"/>
      <c r="W242" s="284"/>
      <c r="X242" s="284"/>
      <c r="Y242" s="284"/>
      <c r="Z242" s="284"/>
      <c r="AA242" s="284"/>
    </row>
    <row r="243" spans="1:27" ht="16.95" hidden="1" customHeight="1">
      <c r="A243" s="291"/>
      <c r="B243" s="303"/>
      <c r="C243" s="303"/>
      <c r="D243" s="303"/>
      <c r="E243" s="303"/>
      <c r="F243" s="303"/>
      <c r="G243" s="303"/>
      <c r="H243" s="303"/>
      <c r="I243" s="303"/>
      <c r="J243" s="303"/>
      <c r="K243" s="303"/>
      <c r="L243" s="303"/>
      <c r="M243" s="303"/>
      <c r="N243" s="290"/>
      <c r="O243" s="284"/>
      <c r="P243" s="284"/>
      <c r="Q243" s="284"/>
      <c r="R243" s="284"/>
      <c r="S243" s="284"/>
      <c r="T243" s="284"/>
      <c r="U243" s="284"/>
      <c r="V243" s="284"/>
      <c r="W243" s="284"/>
      <c r="X243" s="284"/>
      <c r="Y243" s="284"/>
      <c r="Z243" s="284"/>
      <c r="AA243" s="284"/>
    </row>
    <row r="244" spans="1:27" ht="20.25" hidden="1" customHeight="1">
      <c r="A244" s="291" t="s">
        <v>8</v>
      </c>
      <c r="B244" s="303">
        <v>1.9084000000000001</v>
      </c>
      <c r="C244" s="303">
        <v>2.0000000000000001E-4</v>
      </c>
      <c r="D244" s="303">
        <v>1.4E-3</v>
      </c>
      <c r="E244" s="303">
        <v>1.8619000000000001</v>
      </c>
      <c r="F244" s="303">
        <v>3.3096000000000001</v>
      </c>
      <c r="G244" s="303">
        <v>0.54159999999999997</v>
      </c>
      <c r="H244" s="303">
        <v>0.112</v>
      </c>
      <c r="I244" s="303">
        <v>36.466699999999996</v>
      </c>
      <c r="J244" s="303">
        <f t="shared" ref="J244:J249" si="16">(SUM(B244:I244))/1000</f>
        <v>4.4201799999999999E-2</v>
      </c>
      <c r="K244" s="303">
        <v>5.2614000000000001</v>
      </c>
      <c r="L244" s="303">
        <v>20.922599999999999</v>
      </c>
      <c r="M244" s="303">
        <f t="shared" ref="M244:M249" si="17">(SUM(J244:L244))/1000</f>
        <v>2.62282018E-2</v>
      </c>
      <c r="N244" s="290"/>
      <c r="O244" s="284"/>
      <c r="P244" s="284"/>
      <c r="Q244" s="284"/>
      <c r="R244" s="284"/>
      <c r="S244" s="284"/>
      <c r="T244" s="284"/>
      <c r="U244" s="284"/>
      <c r="V244" s="284"/>
      <c r="W244" s="284"/>
      <c r="X244" s="284"/>
      <c r="Y244" s="284"/>
      <c r="Z244" s="284"/>
      <c r="AA244" s="284"/>
    </row>
    <row r="245" spans="1:27" ht="20.25" hidden="1" customHeight="1">
      <c r="A245" s="291" t="s">
        <v>9</v>
      </c>
      <c r="B245" s="303">
        <v>4.6074999999999999</v>
      </c>
      <c r="C245" s="303">
        <v>0.20219999999999999</v>
      </c>
      <c r="D245" s="303">
        <v>0.27200000000000002</v>
      </c>
      <c r="E245" s="303">
        <v>0.31539999999999996</v>
      </c>
      <c r="F245" s="303">
        <v>2.2129000000000003</v>
      </c>
      <c r="G245" s="303">
        <v>0.49160000000000004</v>
      </c>
      <c r="H245" s="303">
        <v>0.112</v>
      </c>
      <c r="I245" s="303">
        <v>41.657800000000002</v>
      </c>
      <c r="J245" s="303">
        <f t="shared" si="16"/>
        <v>4.9871400000000003E-2</v>
      </c>
      <c r="K245" s="303">
        <v>5.6961000000000004</v>
      </c>
      <c r="L245" s="303">
        <v>18.5304</v>
      </c>
      <c r="M245" s="303">
        <f t="shared" si="17"/>
        <v>2.4276371400000003E-2</v>
      </c>
      <c r="N245" s="290"/>
      <c r="O245" s="284"/>
      <c r="P245" s="284"/>
      <c r="Q245" s="284"/>
      <c r="R245" s="284"/>
      <c r="S245" s="284"/>
      <c r="T245" s="284"/>
      <c r="U245" s="284"/>
      <c r="V245" s="284"/>
      <c r="W245" s="284"/>
      <c r="X245" s="284"/>
      <c r="Y245" s="284"/>
      <c r="Z245" s="284"/>
      <c r="AA245" s="284"/>
    </row>
    <row r="246" spans="1:27" ht="20.25" hidden="1" customHeight="1">
      <c r="A246" s="291" t="s">
        <v>10</v>
      </c>
      <c r="B246" s="303">
        <v>1.5464</v>
      </c>
      <c r="C246" s="303">
        <v>0.1444</v>
      </c>
      <c r="D246" s="303">
        <v>0.20039999999999999</v>
      </c>
      <c r="E246" s="303">
        <v>6.9661</v>
      </c>
      <c r="F246" s="303">
        <v>6.2153999999999998</v>
      </c>
      <c r="G246" s="303">
        <v>0.74660000000000004</v>
      </c>
      <c r="H246" s="303">
        <v>0.112</v>
      </c>
      <c r="I246" s="303">
        <v>40.4756</v>
      </c>
      <c r="J246" s="303">
        <f t="shared" si="16"/>
        <v>5.6406900000000003E-2</v>
      </c>
      <c r="K246" s="303">
        <v>5.9714999999999998</v>
      </c>
      <c r="L246" s="303">
        <v>16.3369</v>
      </c>
      <c r="M246" s="303">
        <f t="shared" si="17"/>
        <v>2.2364806899999999E-2</v>
      </c>
      <c r="N246" s="290"/>
      <c r="O246" s="284"/>
      <c r="P246" s="284"/>
      <c r="Q246" s="284"/>
      <c r="R246" s="284"/>
      <c r="S246" s="284"/>
      <c r="T246" s="284"/>
      <c r="U246" s="284"/>
      <c r="V246" s="284"/>
      <c r="W246" s="284"/>
      <c r="X246" s="284"/>
      <c r="Y246" s="284"/>
      <c r="Z246" s="284"/>
      <c r="AA246" s="284"/>
    </row>
    <row r="247" spans="1:27" ht="20.25" hidden="1" customHeight="1">
      <c r="A247" s="291" t="s">
        <v>11</v>
      </c>
      <c r="B247" s="303">
        <v>2.0377999999999998</v>
      </c>
      <c r="C247" s="303">
        <v>0.3553</v>
      </c>
      <c r="D247" s="303">
        <v>-8.0000000000000004E-4</v>
      </c>
      <c r="E247" s="303">
        <v>0.89570000000000005</v>
      </c>
      <c r="F247" s="303">
        <v>2.3186999999999998</v>
      </c>
      <c r="G247" s="303">
        <v>1.1935</v>
      </c>
      <c r="H247" s="303">
        <v>0.112</v>
      </c>
      <c r="I247" s="303">
        <v>56.171099999999996</v>
      </c>
      <c r="J247" s="303">
        <f t="shared" si="16"/>
        <v>6.3083299999999995E-2</v>
      </c>
      <c r="K247" s="303">
        <v>5.8123000000000005</v>
      </c>
      <c r="L247" s="303">
        <v>30.164200000000001</v>
      </c>
      <c r="M247" s="303">
        <f t="shared" si="17"/>
        <v>3.6039583300000004E-2</v>
      </c>
      <c r="N247" s="290"/>
      <c r="O247" s="284"/>
      <c r="P247" s="284"/>
      <c r="Q247" s="284"/>
      <c r="R247" s="284"/>
      <c r="S247" s="284"/>
      <c r="T247" s="284"/>
      <c r="U247" s="284"/>
      <c r="V247" s="284"/>
      <c r="W247" s="284"/>
      <c r="X247" s="284"/>
      <c r="Y247" s="284"/>
      <c r="Z247" s="284"/>
      <c r="AA247" s="284"/>
    </row>
    <row r="248" spans="1:27" ht="20.25" hidden="1" customHeight="1">
      <c r="A248" s="291" t="s">
        <v>337</v>
      </c>
      <c r="B248" s="303">
        <v>2.9624000000000001</v>
      </c>
      <c r="C248" s="303">
        <v>2.0000000000000001E-4</v>
      </c>
      <c r="D248" s="303">
        <v>1.49E-2</v>
      </c>
      <c r="E248" s="303">
        <v>0.32189999999999996</v>
      </c>
      <c r="F248" s="303">
        <v>1.8739000000000001</v>
      </c>
      <c r="G248" s="303">
        <v>1.1345999999999998</v>
      </c>
      <c r="H248" s="303">
        <v>0.112</v>
      </c>
      <c r="I248" s="303">
        <v>59.269800000000004</v>
      </c>
      <c r="J248" s="303">
        <f t="shared" si="16"/>
        <v>6.5689700000000004E-2</v>
      </c>
      <c r="K248" s="303">
        <v>6.3822999999999999</v>
      </c>
      <c r="L248" s="303">
        <v>28.537299999999998</v>
      </c>
      <c r="M248" s="303">
        <f t="shared" si="17"/>
        <v>3.4985289699999998E-2</v>
      </c>
      <c r="N248" s="290"/>
      <c r="O248" s="284"/>
      <c r="P248" s="284"/>
      <c r="Q248" s="284"/>
      <c r="R248" s="284"/>
      <c r="S248" s="284"/>
      <c r="T248" s="284"/>
      <c r="U248" s="284"/>
      <c r="V248" s="284"/>
      <c r="W248" s="284"/>
      <c r="X248" s="284"/>
      <c r="Y248" s="284"/>
      <c r="Z248" s="284"/>
      <c r="AA248" s="284"/>
    </row>
    <row r="249" spans="1:27" ht="18.75" hidden="1" customHeight="1">
      <c r="A249" s="291" t="s">
        <v>346</v>
      </c>
      <c r="B249" s="303">
        <v>1.4129</v>
      </c>
      <c r="C249" s="303">
        <v>1.6556</v>
      </c>
      <c r="D249" s="303">
        <v>2.802</v>
      </c>
      <c r="E249" s="303">
        <v>3.7628000000000004</v>
      </c>
      <c r="F249" s="303">
        <v>3.6909999999999998</v>
      </c>
      <c r="G249" s="303">
        <v>0.89760000000000006</v>
      </c>
      <c r="H249" s="303">
        <v>0.112</v>
      </c>
      <c r="I249" s="303">
        <v>69.197800000000001</v>
      </c>
      <c r="J249" s="303">
        <f t="shared" si="16"/>
        <v>8.35317E-2</v>
      </c>
      <c r="K249" s="303">
        <v>7.5931000000000006</v>
      </c>
      <c r="L249" s="303">
        <v>30.069200000000002</v>
      </c>
      <c r="M249" s="303">
        <f t="shared" si="17"/>
        <v>3.7745831700000003E-2</v>
      </c>
      <c r="N249" s="290"/>
      <c r="O249" s="284"/>
      <c r="P249" s="284"/>
      <c r="Q249" s="284"/>
      <c r="R249" s="284"/>
      <c r="S249" s="284"/>
      <c r="T249" s="284"/>
      <c r="U249" s="284"/>
      <c r="V249" s="284"/>
      <c r="W249" s="284"/>
      <c r="X249" s="284"/>
      <c r="Y249" s="284"/>
      <c r="Z249" s="284"/>
      <c r="AA249" s="284"/>
    </row>
    <row r="250" spans="1:27" ht="18.75" hidden="1" customHeight="1">
      <c r="A250" s="304">
        <v>2003</v>
      </c>
      <c r="B250" s="303"/>
      <c r="C250" s="303"/>
      <c r="D250" s="303"/>
      <c r="E250" s="303"/>
      <c r="F250" s="303"/>
      <c r="G250" s="303"/>
      <c r="H250" s="303"/>
      <c r="I250" s="303"/>
      <c r="J250" s="303"/>
      <c r="K250" s="303"/>
      <c r="L250" s="303"/>
      <c r="M250" s="303"/>
      <c r="N250" s="290"/>
      <c r="O250" s="284"/>
      <c r="P250" s="284"/>
      <c r="Q250" s="284"/>
      <c r="R250" s="284"/>
      <c r="S250" s="284"/>
      <c r="T250" s="284"/>
      <c r="U250" s="284"/>
      <c r="V250" s="284"/>
      <c r="W250" s="284"/>
      <c r="X250" s="284"/>
      <c r="Y250" s="284"/>
      <c r="Z250" s="284"/>
      <c r="AA250" s="284"/>
    </row>
    <row r="251" spans="1:27" ht="18.75" hidden="1" customHeight="1">
      <c r="A251" s="291"/>
      <c r="B251" s="303"/>
      <c r="C251" s="303"/>
      <c r="D251" s="303"/>
      <c r="E251" s="303"/>
      <c r="F251" s="303"/>
      <c r="G251" s="303"/>
      <c r="H251" s="303"/>
      <c r="I251" s="303"/>
      <c r="J251" s="303"/>
      <c r="K251" s="303"/>
      <c r="L251" s="303"/>
      <c r="M251" s="303"/>
      <c r="N251" s="290"/>
      <c r="O251" s="284"/>
      <c r="P251" s="284"/>
      <c r="Q251" s="284"/>
      <c r="R251" s="284"/>
      <c r="S251" s="284"/>
      <c r="T251" s="284"/>
      <c r="U251" s="284"/>
      <c r="V251" s="284"/>
      <c r="W251" s="284"/>
      <c r="X251" s="284"/>
      <c r="Y251" s="284"/>
      <c r="Z251" s="284"/>
      <c r="AA251" s="284"/>
    </row>
    <row r="252" spans="1:27" ht="18" hidden="1">
      <c r="A252" s="291" t="s">
        <v>347</v>
      </c>
      <c r="B252" s="303">
        <v>8.4817999999999998</v>
      </c>
      <c r="C252" s="303">
        <v>20.794400000000003</v>
      </c>
      <c r="D252" s="303">
        <v>0.87129999999999996</v>
      </c>
      <c r="E252" s="303">
        <v>1.4717</v>
      </c>
      <c r="F252" s="303">
        <v>2.9824000000000002</v>
      </c>
      <c r="G252" s="303">
        <v>0.73950000000000005</v>
      </c>
      <c r="H252" s="303">
        <v>0.112</v>
      </c>
      <c r="I252" s="303">
        <v>55.975099999999998</v>
      </c>
      <c r="J252" s="303">
        <f t="shared" ref="J252:J257" si="18">(SUM(B252:I252))/1000</f>
        <v>9.1428200000000001E-2</v>
      </c>
      <c r="K252" s="303">
        <v>9.1120000000000001</v>
      </c>
      <c r="L252" s="303">
        <v>45.370899999999999</v>
      </c>
      <c r="M252" s="303">
        <f t="shared" ref="M252:M257" si="19">(SUM(J252:L252))/1000</f>
        <v>5.4574328199999994E-2</v>
      </c>
      <c r="N252" s="290"/>
      <c r="O252" s="284"/>
      <c r="P252" s="284"/>
      <c r="Q252" s="284"/>
      <c r="R252" s="284"/>
      <c r="S252" s="284"/>
      <c r="T252" s="284"/>
      <c r="U252" s="284"/>
      <c r="V252" s="284"/>
      <c r="W252" s="284"/>
      <c r="X252" s="284"/>
      <c r="Y252" s="284"/>
      <c r="Z252" s="284"/>
      <c r="AA252" s="284"/>
    </row>
    <row r="253" spans="1:27" ht="18" hidden="1">
      <c r="A253" s="291" t="s">
        <v>12</v>
      </c>
      <c r="B253" s="303">
        <v>6.9773999999999994</v>
      </c>
      <c r="C253" s="303">
        <v>0.50019999999999998</v>
      </c>
      <c r="D253" s="303">
        <v>0.2011</v>
      </c>
      <c r="E253" s="303">
        <v>0.75160000000000005</v>
      </c>
      <c r="F253" s="303">
        <v>2.3896999999999999</v>
      </c>
      <c r="G253" s="303">
        <v>1.1177000000000001</v>
      </c>
      <c r="H253" s="303">
        <v>0.112</v>
      </c>
      <c r="I253" s="303">
        <v>72.281300000000002</v>
      </c>
      <c r="J253" s="303">
        <f t="shared" si="18"/>
        <v>8.4331000000000003E-2</v>
      </c>
      <c r="K253" s="303">
        <v>10.883799999999999</v>
      </c>
      <c r="L253" s="303">
        <v>66.751499999999993</v>
      </c>
      <c r="M253" s="303">
        <f t="shared" si="19"/>
        <v>7.7719630999999997E-2</v>
      </c>
      <c r="N253" s="290"/>
      <c r="O253" s="284"/>
      <c r="P253" s="284"/>
      <c r="Q253" s="284"/>
      <c r="R253" s="284"/>
      <c r="S253" s="284"/>
      <c r="T253" s="284"/>
      <c r="U253" s="284"/>
      <c r="V253" s="284"/>
      <c r="W253" s="284"/>
      <c r="X253" s="284"/>
      <c r="Y253" s="284"/>
      <c r="Z253" s="284"/>
      <c r="AA253" s="284"/>
    </row>
    <row r="254" spans="1:27" ht="18" hidden="1">
      <c r="A254" s="291" t="s">
        <v>13</v>
      </c>
      <c r="B254" s="303">
        <v>4.8380000000000001</v>
      </c>
      <c r="C254" s="303">
        <v>0.5151</v>
      </c>
      <c r="D254" s="303">
        <v>3.8691999999999998</v>
      </c>
      <c r="E254" s="303">
        <v>0.84839999999999993</v>
      </c>
      <c r="F254" s="303">
        <v>5.7649999999999997</v>
      </c>
      <c r="G254" s="303">
        <v>1.6509</v>
      </c>
      <c r="H254" s="303">
        <v>0.112</v>
      </c>
      <c r="I254" s="303">
        <v>78.645300000000006</v>
      </c>
      <c r="J254" s="303">
        <f t="shared" si="18"/>
        <v>9.6243899999999993E-2</v>
      </c>
      <c r="K254" s="303">
        <v>13.791</v>
      </c>
      <c r="L254" s="303">
        <v>69.938699999999997</v>
      </c>
      <c r="M254" s="303">
        <f t="shared" si="19"/>
        <v>8.3825943900000005E-2</v>
      </c>
      <c r="N254" s="290"/>
      <c r="O254" s="284"/>
      <c r="P254" s="284"/>
      <c r="Q254" s="284"/>
      <c r="R254" s="284"/>
      <c r="S254" s="284"/>
      <c r="T254" s="284"/>
      <c r="U254" s="284"/>
      <c r="V254" s="284"/>
      <c r="W254" s="284"/>
      <c r="X254" s="284"/>
      <c r="Y254" s="284"/>
      <c r="Z254" s="284"/>
      <c r="AA254" s="284"/>
    </row>
    <row r="255" spans="1:27" ht="18" hidden="1">
      <c r="A255" s="291" t="s">
        <v>14</v>
      </c>
      <c r="B255" s="303">
        <v>6.1073999999999993</v>
      </c>
      <c r="C255" s="303">
        <v>1.6E-2</v>
      </c>
      <c r="D255" s="303">
        <v>3.6273</v>
      </c>
      <c r="E255" s="303">
        <v>3.2873000000000001</v>
      </c>
      <c r="F255" s="303">
        <v>3.9954999999999998</v>
      </c>
      <c r="G255" s="303">
        <v>1.1035999999999999</v>
      </c>
      <c r="H255" s="303">
        <v>0.112</v>
      </c>
      <c r="I255" s="303">
        <v>103.4546</v>
      </c>
      <c r="J255" s="303">
        <f t="shared" si="18"/>
        <v>0.1217037</v>
      </c>
      <c r="K255" s="303">
        <v>11.597299999999999</v>
      </c>
      <c r="L255" s="303">
        <v>50.688400000000001</v>
      </c>
      <c r="M255" s="303">
        <f t="shared" si="19"/>
        <v>6.2407403700000003E-2</v>
      </c>
      <c r="N255" s="290"/>
      <c r="O255" s="284"/>
      <c r="P255" s="284"/>
      <c r="Q255" s="284"/>
      <c r="R255" s="284"/>
      <c r="S255" s="284"/>
      <c r="T255" s="284"/>
      <c r="U255" s="284"/>
      <c r="V255" s="284"/>
      <c r="W255" s="284"/>
      <c r="X255" s="284"/>
      <c r="Y255" s="284"/>
      <c r="Z255" s="284"/>
      <c r="AA255" s="284"/>
    </row>
    <row r="256" spans="1:27" ht="18" hidden="1">
      <c r="A256" s="291" t="s">
        <v>15</v>
      </c>
      <c r="B256" s="303">
        <v>31.564700000000002</v>
      </c>
      <c r="C256" s="303">
        <v>1.6E-2</v>
      </c>
      <c r="D256" s="303">
        <v>3.6854</v>
      </c>
      <c r="E256" s="303">
        <v>4.1154999999999999</v>
      </c>
      <c r="F256" s="303">
        <v>3.6749999999999998</v>
      </c>
      <c r="G256" s="303">
        <v>2.7245999999999997</v>
      </c>
      <c r="H256" s="303">
        <v>0.112</v>
      </c>
      <c r="I256" s="303">
        <v>127.28749999999999</v>
      </c>
      <c r="J256" s="303">
        <f t="shared" si="18"/>
        <v>0.17318069999999999</v>
      </c>
      <c r="K256" s="303">
        <v>14.655799999999999</v>
      </c>
      <c r="L256" s="303">
        <v>91.842100000000002</v>
      </c>
      <c r="M256" s="303">
        <f t="shared" si="19"/>
        <v>0.1066710807</v>
      </c>
      <c r="N256" s="290"/>
      <c r="O256" s="284"/>
      <c r="P256" s="284"/>
      <c r="Q256" s="284"/>
      <c r="R256" s="284"/>
      <c r="S256" s="284"/>
      <c r="T256" s="284"/>
      <c r="U256" s="284"/>
      <c r="V256" s="284"/>
      <c r="W256" s="284"/>
      <c r="X256" s="284"/>
      <c r="Y256" s="284"/>
      <c r="Z256" s="284"/>
      <c r="AA256" s="284"/>
    </row>
    <row r="257" spans="1:27" ht="18" hidden="1">
      <c r="A257" s="291" t="s">
        <v>16</v>
      </c>
      <c r="B257" s="303">
        <v>11.426299999999999</v>
      </c>
      <c r="C257" s="303">
        <v>0.188</v>
      </c>
      <c r="D257" s="303">
        <v>18.241900000000001</v>
      </c>
      <c r="E257" s="303">
        <v>9.601799999999999</v>
      </c>
      <c r="F257" s="303">
        <v>2.4249999999999998</v>
      </c>
      <c r="G257" s="303">
        <v>1.9841</v>
      </c>
      <c r="H257" s="303">
        <v>0.112</v>
      </c>
      <c r="I257" s="303">
        <v>78.370100000000008</v>
      </c>
      <c r="J257" s="303">
        <f t="shared" si="18"/>
        <v>0.12234919999999999</v>
      </c>
      <c r="K257" s="303">
        <v>10.1463</v>
      </c>
      <c r="L257" s="303">
        <v>78.148099999999999</v>
      </c>
      <c r="M257" s="303">
        <f t="shared" si="19"/>
        <v>8.8416749199999992E-2</v>
      </c>
      <c r="N257" s="290"/>
      <c r="O257" s="284"/>
      <c r="P257" s="284"/>
      <c r="Q257" s="284"/>
      <c r="R257" s="284"/>
      <c r="S257" s="284"/>
      <c r="T257" s="284"/>
      <c r="U257" s="284"/>
      <c r="V257" s="284"/>
      <c r="W257" s="284"/>
      <c r="X257" s="284"/>
      <c r="Y257" s="284"/>
      <c r="Z257" s="284"/>
      <c r="AA257" s="284"/>
    </row>
    <row r="258" spans="1:27" ht="18" hidden="1">
      <c r="A258" s="291"/>
      <c r="B258" s="303"/>
      <c r="C258" s="303"/>
      <c r="D258" s="303"/>
      <c r="E258" s="303"/>
      <c r="F258" s="303"/>
      <c r="G258" s="303"/>
      <c r="H258" s="303"/>
      <c r="I258" s="303"/>
      <c r="J258" s="303"/>
      <c r="K258" s="303"/>
      <c r="L258" s="303"/>
      <c r="M258" s="303"/>
      <c r="N258" s="290"/>
      <c r="O258" s="284"/>
      <c r="P258" s="284"/>
      <c r="Q258" s="284"/>
      <c r="R258" s="284"/>
      <c r="S258" s="284"/>
      <c r="T258" s="284"/>
      <c r="U258" s="284"/>
      <c r="V258" s="284"/>
      <c r="W258" s="284"/>
      <c r="X258" s="284"/>
      <c r="Y258" s="284"/>
      <c r="Z258" s="284"/>
      <c r="AA258" s="284"/>
    </row>
    <row r="259" spans="1:27" ht="18" hidden="1">
      <c r="A259" s="304">
        <v>2004</v>
      </c>
      <c r="B259" s="303"/>
      <c r="C259" s="303"/>
      <c r="D259" s="303"/>
      <c r="E259" s="303"/>
      <c r="F259" s="303"/>
      <c r="G259" s="303"/>
      <c r="H259" s="303"/>
      <c r="I259" s="303"/>
      <c r="J259" s="303"/>
      <c r="K259" s="303"/>
      <c r="L259" s="303"/>
      <c r="M259" s="303"/>
      <c r="N259" s="290"/>
      <c r="O259" s="284"/>
      <c r="P259" s="284"/>
      <c r="Q259" s="284"/>
      <c r="R259" s="284"/>
      <c r="S259" s="284"/>
      <c r="T259" s="284"/>
      <c r="U259" s="284"/>
      <c r="V259" s="284"/>
      <c r="W259" s="284"/>
      <c r="X259" s="284"/>
      <c r="Y259" s="284"/>
      <c r="Z259" s="284"/>
      <c r="AA259" s="284"/>
    </row>
    <row r="260" spans="1:27" ht="18" hidden="1">
      <c r="A260" s="291"/>
      <c r="B260" s="303"/>
      <c r="C260" s="303"/>
      <c r="D260" s="303"/>
      <c r="E260" s="303"/>
      <c r="F260" s="303"/>
      <c r="G260" s="303"/>
      <c r="H260" s="303"/>
      <c r="I260" s="303"/>
      <c r="J260" s="303"/>
      <c r="K260" s="303"/>
      <c r="L260" s="303"/>
      <c r="M260" s="303"/>
      <c r="N260" s="290"/>
      <c r="O260" s="284"/>
      <c r="P260" s="284"/>
      <c r="Q260" s="284"/>
      <c r="R260" s="284"/>
      <c r="S260" s="284"/>
      <c r="T260" s="284"/>
      <c r="U260" s="284"/>
      <c r="V260" s="284"/>
      <c r="W260" s="284"/>
      <c r="X260" s="284"/>
      <c r="Y260" s="284"/>
      <c r="Z260" s="284"/>
      <c r="AA260" s="284"/>
    </row>
    <row r="261" spans="1:27" ht="18" hidden="1">
      <c r="A261" s="291" t="s">
        <v>8</v>
      </c>
      <c r="B261" s="303">
        <v>29.7438</v>
      </c>
      <c r="C261" s="303">
        <v>0.80579999999999996</v>
      </c>
      <c r="D261" s="303">
        <v>1.2522</v>
      </c>
      <c r="E261" s="303">
        <v>10.1313</v>
      </c>
      <c r="F261" s="303">
        <v>7.9459</v>
      </c>
      <c r="G261" s="303">
        <v>0.57789999999999997</v>
      </c>
      <c r="H261" s="303">
        <v>0.112</v>
      </c>
      <c r="I261" s="303">
        <v>88.566100000000006</v>
      </c>
      <c r="J261" s="303">
        <f t="shared" ref="J261:J272" si="20">(SUM(B261:I261))/1000</f>
        <v>0.13913499999999998</v>
      </c>
      <c r="K261" s="303">
        <v>2.0619999999999998</v>
      </c>
      <c r="L261" s="303">
        <v>115.2028</v>
      </c>
      <c r="M261" s="303">
        <f t="shared" ref="M261:M272" si="21">(SUM(J261:L261))/1000</f>
        <v>0.11740393499999999</v>
      </c>
      <c r="N261" s="290"/>
      <c r="O261" s="284"/>
      <c r="P261" s="284"/>
      <c r="Q261" s="284"/>
      <c r="R261" s="284"/>
      <c r="S261" s="284"/>
      <c r="T261" s="284"/>
      <c r="U261" s="284"/>
      <c r="V261" s="284"/>
      <c r="W261" s="284"/>
      <c r="X261" s="284"/>
      <c r="Y261" s="284"/>
      <c r="Z261" s="284"/>
      <c r="AA261" s="284"/>
    </row>
    <row r="262" spans="1:27" ht="18" hidden="1">
      <c r="A262" s="291" t="s">
        <v>9</v>
      </c>
      <c r="B262" s="303">
        <v>7.5789</v>
      </c>
      <c r="C262" s="303">
        <v>0.80579999999999996</v>
      </c>
      <c r="D262" s="303">
        <v>4.9112</v>
      </c>
      <c r="E262" s="303">
        <v>0.7077</v>
      </c>
      <c r="F262" s="303">
        <v>7.8958999999999993</v>
      </c>
      <c r="G262" s="303">
        <v>0.35830000000000001</v>
      </c>
      <c r="H262" s="303">
        <v>0.112</v>
      </c>
      <c r="I262" s="303">
        <v>109.22880000000001</v>
      </c>
      <c r="J262" s="303">
        <f t="shared" si="20"/>
        <v>0.13159860000000001</v>
      </c>
      <c r="K262" s="303">
        <v>4.3022999999999998</v>
      </c>
      <c r="L262" s="303">
        <v>122.61930000000001</v>
      </c>
      <c r="M262" s="303">
        <f t="shared" si="21"/>
        <v>0.12705319860000003</v>
      </c>
      <c r="N262" s="290"/>
      <c r="O262" s="284"/>
      <c r="P262" s="284"/>
      <c r="Q262" s="284"/>
      <c r="R262" s="284"/>
      <c r="S262" s="284"/>
      <c r="T262" s="284"/>
      <c r="U262" s="284"/>
      <c r="V262" s="284"/>
      <c r="W262" s="284"/>
      <c r="X262" s="284"/>
      <c r="Y262" s="284"/>
      <c r="Z262" s="284"/>
      <c r="AA262" s="284"/>
    </row>
    <row r="263" spans="1:27" ht="18" hidden="1">
      <c r="A263" s="291" t="s">
        <v>10</v>
      </c>
      <c r="B263" s="303">
        <v>7.8849</v>
      </c>
      <c r="C263" s="303">
        <v>2.06E-2</v>
      </c>
      <c r="D263" s="303">
        <v>1.8246</v>
      </c>
      <c r="E263" s="303">
        <v>14.062799999999999</v>
      </c>
      <c r="F263" s="303">
        <v>10.0959</v>
      </c>
      <c r="G263" s="303">
        <v>0.34539999999999998</v>
      </c>
      <c r="H263" s="303">
        <v>0.112</v>
      </c>
      <c r="I263" s="303">
        <v>111.2851</v>
      </c>
      <c r="J263" s="303">
        <f t="shared" si="20"/>
        <v>0.14563130000000002</v>
      </c>
      <c r="K263" s="303">
        <v>10.203700000000001</v>
      </c>
      <c r="L263" s="303">
        <v>102.1489</v>
      </c>
      <c r="M263" s="303">
        <f t="shared" si="21"/>
        <v>0.1124982313</v>
      </c>
      <c r="N263" s="290"/>
      <c r="O263" s="284"/>
      <c r="P263" s="284"/>
      <c r="Q263" s="284"/>
      <c r="R263" s="284"/>
      <c r="S263" s="284"/>
      <c r="T263" s="284"/>
      <c r="U263" s="284"/>
      <c r="V263" s="284"/>
      <c r="W263" s="284"/>
      <c r="X263" s="284"/>
      <c r="Y263" s="284"/>
      <c r="Z263" s="284"/>
      <c r="AA263" s="284"/>
    </row>
    <row r="264" spans="1:27" ht="18" hidden="1">
      <c r="A264" s="291" t="s">
        <v>11</v>
      </c>
      <c r="B264" s="303">
        <v>7.4055</v>
      </c>
      <c r="C264" s="303">
        <v>10.3886</v>
      </c>
      <c r="D264" s="303">
        <v>0.39989999999999998</v>
      </c>
      <c r="E264" s="303">
        <v>22.034299999999998</v>
      </c>
      <c r="F264" s="303">
        <v>7.8958999999999993</v>
      </c>
      <c r="G264" s="303">
        <v>0.34539999999999998</v>
      </c>
      <c r="H264" s="303">
        <v>0.112</v>
      </c>
      <c r="I264" s="303">
        <v>116.72319999999999</v>
      </c>
      <c r="J264" s="303">
        <f t="shared" si="20"/>
        <v>0.1653048</v>
      </c>
      <c r="K264" s="303">
        <v>3.9919000000000002</v>
      </c>
      <c r="L264" s="303">
        <v>113.7971</v>
      </c>
      <c r="M264" s="303">
        <f t="shared" si="21"/>
        <v>0.11795430480000001</v>
      </c>
      <c r="N264" s="290"/>
      <c r="O264" s="284"/>
      <c r="P264" s="284"/>
      <c r="Q264" s="284"/>
      <c r="R264" s="284"/>
      <c r="S264" s="284"/>
      <c r="T264" s="284"/>
      <c r="U264" s="284"/>
      <c r="V264" s="284"/>
      <c r="W264" s="284"/>
      <c r="X264" s="284"/>
      <c r="Y264" s="284"/>
      <c r="Z264" s="284"/>
      <c r="AA264" s="284"/>
    </row>
    <row r="265" spans="1:27" ht="18" hidden="1">
      <c r="A265" s="291" t="s">
        <v>337</v>
      </c>
      <c r="B265" s="303">
        <v>15.1624</v>
      </c>
      <c r="C265" s="303">
        <v>1.4732000000000001</v>
      </c>
      <c r="D265" s="303">
        <v>5.0730000000000004</v>
      </c>
      <c r="E265" s="303">
        <v>16.109500000000001</v>
      </c>
      <c r="F265" s="303">
        <v>9.4380000000000006</v>
      </c>
      <c r="G265" s="303">
        <v>0.34539999999999998</v>
      </c>
      <c r="H265" s="303">
        <v>0.112</v>
      </c>
      <c r="I265" s="303">
        <v>97.965000000000003</v>
      </c>
      <c r="J265" s="303">
        <f t="shared" si="20"/>
        <v>0.14567850000000002</v>
      </c>
      <c r="K265" s="303">
        <v>10.149799999999999</v>
      </c>
      <c r="L265" s="303">
        <v>129.49760000000001</v>
      </c>
      <c r="M265" s="303">
        <f t="shared" si="21"/>
        <v>0.1397930785</v>
      </c>
      <c r="N265" s="290"/>
      <c r="O265" s="284"/>
      <c r="P265" s="284"/>
      <c r="Q265" s="284"/>
      <c r="R265" s="284"/>
      <c r="S265" s="284"/>
      <c r="T265" s="284"/>
      <c r="U265" s="284"/>
      <c r="V265" s="284"/>
      <c r="W265" s="284"/>
      <c r="X265" s="284"/>
      <c r="Y265" s="284"/>
      <c r="Z265" s="284"/>
      <c r="AA265" s="284"/>
    </row>
    <row r="266" spans="1:27" ht="18" hidden="1">
      <c r="A266" s="291" t="s">
        <v>346</v>
      </c>
      <c r="B266" s="303">
        <v>20.0641</v>
      </c>
      <c r="C266" s="303">
        <v>3.9546999999999999</v>
      </c>
      <c r="D266" s="303">
        <v>0.39989999999999998</v>
      </c>
      <c r="E266" s="303">
        <v>13.549200000000001</v>
      </c>
      <c r="F266" s="303">
        <v>7.8958999999999993</v>
      </c>
      <c r="G266" s="303">
        <v>0.34539999999999998</v>
      </c>
      <c r="H266" s="303">
        <v>0.112</v>
      </c>
      <c r="I266" s="303">
        <v>113.62869999999999</v>
      </c>
      <c r="J266" s="303">
        <f t="shared" si="20"/>
        <v>0.15994989999999998</v>
      </c>
      <c r="K266" s="303">
        <v>11.1615</v>
      </c>
      <c r="L266" s="303">
        <v>170.47790000000001</v>
      </c>
      <c r="M266" s="303">
        <f t="shared" si="21"/>
        <v>0.18179934990000002</v>
      </c>
      <c r="N266" s="290"/>
      <c r="O266" s="284"/>
      <c r="P266" s="284"/>
      <c r="Q266" s="284"/>
      <c r="R266" s="284"/>
      <c r="S266" s="284"/>
      <c r="T266" s="284"/>
      <c r="U266" s="284"/>
      <c r="V266" s="284"/>
      <c r="W266" s="284"/>
      <c r="X266" s="284"/>
      <c r="Y266" s="284"/>
      <c r="Z266" s="284"/>
      <c r="AA266" s="284"/>
    </row>
    <row r="267" spans="1:27" ht="18" hidden="1">
      <c r="A267" s="291" t="s">
        <v>347</v>
      </c>
      <c r="B267" s="303">
        <v>1.3659000000000001</v>
      </c>
      <c r="C267" s="303">
        <v>0.66989999999999994</v>
      </c>
      <c r="D267" s="303">
        <v>1.4834000000000001</v>
      </c>
      <c r="E267" s="303">
        <v>5.9782999999999999</v>
      </c>
      <c r="F267" s="303">
        <v>7.8958999999999993</v>
      </c>
      <c r="G267" s="303">
        <v>0.34539999999999998</v>
      </c>
      <c r="H267" s="303">
        <v>0.112</v>
      </c>
      <c r="I267" s="303">
        <v>206.40970000000002</v>
      </c>
      <c r="J267" s="303">
        <f t="shared" si="20"/>
        <v>0.2242605</v>
      </c>
      <c r="K267" s="303">
        <v>17.334599999999998</v>
      </c>
      <c r="L267" s="303">
        <v>107.88200000000001</v>
      </c>
      <c r="M267" s="303">
        <f t="shared" si="21"/>
        <v>0.1254408605</v>
      </c>
      <c r="N267" s="290"/>
      <c r="O267" s="284"/>
      <c r="P267" s="284"/>
      <c r="Q267" s="284"/>
      <c r="R267" s="284"/>
      <c r="S267" s="284"/>
      <c r="T267" s="284"/>
      <c r="U267" s="284"/>
      <c r="V267" s="284"/>
      <c r="W267" s="284"/>
      <c r="X267" s="284"/>
      <c r="Y267" s="284"/>
      <c r="Z267" s="284"/>
      <c r="AA267" s="284"/>
    </row>
    <row r="268" spans="1:27" ht="18" hidden="1">
      <c r="A268" s="291" t="s">
        <v>12</v>
      </c>
      <c r="B268" s="303">
        <v>4.0506000000000002</v>
      </c>
      <c r="C268" s="303">
        <v>0.66989999999999994</v>
      </c>
      <c r="D268" s="303">
        <v>1.5426</v>
      </c>
      <c r="E268" s="303">
        <v>8.9474999999999998</v>
      </c>
      <c r="F268" s="303">
        <v>7.8958999999999993</v>
      </c>
      <c r="G268" s="303">
        <v>0.34539999999999998</v>
      </c>
      <c r="H268" s="303">
        <v>0.112</v>
      </c>
      <c r="I268" s="303">
        <v>136.36079999999998</v>
      </c>
      <c r="J268" s="303">
        <f t="shared" si="20"/>
        <v>0.15992469999999998</v>
      </c>
      <c r="K268" s="303">
        <v>9.508799999999999</v>
      </c>
      <c r="L268" s="303">
        <v>133.20310000000001</v>
      </c>
      <c r="M268" s="303">
        <f t="shared" si="21"/>
        <v>0.14287182469999998</v>
      </c>
      <c r="N268" s="290"/>
      <c r="O268" s="284"/>
      <c r="P268" s="284"/>
      <c r="Q268" s="284"/>
      <c r="R268" s="284"/>
      <c r="S268" s="284"/>
      <c r="T268" s="284"/>
      <c r="U268" s="284"/>
      <c r="V268" s="284"/>
      <c r="W268" s="284"/>
      <c r="X268" s="284"/>
      <c r="Y268" s="284"/>
      <c r="Z268" s="284"/>
      <c r="AA268" s="284"/>
    </row>
    <row r="269" spans="1:27" ht="18" hidden="1">
      <c r="A269" s="291" t="s">
        <v>13</v>
      </c>
      <c r="B269" s="303">
        <v>14.5983</v>
      </c>
      <c r="C269" s="303">
        <v>0.66989999999999994</v>
      </c>
      <c r="D269" s="303">
        <v>1.5794999999999999</v>
      </c>
      <c r="E269" s="303">
        <v>10.999799999999999</v>
      </c>
      <c r="F269" s="303">
        <v>7.8958999999999993</v>
      </c>
      <c r="G269" s="303">
        <v>0.50939999999999996</v>
      </c>
      <c r="H269" s="303">
        <v>0.112</v>
      </c>
      <c r="I269" s="303">
        <v>135.82979999999998</v>
      </c>
      <c r="J269" s="303">
        <f t="shared" si="20"/>
        <v>0.17219459999999998</v>
      </c>
      <c r="K269" s="303">
        <v>5.0881000000000007</v>
      </c>
      <c r="L269" s="303">
        <v>134.60410000000002</v>
      </c>
      <c r="M269" s="303">
        <f t="shared" si="21"/>
        <v>0.13986439460000002</v>
      </c>
      <c r="N269" s="290"/>
      <c r="O269" s="284"/>
      <c r="P269" s="284"/>
      <c r="Q269" s="284"/>
      <c r="R269" s="284"/>
      <c r="S269" s="284"/>
      <c r="T269" s="284"/>
      <c r="U269" s="284"/>
      <c r="V269" s="284"/>
      <c r="W269" s="284"/>
      <c r="X269" s="284"/>
      <c r="Y269" s="284"/>
      <c r="Z269" s="284"/>
      <c r="AA269" s="284"/>
    </row>
    <row r="270" spans="1:27" ht="18" hidden="1">
      <c r="A270" s="291" t="s">
        <v>14</v>
      </c>
      <c r="B270" s="303">
        <v>4.6512000000000002</v>
      </c>
      <c r="C270" s="303">
        <v>0.66989999999999994</v>
      </c>
      <c r="D270" s="303">
        <v>5.7089999999999996</v>
      </c>
      <c r="E270" s="303">
        <v>19.574300000000001</v>
      </c>
      <c r="F270" s="303">
        <v>7.8958999999999993</v>
      </c>
      <c r="G270" s="303">
        <v>0.34539999999999998</v>
      </c>
      <c r="H270" s="303">
        <v>0.112</v>
      </c>
      <c r="I270" s="303">
        <v>153.559</v>
      </c>
      <c r="J270" s="303">
        <f t="shared" si="20"/>
        <v>0.19251670000000001</v>
      </c>
      <c r="K270" s="303">
        <v>-5.6781999999999995</v>
      </c>
      <c r="L270" s="303">
        <v>130.7715</v>
      </c>
      <c r="M270" s="303">
        <f t="shared" si="21"/>
        <v>0.1252858167</v>
      </c>
      <c r="N270" s="290"/>
      <c r="O270" s="284"/>
      <c r="P270" s="284"/>
      <c r="Q270" s="284"/>
      <c r="R270" s="284"/>
      <c r="S270" s="284"/>
      <c r="T270" s="284"/>
      <c r="U270" s="284"/>
      <c r="V270" s="284"/>
      <c r="W270" s="284"/>
      <c r="X270" s="284"/>
      <c r="Y270" s="284"/>
      <c r="Z270" s="284"/>
      <c r="AA270" s="284"/>
    </row>
    <row r="271" spans="1:27" ht="18" hidden="1">
      <c r="A271" s="291" t="s">
        <v>15</v>
      </c>
      <c r="B271" s="303">
        <v>2.5234000000000001</v>
      </c>
      <c r="C271" s="303">
        <v>0.66989999999999994</v>
      </c>
      <c r="D271" s="303">
        <v>2.8401000000000001</v>
      </c>
      <c r="E271" s="303">
        <v>23.028599999999997</v>
      </c>
      <c r="F271" s="303">
        <v>7.8958999999999993</v>
      </c>
      <c r="G271" s="303">
        <v>0.34539999999999998</v>
      </c>
      <c r="H271" s="303">
        <v>0.112</v>
      </c>
      <c r="I271" s="303">
        <v>187.09100000000001</v>
      </c>
      <c r="J271" s="303">
        <f t="shared" si="20"/>
        <v>0.22450630000000002</v>
      </c>
      <c r="K271" s="303">
        <v>-6.4011000000000005</v>
      </c>
      <c r="L271" s="303">
        <v>126.4824</v>
      </c>
      <c r="M271" s="303">
        <f t="shared" si="21"/>
        <v>0.1203058063</v>
      </c>
      <c r="N271" s="290"/>
      <c r="O271" s="284"/>
      <c r="P271" s="284"/>
      <c r="Q271" s="284"/>
      <c r="R271" s="284"/>
      <c r="S271" s="284"/>
      <c r="T271" s="284"/>
      <c r="U271" s="284"/>
      <c r="V271" s="284"/>
      <c r="W271" s="284"/>
      <c r="X271" s="284"/>
      <c r="Y271" s="284"/>
      <c r="Z271" s="284"/>
      <c r="AA271" s="284"/>
    </row>
    <row r="272" spans="1:27" ht="18" hidden="1">
      <c r="A272" s="291" t="s">
        <v>16</v>
      </c>
      <c r="B272" s="303">
        <v>2.1583999999999999</v>
      </c>
      <c r="C272" s="303">
        <v>0.66989999999999994</v>
      </c>
      <c r="D272" s="303">
        <v>3.2100999999999997</v>
      </c>
      <c r="E272" s="303">
        <v>8.4202999999999992</v>
      </c>
      <c r="F272" s="303">
        <v>7.8958999999999993</v>
      </c>
      <c r="G272" s="303">
        <v>0.34539999999999998</v>
      </c>
      <c r="H272" s="303">
        <v>0.112</v>
      </c>
      <c r="I272" s="303">
        <v>180.68179999999998</v>
      </c>
      <c r="J272" s="303">
        <f t="shared" si="20"/>
        <v>0.20349379999999997</v>
      </c>
      <c r="K272" s="303">
        <v>-11.334299999999999</v>
      </c>
      <c r="L272" s="303">
        <v>130.72190000000001</v>
      </c>
      <c r="M272" s="303">
        <f t="shared" si="21"/>
        <v>0.11959109380000001</v>
      </c>
      <c r="N272" s="290"/>
      <c r="O272" s="284"/>
      <c r="P272" s="284"/>
      <c r="Q272" s="284"/>
      <c r="R272" s="284"/>
      <c r="S272" s="284"/>
      <c r="T272" s="284"/>
      <c r="U272" s="284"/>
      <c r="V272" s="284"/>
      <c r="W272" s="284"/>
      <c r="X272" s="284"/>
      <c r="Y272" s="284"/>
      <c r="Z272" s="284"/>
      <c r="AA272" s="284"/>
    </row>
    <row r="273" spans="1:27" ht="18" hidden="1">
      <c r="A273" s="291"/>
      <c r="B273" s="303"/>
      <c r="C273" s="303"/>
      <c r="D273" s="303"/>
      <c r="E273" s="303"/>
      <c r="F273" s="303"/>
      <c r="G273" s="303"/>
      <c r="H273" s="303"/>
      <c r="I273" s="303"/>
      <c r="J273" s="303"/>
      <c r="K273" s="303"/>
      <c r="L273" s="303"/>
      <c r="M273" s="303"/>
      <c r="N273" s="290"/>
      <c r="O273" s="284"/>
      <c r="P273" s="284"/>
      <c r="Q273" s="284"/>
      <c r="R273" s="284"/>
      <c r="S273" s="284"/>
      <c r="T273" s="284"/>
      <c r="U273" s="284"/>
      <c r="V273" s="284"/>
      <c r="W273" s="284"/>
      <c r="X273" s="284"/>
      <c r="Y273" s="284"/>
      <c r="Z273" s="284"/>
      <c r="AA273" s="284"/>
    </row>
    <row r="274" spans="1:27" ht="18" hidden="1">
      <c r="A274" s="304">
        <v>2005</v>
      </c>
      <c r="B274" s="303"/>
      <c r="C274" s="303"/>
      <c r="D274" s="303"/>
      <c r="E274" s="303"/>
      <c r="F274" s="303"/>
      <c r="G274" s="303"/>
      <c r="H274" s="303"/>
      <c r="I274" s="303"/>
      <c r="J274" s="303"/>
      <c r="K274" s="303"/>
      <c r="L274" s="303"/>
      <c r="M274" s="303"/>
      <c r="N274" s="290"/>
      <c r="O274" s="284"/>
      <c r="P274" s="284"/>
      <c r="Q274" s="284"/>
      <c r="R274" s="284"/>
      <c r="S274" s="284"/>
      <c r="T274" s="284"/>
      <c r="U274" s="284"/>
      <c r="V274" s="284"/>
      <c r="W274" s="284"/>
      <c r="X274" s="284"/>
      <c r="Y274" s="284"/>
      <c r="Z274" s="284"/>
      <c r="AA274" s="284"/>
    </row>
    <row r="275" spans="1:27" ht="18" hidden="1">
      <c r="A275" s="291"/>
      <c r="B275" s="303"/>
      <c r="C275" s="303"/>
      <c r="D275" s="303"/>
      <c r="E275" s="303"/>
      <c r="F275" s="303"/>
      <c r="G275" s="303"/>
      <c r="H275" s="303"/>
      <c r="I275" s="303"/>
      <c r="J275" s="303"/>
      <c r="K275" s="303"/>
      <c r="L275" s="303"/>
      <c r="M275" s="303"/>
      <c r="N275" s="290"/>
      <c r="O275" s="284"/>
      <c r="P275" s="284"/>
      <c r="Q275" s="284"/>
      <c r="R275" s="284"/>
      <c r="S275" s="284"/>
      <c r="T275" s="284"/>
      <c r="U275" s="284"/>
      <c r="V275" s="284"/>
      <c r="W275" s="284"/>
      <c r="X275" s="284"/>
      <c r="Y275" s="284"/>
      <c r="Z275" s="284"/>
      <c r="AA275" s="284"/>
    </row>
    <row r="276" spans="1:27" ht="18" hidden="1">
      <c r="A276" s="291" t="s">
        <v>8</v>
      </c>
      <c r="B276" s="303">
        <v>1.1597390000000001</v>
      </c>
      <c r="C276" s="303">
        <v>0.66994799999999999</v>
      </c>
      <c r="D276" s="303">
        <v>5.7732169999999998</v>
      </c>
      <c r="E276" s="303">
        <v>8.2646060000000006</v>
      </c>
      <c r="F276" s="303">
        <v>7.8958539999999999</v>
      </c>
      <c r="G276" s="303">
        <v>0.345389</v>
      </c>
      <c r="H276" s="303">
        <v>0.112</v>
      </c>
      <c r="I276" s="303">
        <v>269.62916999999999</v>
      </c>
      <c r="J276" s="303">
        <f>(SUM(B276:I276))/1000</f>
        <v>0.29384992300000001</v>
      </c>
      <c r="K276" s="303">
        <v>-12.225458</v>
      </c>
      <c r="L276" s="303">
        <v>145.58449600000003</v>
      </c>
      <c r="M276" s="303">
        <f>(SUM(J276:L276))/1000</f>
        <v>0.13365288792300004</v>
      </c>
      <c r="N276" s="290"/>
      <c r="O276" s="284"/>
      <c r="P276" s="284"/>
      <c r="Q276" s="284"/>
      <c r="R276" s="284"/>
      <c r="S276" s="284"/>
      <c r="T276" s="284"/>
      <c r="U276" s="284"/>
      <c r="V276" s="284"/>
      <c r="W276" s="284"/>
      <c r="X276" s="284"/>
      <c r="Y276" s="284"/>
      <c r="Z276" s="284"/>
      <c r="AA276" s="284"/>
    </row>
    <row r="277" spans="1:27" ht="18" hidden="1">
      <c r="A277" s="291" t="s">
        <v>9</v>
      </c>
      <c r="B277" s="303">
        <v>1.1609639999999999</v>
      </c>
      <c r="C277" s="303">
        <v>0.66994799999999999</v>
      </c>
      <c r="D277" s="303">
        <v>24.581810000000001</v>
      </c>
      <c r="E277" s="303">
        <v>1.7357119999999999</v>
      </c>
      <c r="F277" s="303">
        <v>7.8958539999999999</v>
      </c>
      <c r="G277" s="303">
        <v>0.345389</v>
      </c>
      <c r="H277" s="303">
        <v>0.112</v>
      </c>
      <c r="I277" s="303">
        <v>337.06586099999998</v>
      </c>
      <c r="J277" s="303">
        <f>(SUM(B277:I277))/1000</f>
        <v>0.37356753800000003</v>
      </c>
      <c r="K277" s="303">
        <v>46.581222000000004</v>
      </c>
      <c r="L277" s="303">
        <v>144.86516399999999</v>
      </c>
      <c r="M277" s="303">
        <f>(SUM(J277:L277))/1000</f>
        <v>0.19181995353799999</v>
      </c>
      <c r="N277" s="290"/>
      <c r="O277" s="284"/>
      <c r="P277" s="284"/>
      <c r="Q277" s="284"/>
      <c r="R277" s="284"/>
      <c r="S277" s="284"/>
      <c r="T277" s="284"/>
      <c r="U277" s="284"/>
      <c r="V277" s="284"/>
      <c r="W277" s="284"/>
      <c r="X277" s="284"/>
      <c r="Y277" s="284"/>
      <c r="Z277" s="284"/>
      <c r="AA277" s="284"/>
    </row>
    <row r="278" spans="1:27" ht="18" hidden="1">
      <c r="A278" s="291" t="s">
        <v>10</v>
      </c>
      <c r="B278" s="303">
        <v>1.1622870000000001</v>
      </c>
      <c r="C278" s="303">
        <v>0.66994799999999999</v>
      </c>
      <c r="D278" s="303">
        <v>16.298781000000002</v>
      </c>
      <c r="E278" s="303">
        <v>1.661173</v>
      </c>
      <c r="F278" s="303">
        <v>7.8958539999999999</v>
      </c>
      <c r="G278" s="303">
        <v>0.345389</v>
      </c>
      <c r="H278" s="303">
        <v>0.112</v>
      </c>
      <c r="I278" s="303">
        <v>319.60299500000002</v>
      </c>
      <c r="J278" s="303">
        <f>(SUM(B278:I278))/1000</f>
        <v>0.34774842700000003</v>
      </c>
      <c r="K278" s="303">
        <v>114.847345</v>
      </c>
      <c r="L278" s="303">
        <v>121.26343200000002</v>
      </c>
      <c r="M278" s="303">
        <f>(SUM(J278:L278))/1000</f>
        <v>0.23645852542700005</v>
      </c>
      <c r="N278" s="290"/>
      <c r="O278" s="284"/>
      <c r="P278" s="284"/>
      <c r="Q278" s="284"/>
      <c r="R278" s="284"/>
      <c r="S278" s="284"/>
      <c r="T278" s="284"/>
      <c r="U278" s="284"/>
      <c r="V278" s="284"/>
      <c r="W278" s="284"/>
      <c r="X278" s="284"/>
      <c r="Y278" s="284"/>
      <c r="Z278" s="284"/>
      <c r="AA278" s="284"/>
    </row>
    <row r="279" spans="1:27" ht="18" hidden="1">
      <c r="A279" s="291" t="s">
        <v>11</v>
      </c>
      <c r="B279" s="303">
        <v>1.1637</v>
      </c>
      <c r="C279" s="303">
        <v>0.66989999999999994</v>
      </c>
      <c r="D279" s="303">
        <v>36.287099999999995</v>
      </c>
      <c r="E279" s="303">
        <v>1.5290999999999999</v>
      </c>
      <c r="F279" s="303">
        <v>7.8958999999999993</v>
      </c>
      <c r="G279" s="303">
        <v>0.34539999999999998</v>
      </c>
      <c r="H279" s="303">
        <v>0.112</v>
      </c>
      <c r="I279" s="303">
        <v>310.00640000000004</v>
      </c>
      <c r="J279" s="303">
        <v>358.0095</v>
      </c>
      <c r="K279" s="303">
        <v>122.1947</v>
      </c>
      <c r="L279" s="303">
        <v>116.05510000000001</v>
      </c>
      <c r="M279" s="303">
        <v>596.25930000000005</v>
      </c>
      <c r="N279" s="290"/>
      <c r="O279" s="284"/>
      <c r="P279" s="284"/>
      <c r="Q279" s="284"/>
      <c r="R279" s="284"/>
      <c r="S279" s="284"/>
      <c r="T279" s="284"/>
      <c r="U279" s="284"/>
      <c r="V279" s="284"/>
      <c r="W279" s="284"/>
      <c r="X279" s="284"/>
      <c r="Y279" s="284"/>
      <c r="Z279" s="284"/>
      <c r="AA279" s="284"/>
    </row>
    <row r="280" spans="1:27" ht="18" hidden="1">
      <c r="A280" s="291" t="s">
        <v>337</v>
      </c>
      <c r="B280" s="303">
        <v>4.6707999999999998</v>
      </c>
      <c r="C280" s="303">
        <v>0.66989999999999994</v>
      </c>
      <c r="D280" s="303">
        <v>63.5824</v>
      </c>
      <c r="E280" s="303">
        <v>7.7178999999999993</v>
      </c>
      <c r="F280" s="303">
        <v>7.8958999999999993</v>
      </c>
      <c r="G280" s="303">
        <v>0.34539999999999998</v>
      </c>
      <c r="H280" s="303">
        <v>0.112</v>
      </c>
      <c r="I280" s="303">
        <v>383.89269999999999</v>
      </c>
      <c r="J280" s="303">
        <v>468.887</v>
      </c>
      <c r="K280" s="303">
        <v>129.65549999999999</v>
      </c>
      <c r="L280" s="303">
        <v>151.07310000000001</v>
      </c>
      <c r="M280" s="303">
        <v>749.61559999999997</v>
      </c>
      <c r="N280" s="290"/>
      <c r="O280" s="284"/>
      <c r="P280" s="284"/>
      <c r="Q280" s="284"/>
      <c r="R280" s="284"/>
      <c r="S280" s="284"/>
      <c r="T280" s="284"/>
      <c r="U280" s="284"/>
      <c r="V280" s="284"/>
      <c r="W280" s="284"/>
      <c r="X280" s="284"/>
      <c r="Y280" s="284"/>
      <c r="Z280" s="284"/>
      <c r="AA280" s="284"/>
    </row>
    <row r="281" spans="1:27" ht="18" hidden="1">
      <c r="A281" s="291" t="s">
        <v>346</v>
      </c>
      <c r="B281" s="303">
        <v>0.27379999999999999</v>
      </c>
      <c r="C281" s="303">
        <v>35.928100000000001</v>
      </c>
      <c r="D281" s="303">
        <v>0.39989999999999998</v>
      </c>
      <c r="E281" s="303">
        <v>0</v>
      </c>
      <c r="F281" s="303">
        <v>6.8958999999999993</v>
      </c>
      <c r="G281" s="303">
        <v>0.34539999999999998</v>
      </c>
      <c r="H281" s="303">
        <v>0.112</v>
      </c>
      <c r="I281" s="303">
        <v>180.6728</v>
      </c>
      <c r="J281" s="303">
        <v>224.62789999999998</v>
      </c>
      <c r="K281" s="303">
        <v>101.02589999999999</v>
      </c>
      <c r="L281" s="303">
        <v>76.613199999999992</v>
      </c>
      <c r="M281" s="303">
        <v>402.267</v>
      </c>
      <c r="N281" s="290"/>
      <c r="O281" s="284"/>
      <c r="P281" s="284"/>
      <c r="Q281" s="284"/>
      <c r="R281" s="284"/>
      <c r="S281" s="284"/>
      <c r="T281" s="284"/>
      <c r="U281" s="284"/>
      <c r="V281" s="284"/>
      <c r="W281" s="284"/>
      <c r="X281" s="284"/>
      <c r="Y281" s="284"/>
      <c r="Z281" s="284"/>
      <c r="AA281" s="284"/>
    </row>
    <row r="282" spans="1:27" ht="18" hidden="1">
      <c r="A282" s="291" t="s">
        <v>347</v>
      </c>
      <c r="B282" s="303">
        <v>17.719799999999999</v>
      </c>
      <c r="C282" s="303">
        <v>44.590800000000002</v>
      </c>
      <c r="D282" s="303">
        <v>0.39989999999999998</v>
      </c>
      <c r="E282" s="303">
        <v>0</v>
      </c>
      <c r="F282" s="303">
        <v>6.8958999999999993</v>
      </c>
      <c r="G282" s="303">
        <v>0.34539999999999998</v>
      </c>
      <c r="H282" s="303">
        <v>0.112</v>
      </c>
      <c r="I282" s="303">
        <v>208.11</v>
      </c>
      <c r="J282" s="303">
        <v>278.17379999999997</v>
      </c>
      <c r="K282" s="303">
        <v>118.8455</v>
      </c>
      <c r="L282" s="303">
        <v>110.70910000000001</v>
      </c>
      <c r="M282" s="303">
        <v>507.72840000000002</v>
      </c>
      <c r="N282" s="290"/>
      <c r="O282" s="284"/>
      <c r="P282" s="284"/>
      <c r="Q282" s="284"/>
      <c r="R282" s="284"/>
      <c r="S282" s="284"/>
      <c r="T282" s="284"/>
      <c r="U282" s="284"/>
      <c r="V282" s="284"/>
      <c r="W282" s="284"/>
      <c r="X282" s="284"/>
      <c r="Y282" s="284"/>
      <c r="Z282" s="284"/>
      <c r="AA282" s="284"/>
    </row>
    <row r="283" spans="1:27" ht="18" hidden="1">
      <c r="A283" s="291" t="s">
        <v>12</v>
      </c>
      <c r="B283" s="303">
        <v>0.2303</v>
      </c>
      <c r="C283" s="303">
        <v>4.2099999999999999E-2</v>
      </c>
      <c r="D283" s="303">
        <v>0.39989999999999998</v>
      </c>
      <c r="E283" s="303">
        <v>0</v>
      </c>
      <c r="F283" s="303">
        <v>6.8958999999999993</v>
      </c>
      <c r="G283" s="303">
        <v>0.34539999999999998</v>
      </c>
      <c r="H283" s="303">
        <v>0.112</v>
      </c>
      <c r="I283" s="303">
        <v>191.49370000000002</v>
      </c>
      <c r="J283" s="303">
        <v>199.51929999999999</v>
      </c>
      <c r="K283" s="303">
        <v>136.9667</v>
      </c>
      <c r="L283" s="303">
        <v>214.7216</v>
      </c>
      <c r="M283" s="303">
        <v>551.20759999999996</v>
      </c>
      <c r="N283" s="290"/>
      <c r="O283" s="284"/>
      <c r="P283" s="284"/>
      <c r="Q283" s="284"/>
      <c r="R283" s="284"/>
      <c r="S283" s="284"/>
      <c r="T283" s="284"/>
      <c r="U283" s="284"/>
      <c r="V283" s="284"/>
      <c r="W283" s="284"/>
      <c r="X283" s="284"/>
      <c r="Y283" s="284"/>
      <c r="Z283" s="284"/>
      <c r="AA283" s="284"/>
    </row>
    <row r="284" spans="1:27" ht="18" hidden="1">
      <c r="A284" s="291" t="s">
        <v>13</v>
      </c>
      <c r="B284" s="303">
        <v>15.0611</v>
      </c>
      <c r="C284" s="303">
        <v>1.5E-3</v>
      </c>
      <c r="D284" s="303">
        <v>0</v>
      </c>
      <c r="E284" s="303">
        <v>0</v>
      </c>
      <c r="F284" s="303">
        <v>0</v>
      </c>
      <c r="G284" s="303">
        <v>0</v>
      </c>
      <c r="H284" s="303">
        <v>0.112</v>
      </c>
      <c r="I284" s="303">
        <v>139.64079999999998</v>
      </c>
      <c r="J284" s="303">
        <v>154.81539999999998</v>
      </c>
      <c r="K284" s="303">
        <v>290.03909999999996</v>
      </c>
      <c r="L284" s="303">
        <v>149.26510000000002</v>
      </c>
      <c r="M284" s="303">
        <v>594.11969999999997</v>
      </c>
      <c r="N284" s="290"/>
      <c r="O284" s="284"/>
      <c r="P284" s="284"/>
      <c r="Q284" s="284"/>
      <c r="R284" s="284"/>
      <c r="S284" s="284"/>
      <c r="T284" s="284"/>
      <c r="U284" s="284"/>
      <c r="V284" s="284"/>
      <c r="W284" s="284"/>
      <c r="X284" s="284"/>
      <c r="Y284" s="284"/>
      <c r="Z284" s="284"/>
      <c r="AA284" s="284"/>
    </row>
    <row r="285" spans="1:27" ht="18" hidden="1">
      <c r="A285" s="291" t="s">
        <v>14</v>
      </c>
      <c r="B285" s="303">
        <v>33.019599999999997</v>
      </c>
      <c r="C285" s="303">
        <v>1.5E-3</v>
      </c>
      <c r="D285" s="303">
        <v>0</v>
      </c>
      <c r="E285" s="303">
        <v>0</v>
      </c>
      <c r="F285" s="303">
        <v>0</v>
      </c>
      <c r="G285" s="303">
        <v>0</v>
      </c>
      <c r="H285" s="303">
        <v>0.112</v>
      </c>
      <c r="I285" s="303">
        <v>464.82380000000001</v>
      </c>
      <c r="J285" s="303">
        <v>497.95699999999999</v>
      </c>
      <c r="K285" s="303">
        <v>331.8279</v>
      </c>
      <c r="L285" s="303">
        <v>186.75200000000001</v>
      </c>
      <c r="M285" s="303">
        <v>1016.5369000000001</v>
      </c>
      <c r="N285" s="290"/>
      <c r="O285" s="284"/>
      <c r="P285" s="284"/>
      <c r="Q285" s="284"/>
      <c r="R285" s="284"/>
      <c r="S285" s="284"/>
      <c r="T285" s="284"/>
      <c r="U285" s="284"/>
      <c r="V285" s="284"/>
      <c r="W285" s="284"/>
      <c r="X285" s="284"/>
      <c r="Y285" s="284"/>
      <c r="Z285" s="284"/>
      <c r="AA285" s="284"/>
    </row>
    <row r="286" spans="1:27" ht="18" hidden="1">
      <c r="A286" s="291" t="s">
        <v>15</v>
      </c>
      <c r="B286" s="303">
        <v>7.2412999999999998</v>
      </c>
      <c r="C286" s="303">
        <v>0</v>
      </c>
      <c r="D286" s="303">
        <v>0</v>
      </c>
      <c r="E286" s="303">
        <v>228.98129999999998</v>
      </c>
      <c r="F286" s="303">
        <v>0</v>
      </c>
      <c r="G286" s="303">
        <v>0</v>
      </c>
      <c r="H286" s="303">
        <v>0.2407</v>
      </c>
      <c r="I286" s="303">
        <v>317.83840000000004</v>
      </c>
      <c r="J286" s="303">
        <v>554.30160000000001</v>
      </c>
      <c r="K286" s="303">
        <v>510.33840000000004</v>
      </c>
      <c r="L286" s="303">
        <v>339.89940000000001</v>
      </c>
      <c r="M286" s="303">
        <v>1404.5395000000001</v>
      </c>
      <c r="N286" s="290"/>
      <c r="O286" s="284"/>
      <c r="P286" s="284"/>
      <c r="Q286" s="284"/>
      <c r="R286" s="284"/>
      <c r="S286" s="284"/>
      <c r="T286" s="284"/>
      <c r="U286" s="284"/>
      <c r="V286" s="284"/>
      <c r="W286" s="284"/>
      <c r="X286" s="284"/>
      <c r="Y286" s="284"/>
      <c r="Z286" s="284"/>
      <c r="AA286" s="284"/>
    </row>
    <row r="287" spans="1:27" ht="18" hidden="1">
      <c r="A287" s="291" t="s">
        <v>16</v>
      </c>
      <c r="B287" s="303">
        <v>0</v>
      </c>
      <c r="C287" s="303">
        <v>6.8958999999999993</v>
      </c>
      <c r="D287" s="303">
        <v>0</v>
      </c>
      <c r="E287" s="303">
        <v>0</v>
      </c>
      <c r="F287" s="303">
        <v>199.62520000000001</v>
      </c>
      <c r="G287" s="303">
        <v>0</v>
      </c>
      <c r="H287" s="303">
        <v>0.112</v>
      </c>
      <c r="I287" s="303">
        <v>569.00959999999998</v>
      </c>
      <c r="J287" s="303">
        <v>775.64260000000002</v>
      </c>
      <c r="K287" s="303">
        <v>406.38959999999997</v>
      </c>
      <c r="L287" s="303">
        <v>276.60750000000002</v>
      </c>
      <c r="M287" s="303">
        <v>1458.6396999999999</v>
      </c>
      <c r="N287" s="290"/>
      <c r="O287" s="284"/>
      <c r="P287" s="284"/>
      <c r="Q287" s="284"/>
      <c r="R287" s="284"/>
      <c r="S287" s="284"/>
      <c r="T287" s="284"/>
      <c r="U287" s="284"/>
      <c r="V287" s="284"/>
      <c r="W287" s="284"/>
      <c r="X287" s="284"/>
      <c r="Y287" s="284"/>
      <c r="Z287" s="284"/>
      <c r="AA287" s="284"/>
    </row>
    <row r="288" spans="1:27" ht="18" hidden="1">
      <c r="A288" s="291"/>
      <c r="B288" s="303"/>
      <c r="C288" s="303"/>
      <c r="D288" s="303"/>
      <c r="E288" s="303"/>
      <c r="F288" s="303"/>
      <c r="G288" s="303"/>
      <c r="H288" s="303"/>
      <c r="I288" s="303"/>
      <c r="J288" s="303"/>
      <c r="K288" s="303"/>
      <c r="L288" s="303"/>
      <c r="M288" s="303"/>
      <c r="N288" s="290"/>
      <c r="O288" s="284"/>
      <c r="P288" s="284"/>
      <c r="Q288" s="284"/>
      <c r="R288" s="284"/>
      <c r="S288" s="284"/>
      <c r="T288" s="284"/>
      <c r="U288" s="284"/>
      <c r="V288" s="284"/>
      <c r="W288" s="284"/>
      <c r="X288" s="284"/>
      <c r="Y288" s="284"/>
      <c r="Z288" s="284"/>
      <c r="AA288" s="284"/>
    </row>
    <row r="289" spans="1:27" ht="18" hidden="1">
      <c r="A289" s="291"/>
      <c r="B289" s="303"/>
      <c r="C289" s="303"/>
      <c r="D289" s="303"/>
      <c r="E289" s="303"/>
      <c r="F289" s="303"/>
      <c r="G289" s="303"/>
      <c r="H289" s="303"/>
      <c r="I289" s="303"/>
      <c r="J289" s="303"/>
      <c r="K289" s="303"/>
      <c r="L289" s="303"/>
      <c r="M289" s="303"/>
      <c r="N289" s="290"/>
      <c r="O289" s="284"/>
      <c r="P289" s="284"/>
      <c r="Q289" s="284"/>
      <c r="R289" s="284"/>
      <c r="S289" s="284"/>
      <c r="T289" s="284"/>
      <c r="U289" s="284"/>
      <c r="V289" s="284"/>
      <c r="W289" s="284"/>
      <c r="X289" s="284"/>
      <c r="Y289" s="284"/>
      <c r="Z289" s="284"/>
      <c r="AA289" s="284"/>
    </row>
    <row r="290" spans="1:27" ht="18" hidden="1">
      <c r="A290" s="304">
        <v>2006</v>
      </c>
      <c r="B290" s="303"/>
      <c r="C290" s="303"/>
      <c r="D290" s="303"/>
      <c r="E290" s="303"/>
      <c r="F290" s="303"/>
      <c r="G290" s="303"/>
      <c r="H290" s="303"/>
      <c r="I290" s="303"/>
      <c r="J290" s="303"/>
      <c r="K290" s="303"/>
      <c r="L290" s="303"/>
      <c r="M290" s="303"/>
      <c r="N290" s="290"/>
      <c r="O290" s="284"/>
      <c r="P290" s="284"/>
      <c r="Q290" s="284"/>
      <c r="R290" s="284"/>
      <c r="S290" s="284"/>
      <c r="T290" s="284"/>
      <c r="U290" s="284"/>
      <c r="V290" s="284"/>
      <c r="W290" s="284"/>
      <c r="X290" s="284"/>
      <c r="Y290" s="284"/>
      <c r="Z290" s="284"/>
      <c r="AA290" s="284"/>
    </row>
    <row r="291" spans="1:27" ht="18" hidden="1">
      <c r="A291" s="304"/>
      <c r="B291" s="303"/>
      <c r="C291" s="303"/>
      <c r="D291" s="303"/>
      <c r="E291" s="303"/>
      <c r="F291" s="303"/>
      <c r="G291" s="303"/>
      <c r="H291" s="303"/>
      <c r="I291" s="303"/>
      <c r="J291" s="303"/>
      <c r="K291" s="303"/>
      <c r="L291" s="303"/>
      <c r="M291" s="303"/>
      <c r="N291" s="290"/>
      <c r="O291" s="284"/>
      <c r="P291" s="284"/>
      <c r="Q291" s="284"/>
      <c r="R291" s="284"/>
      <c r="S291" s="284"/>
      <c r="T291" s="284"/>
      <c r="U291" s="284"/>
      <c r="V291" s="284"/>
      <c r="W291" s="284"/>
      <c r="X291" s="284"/>
      <c r="Y291" s="284"/>
      <c r="Z291" s="284"/>
      <c r="AA291" s="284"/>
    </row>
    <row r="292" spans="1:27" ht="18" hidden="1">
      <c r="A292" s="291" t="s">
        <v>8</v>
      </c>
      <c r="B292" s="303">
        <v>24.141549999999999</v>
      </c>
      <c r="C292" s="303">
        <v>323.31167800000003</v>
      </c>
      <c r="D292" s="303">
        <v>0</v>
      </c>
      <c r="E292" s="303">
        <v>0</v>
      </c>
      <c r="F292" s="303">
        <v>0</v>
      </c>
      <c r="G292" s="303">
        <v>0</v>
      </c>
      <c r="H292" s="303">
        <v>4.3161570000000005</v>
      </c>
      <c r="I292" s="303">
        <v>418.72778099999999</v>
      </c>
      <c r="J292" s="303">
        <v>770.49716599999999</v>
      </c>
      <c r="K292" s="303">
        <v>633.51146100000005</v>
      </c>
      <c r="L292" s="303">
        <v>1490.457034</v>
      </c>
      <c r="M292" s="303">
        <v>2894.4656609999997</v>
      </c>
      <c r="N292" s="290"/>
      <c r="O292" s="284"/>
      <c r="P292" s="284"/>
      <c r="Q292" s="284"/>
      <c r="R292" s="284"/>
      <c r="S292" s="284"/>
      <c r="T292" s="284"/>
      <c r="U292" s="284"/>
      <c r="V292" s="284"/>
      <c r="W292" s="284"/>
      <c r="X292" s="284"/>
      <c r="Y292" s="284"/>
      <c r="Z292" s="284"/>
      <c r="AA292" s="284"/>
    </row>
    <row r="293" spans="1:27" ht="18" hidden="1">
      <c r="A293" s="291" t="s">
        <v>9</v>
      </c>
      <c r="B293" s="303">
        <v>24.141549999999999</v>
      </c>
      <c r="C293" s="303">
        <v>323.31167800000003</v>
      </c>
      <c r="D293" s="303">
        <v>0</v>
      </c>
      <c r="E293" s="303">
        <v>0</v>
      </c>
      <c r="F293" s="303">
        <v>0</v>
      </c>
      <c r="G293" s="303">
        <v>0</v>
      </c>
      <c r="H293" s="303">
        <v>4.3161570000000005</v>
      </c>
      <c r="I293" s="303">
        <v>484.26892599999996</v>
      </c>
      <c r="J293" s="303">
        <v>836.03831100000002</v>
      </c>
      <c r="K293" s="303">
        <v>685.84862399999997</v>
      </c>
      <c r="L293" s="303">
        <v>1505.18948</v>
      </c>
      <c r="M293" s="303">
        <v>3027.076415</v>
      </c>
      <c r="N293" s="290"/>
      <c r="O293" s="284"/>
      <c r="P293" s="284"/>
      <c r="Q293" s="284"/>
      <c r="R293" s="284"/>
      <c r="S293" s="284"/>
      <c r="T293" s="284"/>
      <c r="U293" s="284"/>
      <c r="V293" s="284"/>
      <c r="W293" s="284"/>
      <c r="X293" s="284"/>
      <c r="Y293" s="284"/>
      <c r="Z293" s="284"/>
      <c r="AA293" s="284"/>
    </row>
    <row r="294" spans="1:27" ht="18" hidden="1">
      <c r="A294" s="291" t="s">
        <v>10</v>
      </c>
      <c r="B294" s="303">
        <v>2.1000259999999997</v>
      </c>
      <c r="C294" s="303">
        <v>0</v>
      </c>
      <c r="D294" s="303">
        <v>0</v>
      </c>
      <c r="E294" s="303">
        <v>0</v>
      </c>
      <c r="F294" s="303">
        <v>0</v>
      </c>
      <c r="G294" s="303">
        <v>0</v>
      </c>
      <c r="H294" s="303">
        <v>6.4521610000000003</v>
      </c>
      <c r="I294" s="303">
        <v>1139.6790169999999</v>
      </c>
      <c r="J294" s="303">
        <v>1148.2312039999999</v>
      </c>
      <c r="K294" s="303">
        <v>727.71023500000001</v>
      </c>
      <c r="L294" s="303">
        <v>1177.9767440000005</v>
      </c>
      <c r="M294" s="303">
        <v>3053.9181830000002</v>
      </c>
      <c r="N294" s="290"/>
      <c r="O294" s="284"/>
      <c r="P294" s="284"/>
      <c r="Q294" s="284"/>
      <c r="R294" s="284"/>
      <c r="S294" s="284"/>
      <c r="T294" s="284"/>
      <c r="U294" s="284"/>
      <c r="V294" s="284"/>
      <c r="W294" s="284"/>
      <c r="X294" s="284"/>
      <c r="Y294" s="284"/>
      <c r="Z294" s="284"/>
      <c r="AA294" s="284"/>
    </row>
    <row r="295" spans="1:27" ht="18" hidden="1">
      <c r="A295" s="291" t="s">
        <v>11</v>
      </c>
      <c r="B295" s="303">
        <v>21.8947</v>
      </c>
      <c r="C295" s="303">
        <v>16.983599999999999</v>
      </c>
      <c r="D295" s="303">
        <v>0</v>
      </c>
      <c r="E295" s="303">
        <v>0</v>
      </c>
      <c r="F295" s="303">
        <v>0</v>
      </c>
      <c r="G295" s="303">
        <v>0</v>
      </c>
      <c r="H295" s="303">
        <v>0</v>
      </c>
      <c r="I295" s="303">
        <v>1340.1142</v>
      </c>
      <c r="J295" s="303">
        <v>1378.9925000000001</v>
      </c>
      <c r="K295" s="303">
        <v>809.67619999999999</v>
      </c>
      <c r="L295" s="303">
        <v>1547.337</v>
      </c>
      <c r="M295" s="303">
        <f>(SUM(J295:L295))</f>
        <v>3736.0057000000002</v>
      </c>
      <c r="N295" s="290"/>
      <c r="O295" s="284"/>
      <c r="P295" s="284"/>
      <c r="Q295" s="284"/>
      <c r="R295" s="284"/>
      <c r="S295" s="284"/>
      <c r="T295" s="284"/>
      <c r="U295" s="284"/>
      <c r="V295" s="284"/>
      <c r="W295" s="284"/>
      <c r="X295" s="284"/>
      <c r="Y295" s="284"/>
      <c r="Z295" s="284"/>
      <c r="AA295" s="284"/>
    </row>
    <row r="296" spans="1:27" ht="18" hidden="1">
      <c r="A296" s="291" t="s">
        <v>337</v>
      </c>
      <c r="B296" s="303">
        <v>36.523199999999996</v>
      </c>
      <c r="C296" s="303">
        <v>0</v>
      </c>
      <c r="D296" s="303">
        <v>0</v>
      </c>
      <c r="E296" s="303">
        <v>0</v>
      </c>
      <c r="F296" s="303">
        <v>0</v>
      </c>
      <c r="G296" s="303">
        <v>0</v>
      </c>
      <c r="H296" s="303">
        <v>0</v>
      </c>
      <c r="I296" s="303">
        <v>932.15180000000009</v>
      </c>
      <c r="J296" s="303">
        <v>968.67489999999998</v>
      </c>
      <c r="K296" s="303">
        <v>887.57650000000001</v>
      </c>
      <c r="L296" s="303">
        <v>1411.8401999999999</v>
      </c>
      <c r="M296" s="303">
        <v>3268.0917000000004</v>
      </c>
      <c r="N296" s="290"/>
      <c r="O296" s="284"/>
      <c r="P296" s="284"/>
      <c r="Q296" s="284"/>
      <c r="R296" s="284"/>
      <c r="S296" s="284"/>
      <c r="T296" s="284"/>
      <c r="U296" s="284"/>
      <c r="V296" s="284"/>
      <c r="W296" s="284"/>
      <c r="X296" s="284"/>
      <c r="Y296" s="284"/>
      <c r="Z296" s="284"/>
      <c r="AA296" s="284"/>
    </row>
    <row r="297" spans="1:27" ht="18" hidden="1">
      <c r="A297" s="291" t="s">
        <v>346</v>
      </c>
      <c r="B297" s="303">
        <v>11.8811</v>
      </c>
      <c r="C297" s="303">
        <v>0</v>
      </c>
      <c r="D297" s="303">
        <v>0</v>
      </c>
      <c r="E297" s="303">
        <v>0</v>
      </c>
      <c r="F297" s="303">
        <v>0</v>
      </c>
      <c r="G297" s="303">
        <v>0</v>
      </c>
      <c r="H297" s="303">
        <v>0</v>
      </c>
      <c r="I297" s="303">
        <v>1169.1181000000001</v>
      </c>
      <c r="J297" s="303">
        <v>1180.9992</v>
      </c>
      <c r="K297" s="303">
        <v>1764.5326</v>
      </c>
      <c r="L297" s="303">
        <v>1433.0166999999999</v>
      </c>
      <c r="M297" s="303">
        <v>4378.5486000000001</v>
      </c>
      <c r="N297" s="290"/>
      <c r="O297" s="284"/>
      <c r="P297" s="284"/>
      <c r="Q297" s="284"/>
      <c r="R297" s="284"/>
      <c r="S297" s="284"/>
      <c r="T297" s="284"/>
      <c r="U297" s="284"/>
      <c r="V297" s="284"/>
      <c r="W297" s="284"/>
      <c r="X297" s="284"/>
      <c r="Y297" s="284"/>
      <c r="Z297" s="284"/>
      <c r="AA297" s="284"/>
    </row>
    <row r="298" spans="1:27" ht="18" hidden="1">
      <c r="A298" s="291" t="s">
        <v>347</v>
      </c>
      <c r="B298" s="303">
        <v>11.8561</v>
      </c>
      <c r="C298" s="303">
        <v>0</v>
      </c>
      <c r="D298" s="303">
        <v>0</v>
      </c>
      <c r="E298" s="303">
        <v>0</v>
      </c>
      <c r="F298" s="303">
        <v>0</v>
      </c>
      <c r="G298" s="303">
        <v>0</v>
      </c>
      <c r="H298" s="303">
        <v>0.112</v>
      </c>
      <c r="I298" s="303">
        <v>1139.0703999999998</v>
      </c>
      <c r="J298" s="303">
        <v>1151.0385000000001</v>
      </c>
      <c r="K298" s="303">
        <v>1753.4853999999998</v>
      </c>
      <c r="L298" s="303">
        <v>1754.0231999999999</v>
      </c>
      <c r="M298" s="303">
        <v>4658.5469999999996</v>
      </c>
      <c r="N298" s="290"/>
      <c r="O298" s="284"/>
      <c r="P298" s="284"/>
      <c r="Q298" s="284"/>
      <c r="R298" s="284"/>
      <c r="S298" s="284"/>
      <c r="T298" s="284"/>
      <c r="U298" s="284"/>
      <c r="V298" s="284"/>
      <c r="W298" s="284"/>
      <c r="X298" s="284"/>
      <c r="Y298" s="284"/>
      <c r="Z298" s="284"/>
      <c r="AA298" s="284"/>
    </row>
    <row r="299" spans="1:27" ht="18" hidden="1">
      <c r="A299" s="291" t="s">
        <v>12</v>
      </c>
      <c r="B299" s="303">
        <v>0</v>
      </c>
      <c r="C299" s="303">
        <v>0</v>
      </c>
      <c r="D299" s="303">
        <v>0</v>
      </c>
      <c r="E299" s="303">
        <v>0</v>
      </c>
      <c r="F299" s="303">
        <v>0</v>
      </c>
      <c r="G299" s="303">
        <v>0</v>
      </c>
      <c r="H299" s="303">
        <v>0</v>
      </c>
      <c r="I299" s="303">
        <v>1314.0531000000001</v>
      </c>
      <c r="J299" s="303">
        <v>1314.0531000000001</v>
      </c>
      <c r="K299" s="303">
        <v>2931.5920000000001</v>
      </c>
      <c r="L299" s="303">
        <v>2921.3447000000001</v>
      </c>
      <c r="M299" s="303">
        <v>7166.9899000000005</v>
      </c>
      <c r="N299" s="290"/>
      <c r="O299" s="284"/>
      <c r="P299" s="284"/>
      <c r="Q299" s="284"/>
      <c r="R299" s="284"/>
      <c r="S299" s="284"/>
      <c r="T299" s="284"/>
      <c r="U299" s="284"/>
      <c r="V299" s="284"/>
      <c r="W299" s="284"/>
      <c r="X299" s="284"/>
      <c r="Y299" s="284"/>
      <c r="Z299" s="284"/>
      <c r="AA299" s="284"/>
    </row>
    <row r="300" spans="1:27" ht="18" hidden="1">
      <c r="A300" s="291" t="s">
        <v>13</v>
      </c>
      <c r="B300" s="303">
        <v>0</v>
      </c>
      <c r="C300" s="303">
        <v>0</v>
      </c>
      <c r="D300" s="303">
        <v>0</v>
      </c>
      <c r="E300" s="303">
        <v>0</v>
      </c>
      <c r="F300" s="303">
        <v>0</v>
      </c>
      <c r="G300" s="303">
        <v>0</v>
      </c>
      <c r="H300" s="303">
        <v>0</v>
      </c>
      <c r="I300" s="303">
        <v>2493.2773999999999</v>
      </c>
      <c r="J300" s="303">
        <v>2493.2773999999999</v>
      </c>
      <c r="K300" s="303">
        <v>5527.6867000000002</v>
      </c>
      <c r="L300" s="303">
        <v>4590.0259999999998</v>
      </c>
      <c r="M300" s="303">
        <v>12610.990099999999</v>
      </c>
      <c r="N300" s="290"/>
      <c r="O300" s="284"/>
      <c r="P300" s="284"/>
      <c r="Q300" s="284"/>
      <c r="R300" s="284"/>
      <c r="S300" s="284"/>
      <c r="T300" s="284"/>
      <c r="U300" s="284"/>
      <c r="V300" s="284"/>
      <c r="W300" s="284"/>
      <c r="X300" s="284"/>
      <c r="Y300" s="284"/>
      <c r="Z300" s="284"/>
      <c r="AA300" s="284"/>
    </row>
    <row r="301" spans="1:27" ht="18" hidden="1">
      <c r="A301" s="291" t="s">
        <v>14</v>
      </c>
      <c r="B301" s="303">
        <v>0</v>
      </c>
      <c r="C301" s="303">
        <v>0</v>
      </c>
      <c r="D301" s="303">
        <v>0</v>
      </c>
      <c r="E301" s="303">
        <v>0</v>
      </c>
      <c r="F301" s="303">
        <v>81.617899999999992</v>
      </c>
      <c r="G301" s="303">
        <v>0</v>
      </c>
      <c r="H301" s="303">
        <v>0</v>
      </c>
      <c r="I301" s="303">
        <v>3697.3125</v>
      </c>
      <c r="J301" s="303">
        <v>3778.9303999999997</v>
      </c>
      <c r="K301" s="303">
        <v>6912.4107999999997</v>
      </c>
      <c r="L301" s="303">
        <v>5405.8431</v>
      </c>
      <c r="M301" s="303">
        <f>(SUM(J301:L301))</f>
        <v>16097.184299999999</v>
      </c>
      <c r="N301" s="290"/>
      <c r="O301" s="284"/>
      <c r="P301" s="284"/>
      <c r="Q301" s="284"/>
      <c r="R301" s="284"/>
      <c r="S301" s="284"/>
      <c r="T301" s="284"/>
      <c r="U301" s="284"/>
      <c r="V301" s="284"/>
      <c r="W301" s="284"/>
      <c r="X301" s="284"/>
      <c r="Y301" s="284"/>
      <c r="Z301" s="284"/>
      <c r="AA301" s="284"/>
    </row>
    <row r="302" spans="1:27" ht="18" hidden="1">
      <c r="A302" s="291" t="s">
        <v>15</v>
      </c>
      <c r="B302" s="303">
        <v>0</v>
      </c>
      <c r="C302" s="303">
        <v>0</v>
      </c>
      <c r="D302" s="303">
        <v>0</v>
      </c>
      <c r="E302" s="303">
        <v>0</v>
      </c>
      <c r="F302" s="303">
        <v>0</v>
      </c>
      <c r="G302" s="303">
        <v>0</v>
      </c>
      <c r="H302" s="303">
        <v>0</v>
      </c>
      <c r="I302" s="303">
        <v>3233.7583</v>
      </c>
      <c r="J302" s="303">
        <v>3233.7583</v>
      </c>
      <c r="K302" s="303">
        <v>8296.1847999999991</v>
      </c>
      <c r="L302" s="303">
        <v>6205.7972</v>
      </c>
      <c r="M302" s="303">
        <f>(SUM(J302:L302))</f>
        <v>17735.740299999998</v>
      </c>
      <c r="N302" s="290"/>
      <c r="O302" s="284"/>
      <c r="P302" s="284"/>
      <c r="Q302" s="284"/>
      <c r="R302" s="284"/>
      <c r="S302" s="284"/>
      <c r="T302" s="284"/>
      <c r="U302" s="284"/>
      <c r="V302" s="284"/>
      <c r="W302" s="284"/>
      <c r="X302" s="284"/>
      <c r="Y302" s="284"/>
      <c r="Z302" s="284"/>
      <c r="AA302" s="284"/>
    </row>
    <row r="303" spans="1:27" ht="18" hidden="1">
      <c r="A303" s="291" t="s">
        <v>16</v>
      </c>
      <c r="B303" s="303">
        <v>0</v>
      </c>
      <c r="C303" s="303">
        <v>0</v>
      </c>
      <c r="D303" s="303">
        <v>0</v>
      </c>
      <c r="E303" s="303">
        <v>0</v>
      </c>
      <c r="F303" s="303">
        <v>1814.2</v>
      </c>
      <c r="G303" s="303">
        <v>0</v>
      </c>
      <c r="H303" s="303">
        <v>0</v>
      </c>
      <c r="I303" s="303">
        <v>4964.16</v>
      </c>
      <c r="J303" s="303">
        <v>6778.37</v>
      </c>
      <c r="K303" s="303">
        <v>6768.7</v>
      </c>
      <c r="L303" s="303">
        <v>2147.3000000000002</v>
      </c>
      <c r="M303" s="303">
        <f>(SUM(J303:L303))</f>
        <v>15694.369999999999</v>
      </c>
      <c r="N303" s="290"/>
      <c r="O303" s="284"/>
      <c r="P303" s="284"/>
      <c r="Q303" s="284"/>
      <c r="R303" s="284"/>
      <c r="S303" s="284"/>
      <c r="T303" s="284"/>
      <c r="U303" s="284"/>
      <c r="V303" s="284"/>
      <c r="W303" s="284"/>
      <c r="X303" s="284"/>
      <c r="Y303" s="284"/>
      <c r="Z303" s="284"/>
      <c r="AA303" s="284"/>
    </row>
    <row r="304" spans="1:27" ht="18" hidden="1">
      <c r="A304" s="291"/>
      <c r="B304" s="303"/>
      <c r="C304" s="303"/>
      <c r="D304" s="303"/>
      <c r="E304" s="303"/>
      <c r="F304" s="303"/>
      <c r="G304" s="303"/>
      <c r="H304" s="303"/>
      <c r="I304" s="303"/>
      <c r="J304" s="303"/>
      <c r="K304" s="303"/>
      <c r="L304" s="303"/>
      <c r="M304" s="303"/>
      <c r="N304" s="290"/>
      <c r="O304" s="284"/>
      <c r="P304" s="284"/>
      <c r="Q304" s="284"/>
      <c r="R304" s="284"/>
      <c r="S304" s="284"/>
      <c r="T304" s="284"/>
      <c r="U304" s="284"/>
      <c r="V304" s="284"/>
      <c r="W304" s="284"/>
      <c r="X304" s="284"/>
      <c r="Y304" s="284"/>
      <c r="Z304" s="284"/>
      <c r="AA304" s="284"/>
    </row>
    <row r="305" spans="1:27" ht="18" hidden="1">
      <c r="A305" s="304">
        <v>2007</v>
      </c>
      <c r="B305" s="303"/>
      <c r="C305" s="303"/>
      <c r="D305" s="303"/>
      <c r="E305" s="303"/>
      <c r="F305" s="303"/>
      <c r="G305" s="303"/>
      <c r="H305" s="303"/>
      <c r="I305" s="303"/>
      <c r="J305" s="303"/>
      <c r="K305" s="303"/>
      <c r="L305" s="303"/>
      <c r="M305" s="303"/>
      <c r="N305" s="290"/>
      <c r="O305" s="284"/>
      <c r="P305" s="284"/>
      <c r="Q305" s="284"/>
      <c r="R305" s="284"/>
      <c r="S305" s="284"/>
      <c r="T305" s="284"/>
      <c r="U305" s="284"/>
      <c r="V305" s="284"/>
      <c r="W305" s="284"/>
      <c r="X305" s="284"/>
      <c r="Y305" s="284"/>
      <c r="Z305" s="284"/>
      <c r="AA305" s="284"/>
    </row>
    <row r="306" spans="1:27" ht="18" hidden="1">
      <c r="A306" s="291"/>
      <c r="B306" s="303"/>
      <c r="C306" s="303"/>
      <c r="D306" s="303"/>
      <c r="E306" s="303"/>
      <c r="F306" s="303"/>
      <c r="G306" s="303"/>
      <c r="H306" s="303"/>
      <c r="I306" s="303"/>
      <c r="J306" s="303"/>
      <c r="K306" s="303"/>
      <c r="L306" s="303"/>
      <c r="M306" s="303"/>
      <c r="N306" s="290"/>
      <c r="O306" s="284"/>
      <c r="P306" s="284"/>
      <c r="Q306" s="284"/>
      <c r="R306" s="284"/>
      <c r="S306" s="284"/>
      <c r="T306" s="284"/>
      <c r="U306" s="284"/>
      <c r="V306" s="284"/>
      <c r="W306" s="284"/>
      <c r="X306" s="284"/>
      <c r="Y306" s="284"/>
      <c r="Z306" s="284"/>
      <c r="AA306" s="284"/>
    </row>
    <row r="307" spans="1:27" ht="18" hidden="1">
      <c r="A307" s="291" t="s">
        <v>8</v>
      </c>
      <c r="B307" s="303">
        <v>655.4</v>
      </c>
      <c r="C307" s="303">
        <v>0</v>
      </c>
      <c r="D307" s="303">
        <v>100</v>
      </c>
      <c r="E307" s="303">
        <v>0</v>
      </c>
      <c r="F307" s="303">
        <v>0</v>
      </c>
      <c r="G307" s="303">
        <v>0</v>
      </c>
      <c r="H307" s="303">
        <v>0</v>
      </c>
      <c r="I307" s="303">
        <v>9776.4</v>
      </c>
      <c r="J307" s="303">
        <v>10531.9</v>
      </c>
      <c r="K307" s="303">
        <v>8090.7</v>
      </c>
      <c r="L307" s="303">
        <v>8679.2000000000007</v>
      </c>
      <c r="M307" s="303">
        <f t="shared" ref="M307:M318" si="22">(SUM(J307:L307))</f>
        <v>27301.8</v>
      </c>
      <c r="N307" s="290"/>
      <c r="O307" s="284"/>
      <c r="P307" s="284"/>
      <c r="Q307" s="284"/>
      <c r="R307" s="284"/>
      <c r="S307" s="284"/>
      <c r="T307" s="284"/>
      <c r="U307" s="284"/>
      <c r="V307" s="284"/>
      <c r="W307" s="284"/>
      <c r="X307" s="284"/>
      <c r="Y307" s="284"/>
      <c r="Z307" s="284"/>
      <c r="AA307" s="284"/>
    </row>
    <row r="308" spans="1:27" ht="18" hidden="1">
      <c r="A308" s="291" t="s">
        <v>9</v>
      </c>
      <c r="B308" s="303">
        <v>605.79999999999995</v>
      </c>
      <c r="C308" s="303">
        <v>0</v>
      </c>
      <c r="D308" s="303">
        <v>0</v>
      </c>
      <c r="E308" s="303">
        <v>0</v>
      </c>
      <c r="F308" s="303">
        <v>0</v>
      </c>
      <c r="G308" s="303">
        <v>0</v>
      </c>
      <c r="H308" s="303">
        <v>0</v>
      </c>
      <c r="I308" s="303">
        <v>14602.95</v>
      </c>
      <c r="J308" s="303">
        <v>15208.78</v>
      </c>
      <c r="K308" s="303">
        <v>9539.15</v>
      </c>
      <c r="L308" s="303">
        <v>13046.1</v>
      </c>
      <c r="M308" s="303">
        <f t="shared" si="22"/>
        <v>37794.03</v>
      </c>
      <c r="N308" s="290"/>
      <c r="O308" s="284"/>
      <c r="P308" s="284"/>
      <c r="Q308" s="284"/>
      <c r="R308" s="284"/>
      <c r="S308" s="284"/>
      <c r="T308" s="284"/>
      <c r="U308" s="284"/>
      <c r="V308" s="284"/>
      <c r="W308" s="284"/>
      <c r="X308" s="284"/>
      <c r="Y308" s="284"/>
      <c r="Z308" s="284"/>
      <c r="AA308" s="284"/>
    </row>
    <row r="309" spans="1:27" ht="18" hidden="1">
      <c r="A309" s="291" t="s">
        <v>10</v>
      </c>
      <c r="B309" s="303">
        <v>455.1</v>
      </c>
      <c r="C309" s="303">
        <v>0</v>
      </c>
      <c r="D309" s="303">
        <v>623.298</v>
      </c>
      <c r="E309" s="303">
        <v>0</v>
      </c>
      <c r="F309" s="303">
        <v>0</v>
      </c>
      <c r="G309" s="303">
        <v>0</v>
      </c>
      <c r="H309" s="303">
        <v>0</v>
      </c>
      <c r="I309" s="303">
        <v>25022.67</v>
      </c>
      <c r="J309" s="303">
        <v>26101.07</v>
      </c>
      <c r="K309" s="303">
        <v>18833.2</v>
      </c>
      <c r="L309" s="303">
        <v>10517.77</v>
      </c>
      <c r="M309" s="303">
        <f t="shared" si="22"/>
        <v>55452.040000000008</v>
      </c>
      <c r="N309" s="290"/>
      <c r="O309" s="284"/>
      <c r="P309" s="284"/>
      <c r="Q309" s="284"/>
      <c r="R309" s="284"/>
      <c r="S309" s="284"/>
      <c r="T309" s="284"/>
      <c r="U309" s="284"/>
      <c r="V309" s="284"/>
      <c r="W309" s="284"/>
      <c r="X309" s="284"/>
      <c r="Y309" s="284"/>
      <c r="Z309" s="284"/>
      <c r="AA309" s="284"/>
    </row>
    <row r="310" spans="1:27" ht="18" hidden="1">
      <c r="A310" s="291" t="s">
        <v>11</v>
      </c>
      <c r="B310" s="303">
        <v>214.88</v>
      </c>
      <c r="C310" s="303">
        <v>0</v>
      </c>
      <c r="D310" s="303">
        <v>160.899</v>
      </c>
      <c r="E310" s="303">
        <v>0</v>
      </c>
      <c r="F310" s="303">
        <v>0</v>
      </c>
      <c r="G310" s="303">
        <v>0</v>
      </c>
      <c r="H310" s="303">
        <v>0</v>
      </c>
      <c r="I310" s="303">
        <v>9806.8760000000002</v>
      </c>
      <c r="J310" s="303">
        <v>10182.656000000001</v>
      </c>
      <c r="K310" s="303">
        <v>12594.475</v>
      </c>
      <c r="L310" s="303">
        <v>8256.14</v>
      </c>
      <c r="M310" s="303">
        <f t="shared" si="22"/>
        <v>31033.271000000001</v>
      </c>
      <c r="N310" s="290"/>
      <c r="O310" s="284"/>
      <c r="P310" s="284"/>
      <c r="Q310" s="284"/>
      <c r="R310" s="284"/>
      <c r="S310" s="284"/>
      <c r="T310" s="284"/>
      <c r="U310" s="284"/>
      <c r="V310" s="284"/>
      <c r="W310" s="284"/>
      <c r="X310" s="284"/>
      <c r="Y310" s="284"/>
      <c r="Z310" s="284"/>
      <c r="AA310" s="284"/>
    </row>
    <row r="311" spans="1:27" ht="18" hidden="1">
      <c r="A311" s="291" t="s">
        <v>337</v>
      </c>
      <c r="B311" s="303">
        <v>1565.1</v>
      </c>
      <c r="C311" s="303">
        <v>0</v>
      </c>
      <c r="D311" s="303">
        <v>0</v>
      </c>
      <c r="E311" s="303">
        <v>0</v>
      </c>
      <c r="F311" s="303">
        <v>0</v>
      </c>
      <c r="G311" s="303">
        <v>0</v>
      </c>
      <c r="H311" s="303">
        <v>0</v>
      </c>
      <c r="I311" s="303">
        <v>65211.15</v>
      </c>
      <c r="J311" s="303">
        <v>66776.293000000005</v>
      </c>
      <c r="K311" s="303">
        <v>36040.281999999999</v>
      </c>
      <c r="L311" s="303">
        <v>35290.400000000001</v>
      </c>
      <c r="M311" s="303">
        <f t="shared" si="22"/>
        <v>138106.97500000001</v>
      </c>
      <c r="N311" s="290"/>
      <c r="O311" s="284"/>
      <c r="P311" s="284"/>
      <c r="Q311" s="284"/>
      <c r="R311" s="284"/>
      <c r="S311" s="284"/>
      <c r="T311" s="284"/>
      <c r="U311" s="284"/>
      <c r="V311" s="284"/>
      <c r="W311" s="284"/>
      <c r="X311" s="284"/>
      <c r="Y311" s="284"/>
      <c r="Z311" s="284"/>
      <c r="AA311" s="284"/>
    </row>
    <row r="312" spans="1:27" ht="18" hidden="1">
      <c r="A312" s="291" t="s">
        <v>346</v>
      </c>
      <c r="B312" s="303">
        <v>1610.2</v>
      </c>
      <c r="C312" s="303">
        <v>0</v>
      </c>
      <c r="D312" s="303">
        <v>885.37800000000004</v>
      </c>
      <c r="E312" s="303">
        <v>0</v>
      </c>
      <c r="F312" s="303">
        <v>1500</v>
      </c>
      <c r="G312" s="303">
        <v>0</v>
      </c>
      <c r="H312" s="303">
        <v>0</v>
      </c>
      <c r="I312" s="303">
        <v>224730.226</v>
      </c>
      <c r="J312" s="303">
        <v>228725.8</v>
      </c>
      <c r="K312" s="303">
        <v>112771.185</v>
      </c>
      <c r="L312" s="303">
        <v>60171.023999999998</v>
      </c>
      <c r="M312" s="303">
        <f t="shared" si="22"/>
        <v>401668.00899999996</v>
      </c>
      <c r="N312" s="290"/>
      <c r="O312" s="284"/>
      <c r="P312" s="284"/>
      <c r="Q312" s="284"/>
      <c r="R312" s="284"/>
      <c r="S312" s="284"/>
      <c r="T312" s="284"/>
      <c r="U312" s="284"/>
      <c r="V312" s="284"/>
      <c r="W312" s="284"/>
      <c r="X312" s="284"/>
      <c r="Y312" s="284"/>
      <c r="Z312" s="284"/>
      <c r="AA312" s="284"/>
    </row>
    <row r="313" spans="1:27" ht="18" hidden="1">
      <c r="A313" s="291" t="s">
        <v>347</v>
      </c>
      <c r="B313" s="303">
        <v>1840.3</v>
      </c>
      <c r="C313" s="303">
        <v>0</v>
      </c>
      <c r="D313" s="303">
        <v>1432.2</v>
      </c>
      <c r="E313" s="303">
        <v>0</v>
      </c>
      <c r="F313" s="303">
        <v>0</v>
      </c>
      <c r="G313" s="303">
        <v>1765</v>
      </c>
      <c r="H313" s="303">
        <v>0</v>
      </c>
      <c r="I313" s="303">
        <v>447358.8</v>
      </c>
      <c r="J313" s="303">
        <v>452396.4</v>
      </c>
      <c r="K313" s="303">
        <v>107808.7</v>
      </c>
      <c r="L313" s="303">
        <v>102090.3</v>
      </c>
      <c r="M313" s="303">
        <f t="shared" si="22"/>
        <v>662295.4</v>
      </c>
      <c r="N313" s="290"/>
      <c r="O313" s="284"/>
      <c r="P313" s="284"/>
      <c r="Q313" s="284"/>
      <c r="R313" s="284"/>
      <c r="S313" s="284"/>
      <c r="T313" s="284"/>
      <c r="U313" s="284"/>
      <c r="V313" s="284"/>
      <c r="W313" s="284"/>
      <c r="X313" s="284"/>
      <c r="Y313" s="284"/>
      <c r="Z313" s="284"/>
      <c r="AA313" s="284"/>
    </row>
    <row r="314" spans="1:27" ht="18" hidden="1">
      <c r="A314" s="291" t="s">
        <v>12</v>
      </c>
      <c r="B314" s="303">
        <v>0</v>
      </c>
      <c r="C314" s="303">
        <v>1432.2396000000001</v>
      </c>
      <c r="D314" s="303">
        <v>6000</v>
      </c>
      <c r="E314" s="303">
        <v>0</v>
      </c>
      <c r="F314" s="303">
        <v>1765</v>
      </c>
      <c r="G314" s="303">
        <v>5000</v>
      </c>
      <c r="H314" s="303">
        <v>0</v>
      </c>
      <c r="I314" s="303">
        <v>535915.10609999998</v>
      </c>
      <c r="J314" s="303">
        <v>550112.34569999995</v>
      </c>
      <c r="K314" s="303">
        <v>137436.40580000001</v>
      </c>
      <c r="L314" s="303">
        <v>174163.15410000001</v>
      </c>
      <c r="M314" s="303">
        <f t="shared" si="22"/>
        <v>861711.90560000006</v>
      </c>
      <c r="N314" s="290"/>
      <c r="O314" s="284"/>
      <c r="P314" s="284"/>
      <c r="Q314" s="284"/>
      <c r="R314" s="284"/>
      <c r="S314" s="284"/>
      <c r="T314" s="284"/>
      <c r="U314" s="284"/>
      <c r="V314" s="284"/>
      <c r="W314" s="284"/>
      <c r="X314" s="284"/>
      <c r="Y314" s="284"/>
      <c r="Z314" s="284"/>
      <c r="AA314" s="284"/>
    </row>
    <row r="315" spans="1:27" ht="18" hidden="1">
      <c r="A315" s="291" t="s">
        <v>13</v>
      </c>
      <c r="B315" s="303">
        <v>1432.2396000000001</v>
      </c>
      <c r="C315" s="303">
        <v>0</v>
      </c>
      <c r="D315" s="303">
        <v>40000</v>
      </c>
      <c r="E315" s="303">
        <v>0</v>
      </c>
      <c r="F315" s="303">
        <v>0</v>
      </c>
      <c r="G315" s="303">
        <v>0</v>
      </c>
      <c r="H315" s="303">
        <v>0</v>
      </c>
      <c r="I315" s="303">
        <v>943653.03890000004</v>
      </c>
      <c r="J315" s="303">
        <v>985085.27859999996</v>
      </c>
      <c r="K315" s="303">
        <v>358059.30239999999</v>
      </c>
      <c r="L315" s="303">
        <v>485173.74489999999</v>
      </c>
      <c r="M315" s="303">
        <f t="shared" si="22"/>
        <v>1828318.3259000001</v>
      </c>
      <c r="N315" s="290"/>
      <c r="O315" s="284"/>
      <c r="P315" s="284"/>
      <c r="Q315" s="284"/>
      <c r="R315" s="284"/>
      <c r="S315" s="284"/>
      <c r="T315" s="284"/>
      <c r="U315" s="284"/>
      <c r="V315" s="284"/>
      <c r="W315" s="284"/>
      <c r="X315" s="284"/>
      <c r="Y315" s="284"/>
      <c r="Z315" s="284"/>
      <c r="AA315" s="284"/>
    </row>
    <row r="316" spans="1:27" ht="18" hidden="1">
      <c r="A316" s="291" t="s">
        <v>14</v>
      </c>
      <c r="B316" s="303">
        <v>0</v>
      </c>
      <c r="C316" s="303">
        <v>1765</v>
      </c>
      <c r="D316" s="303">
        <v>30000</v>
      </c>
      <c r="E316" s="303">
        <v>0</v>
      </c>
      <c r="F316" s="303">
        <v>111444.86</v>
      </c>
      <c r="G316" s="303">
        <v>0</v>
      </c>
      <c r="H316" s="303">
        <v>0</v>
      </c>
      <c r="I316" s="303">
        <v>1471987.5</v>
      </c>
      <c r="J316" s="303">
        <v>1615197.4</v>
      </c>
      <c r="K316" s="303">
        <v>800850.2</v>
      </c>
      <c r="L316" s="303">
        <v>785070.1</v>
      </c>
      <c r="M316" s="303">
        <f t="shared" si="22"/>
        <v>3201117.6999999997</v>
      </c>
      <c r="N316" s="290"/>
      <c r="O316" s="284"/>
      <c r="P316" s="284"/>
      <c r="Q316" s="284"/>
      <c r="R316" s="284"/>
      <c r="S316" s="284"/>
      <c r="T316" s="284"/>
      <c r="U316" s="284"/>
      <c r="V316" s="284"/>
      <c r="W316" s="284"/>
      <c r="X316" s="284"/>
      <c r="Y316" s="284"/>
      <c r="Z316" s="284"/>
      <c r="AA316" s="284"/>
    </row>
    <row r="317" spans="1:27" ht="18" hidden="1">
      <c r="A317" s="291" t="s">
        <v>15</v>
      </c>
      <c r="B317" s="303">
        <v>1765</v>
      </c>
      <c r="C317" s="303">
        <v>0</v>
      </c>
      <c r="D317" s="303">
        <v>300000</v>
      </c>
      <c r="E317" s="303">
        <v>0</v>
      </c>
      <c r="F317" s="303">
        <v>0</v>
      </c>
      <c r="G317" s="303">
        <v>0</v>
      </c>
      <c r="H317" s="303">
        <v>0</v>
      </c>
      <c r="I317" s="303">
        <v>2472796.6</v>
      </c>
      <c r="J317" s="303">
        <v>2504561.6</v>
      </c>
      <c r="K317" s="303">
        <v>1957513.8</v>
      </c>
      <c r="L317" s="303">
        <v>977118.4</v>
      </c>
      <c r="M317" s="303">
        <f t="shared" si="22"/>
        <v>5439193.8000000007</v>
      </c>
      <c r="N317" s="290"/>
      <c r="O317" s="284"/>
      <c r="P317" s="284"/>
      <c r="Q317" s="284"/>
      <c r="R317" s="284"/>
      <c r="S317" s="284"/>
      <c r="T317" s="284"/>
      <c r="U317" s="284"/>
      <c r="V317" s="284"/>
      <c r="W317" s="284"/>
      <c r="X317" s="284"/>
      <c r="Y317" s="284"/>
      <c r="Z317" s="284"/>
      <c r="AA317" s="284"/>
    </row>
    <row r="318" spans="1:27" ht="18" hidden="1">
      <c r="A318" s="291" t="s">
        <v>16</v>
      </c>
      <c r="B318" s="303">
        <v>0</v>
      </c>
      <c r="C318" s="303">
        <v>0</v>
      </c>
      <c r="D318" s="303">
        <v>0</v>
      </c>
      <c r="E318" s="303">
        <v>0</v>
      </c>
      <c r="F318" s="303">
        <v>379744.38</v>
      </c>
      <c r="G318" s="303">
        <v>0</v>
      </c>
      <c r="H318" s="303">
        <v>0</v>
      </c>
      <c r="I318" s="303">
        <v>3988642.45</v>
      </c>
      <c r="J318" s="303">
        <v>4368386.8</v>
      </c>
      <c r="K318" s="303">
        <v>2798587.65</v>
      </c>
      <c r="L318" s="303">
        <v>1005260.28</v>
      </c>
      <c r="M318" s="303">
        <f t="shared" si="22"/>
        <v>8172234.7299999995</v>
      </c>
      <c r="N318" s="290"/>
      <c r="O318" s="305"/>
      <c r="P318" s="284"/>
      <c r="Q318" s="284"/>
      <c r="R318" s="284"/>
      <c r="S318" s="284"/>
      <c r="T318" s="284"/>
      <c r="U318" s="284"/>
      <c r="V318" s="284"/>
      <c r="W318" s="284"/>
      <c r="X318" s="284"/>
      <c r="Y318" s="284"/>
      <c r="Z318" s="284"/>
      <c r="AA318" s="284"/>
    </row>
    <row r="319" spans="1:27" ht="18" hidden="1">
      <c r="A319" s="291"/>
      <c r="B319" s="303"/>
      <c r="C319" s="303"/>
      <c r="D319" s="303"/>
      <c r="E319" s="303"/>
      <c r="F319" s="303"/>
      <c r="G319" s="303"/>
      <c r="H319" s="303"/>
      <c r="I319" s="303"/>
      <c r="J319" s="303"/>
      <c r="K319" s="303"/>
      <c r="L319" s="303"/>
      <c r="M319" s="303"/>
      <c r="N319" s="290"/>
      <c r="O319" s="305"/>
      <c r="P319" s="284"/>
      <c r="Q319" s="284"/>
      <c r="R319" s="284"/>
      <c r="S319" s="284"/>
      <c r="T319" s="284"/>
      <c r="U319" s="284"/>
      <c r="V319" s="284"/>
      <c r="W319" s="284"/>
      <c r="X319" s="284"/>
      <c r="Y319" s="284"/>
      <c r="Z319" s="284"/>
      <c r="AA319" s="284"/>
    </row>
    <row r="320" spans="1:27" ht="18" hidden="1">
      <c r="A320" s="304">
        <v>2009</v>
      </c>
      <c r="B320" s="303"/>
      <c r="C320" s="303"/>
      <c r="D320" s="303"/>
      <c r="E320" s="303"/>
      <c r="F320" s="303"/>
      <c r="G320" s="303"/>
      <c r="H320" s="303"/>
      <c r="I320" s="303"/>
      <c r="J320" s="303"/>
      <c r="K320" s="303"/>
      <c r="L320" s="303"/>
      <c r="M320" s="303"/>
      <c r="N320" s="290"/>
      <c r="O320" s="305"/>
      <c r="P320" s="284"/>
      <c r="Q320" s="284"/>
      <c r="R320" s="284"/>
      <c r="S320" s="284"/>
      <c r="T320" s="284"/>
      <c r="U320" s="284"/>
      <c r="V320" s="284"/>
      <c r="W320" s="284"/>
      <c r="X320" s="284"/>
      <c r="Y320" s="284"/>
      <c r="Z320" s="284"/>
      <c r="AA320" s="284"/>
    </row>
    <row r="321" spans="1:27" ht="18" hidden="1">
      <c r="A321" s="291"/>
      <c r="B321" s="303"/>
      <c r="C321" s="303"/>
      <c r="D321" s="303"/>
      <c r="E321" s="303"/>
      <c r="F321" s="303"/>
      <c r="G321" s="303"/>
      <c r="H321" s="303"/>
      <c r="I321" s="303"/>
      <c r="J321" s="303"/>
      <c r="K321" s="303"/>
      <c r="L321" s="303"/>
      <c r="M321" s="303"/>
      <c r="N321" s="290"/>
      <c r="O321" s="305"/>
      <c r="P321" s="284"/>
      <c r="Q321" s="284"/>
      <c r="R321" s="284"/>
      <c r="S321" s="284"/>
      <c r="T321" s="284"/>
      <c r="U321" s="284"/>
      <c r="V321" s="284"/>
      <c r="W321" s="284"/>
      <c r="X321" s="284"/>
      <c r="Y321" s="284"/>
      <c r="Z321" s="284"/>
      <c r="AA321" s="284"/>
    </row>
    <row r="322" spans="1:27" ht="18" hidden="1">
      <c r="A322" s="291" t="s">
        <v>8</v>
      </c>
      <c r="B322" s="303">
        <v>2.4458420000000001E-5</v>
      </c>
      <c r="C322" s="303">
        <v>6.1054269999999997E-6</v>
      </c>
      <c r="D322" s="303">
        <v>3.3590040000000005E-5</v>
      </c>
      <c r="E322" s="303">
        <v>0</v>
      </c>
      <c r="F322" s="303">
        <v>5.4E-6</v>
      </c>
      <c r="G322" s="303">
        <v>0</v>
      </c>
      <c r="H322" s="303">
        <v>0</v>
      </c>
      <c r="I322" s="303">
        <v>7.9958425999999993E-4</v>
      </c>
      <c r="J322" s="303">
        <v>8.6913815000000004E-4</v>
      </c>
      <c r="K322" s="303">
        <v>8.4855999999999998</v>
      </c>
      <c r="L322" s="303">
        <v>0.97209999999999996</v>
      </c>
      <c r="M322" s="303">
        <f t="shared" ref="M322:M333" si="23">((SUM(J322:L322)))</f>
        <v>9.4585691381499988</v>
      </c>
      <c r="N322" s="290"/>
      <c r="O322" s="305"/>
      <c r="P322" s="284"/>
      <c r="Q322" s="284"/>
      <c r="R322" s="284"/>
      <c r="S322" s="284"/>
      <c r="T322" s="284"/>
      <c r="U322" s="284"/>
      <c r="V322" s="284"/>
      <c r="W322" s="284"/>
      <c r="X322" s="284"/>
      <c r="Y322" s="284"/>
      <c r="Z322" s="284"/>
      <c r="AA322" s="284"/>
    </row>
    <row r="323" spans="1:27" ht="18" hidden="1">
      <c r="A323" s="291" t="s">
        <v>9</v>
      </c>
      <c r="B323" s="303">
        <v>2.4458420000000001E-5</v>
      </c>
      <c r="C323" s="303">
        <v>6.1054269999999997E-6</v>
      </c>
      <c r="D323" s="303">
        <v>7.8272632800000011E-6</v>
      </c>
      <c r="E323" s="303">
        <v>0</v>
      </c>
      <c r="F323" s="303">
        <v>1.1049999999999999E-5</v>
      </c>
      <c r="G323" s="303">
        <v>0</v>
      </c>
      <c r="H323" s="303">
        <v>0</v>
      </c>
      <c r="I323" s="303">
        <v>1.0538009101700001E-3</v>
      </c>
      <c r="J323" s="303">
        <v>8.6913815000000004E-4</v>
      </c>
      <c r="K323" s="303">
        <v>9.0642999999999994</v>
      </c>
      <c r="L323" s="303">
        <v>0.42199999999999999</v>
      </c>
      <c r="M323" s="303">
        <f t="shared" si="23"/>
        <v>9.4871691381499996</v>
      </c>
      <c r="N323" s="290"/>
      <c r="O323" s="305"/>
      <c r="P323" s="284"/>
      <c r="Q323" s="284"/>
      <c r="R323" s="284"/>
      <c r="S323" s="284"/>
      <c r="T323" s="284"/>
      <c r="U323" s="284"/>
      <c r="V323" s="284"/>
      <c r="W323" s="284"/>
      <c r="X323" s="284"/>
      <c r="Y323" s="284"/>
      <c r="Z323" s="284"/>
      <c r="AA323" s="284"/>
    </row>
    <row r="324" spans="1:27" ht="18" hidden="1">
      <c r="A324" s="291" t="s">
        <v>10</v>
      </c>
      <c r="B324" s="303">
        <v>2.4458420000000001E-5</v>
      </c>
      <c r="C324" s="303">
        <v>6.1054269999999997E-6</v>
      </c>
      <c r="D324" s="303">
        <v>2.5000000000000001E-3</v>
      </c>
      <c r="E324" s="303">
        <v>0</v>
      </c>
      <c r="F324" s="303">
        <v>3.0020000000000002E-2</v>
      </c>
      <c r="G324" s="303">
        <v>0</v>
      </c>
      <c r="H324" s="303">
        <v>0</v>
      </c>
      <c r="I324" s="303">
        <v>1.0538009101700001E-3</v>
      </c>
      <c r="J324" s="303">
        <v>8.6913815000000004E-4</v>
      </c>
      <c r="K324" s="303">
        <v>9.2052999999999994</v>
      </c>
      <c r="L324" s="303">
        <v>0.46650000000000003</v>
      </c>
      <c r="M324" s="303">
        <f t="shared" si="23"/>
        <v>9.672669138149999</v>
      </c>
      <c r="N324" s="290"/>
      <c r="O324" s="305"/>
      <c r="P324" s="284"/>
      <c r="Q324" s="284"/>
      <c r="R324" s="284"/>
      <c r="S324" s="284"/>
      <c r="T324" s="284"/>
      <c r="U324" s="284"/>
      <c r="V324" s="284"/>
      <c r="W324" s="284"/>
      <c r="X324" s="284"/>
      <c r="Y324" s="284"/>
      <c r="Z324" s="284"/>
      <c r="AA324" s="284"/>
    </row>
    <row r="325" spans="1:27" ht="18" hidden="1">
      <c r="A325" s="291" t="s">
        <v>11</v>
      </c>
      <c r="B325" s="303">
        <v>2.4458420000000001E-5</v>
      </c>
      <c r="C325" s="303">
        <v>0</v>
      </c>
      <c r="D325" s="303">
        <v>0</v>
      </c>
      <c r="E325" s="303">
        <v>0</v>
      </c>
      <c r="F325" s="303">
        <v>1.4515800000000001E-2</v>
      </c>
      <c r="G325" s="303">
        <v>0</v>
      </c>
      <c r="H325" s="303">
        <v>0</v>
      </c>
      <c r="I325" s="303">
        <v>1.0538009101700001E-3</v>
      </c>
      <c r="J325" s="303">
        <v>8.6913815000000004E-4</v>
      </c>
      <c r="K325" s="303">
        <v>9.1245999999999992</v>
      </c>
      <c r="L325" s="303">
        <v>0.55830000000000002</v>
      </c>
      <c r="M325" s="303">
        <f t="shared" si="23"/>
        <v>9.683769138149998</v>
      </c>
      <c r="N325" s="290"/>
      <c r="O325" s="305"/>
      <c r="P325" s="284"/>
      <c r="Q325" s="284"/>
      <c r="R325" s="284"/>
      <c r="S325" s="284"/>
      <c r="T325" s="284"/>
      <c r="U325" s="284"/>
      <c r="V325" s="284"/>
      <c r="W325" s="284"/>
      <c r="X325" s="284"/>
      <c r="Y325" s="284"/>
      <c r="Z325" s="284"/>
      <c r="AA325" s="284"/>
    </row>
    <row r="326" spans="1:27" ht="18" hidden="1">
      <c r="A326" s="291" t="s">
        <v>337</v>
      </c>
      <c r="B326" s="303">
        <v>2.4458420000000001E-5</v>
      </c>
      <c r="C326" s="303">
        <v>0</v>
      </c>
      <c r="D326" s="303">
        <v>0</v>
      </c>
      <c r="E326" s="303">
        <v>0</v>
      </c>
      <c r="F326" s="303">
        <v>0</v>
      </c>
      <c r="G326" s="303">
        <v>0</v>
      </c>
      <c r="H326" s="303">
        <v>0</v>
      </c>
      <c r="I326" s="303">
        <v>1.0538009101700001E-3</v>
      </c>
      <c r="J326" s="303">
        <v>8.6913815000000004E-4</v>
      </c>
      <c r="K326" s="303">
        <v>9.2736000000000001</v>
      </c>
      <c r="L326" s="303">
        <v>0.43080000000000002</v>
      </c>
      <c r="M326" s="303">
        <f t="shared" si="23"/>
        <v>9.7052691381499994</v>
      </c>
      <c r="N326" s="290"/>
      <c r="O326" s="305"/>
      <c r="P326" s="284"/>
      <c r="Q326" s="284"/>
      <c r="R326" s="284"/>
      <c r="S326" s="284"/>
      <c r="T326" s="284"/>
      <c r="U326" s="284"/>
      <c r="V326" s="284"/>
      <c r="W326" s="284"/>
      <c r="X326" s="284"/>
      <c r="Y326" s="284"/>
      <c r="Z326" s="284"/>
      <c r="AA326" s="284"/>
    </row>
    <row r="327" spans="1:27" ht="18" hidden="1">
      <c r="A327" s="291" t="s">
        <v>346</v>
      </c>
      <c r="B327" s="303">
        <v>2.4458420000000001E-5</v>
      </c>
      <c r="C327" s="303">
        <v>0</v>
      </c>
      <c r="D327" s="303">
        <v>0</v>
      </c>
      <c r="E327" s="303">
        <v>0</v>
      </c>
      <c r="F327" s="303">
        <v>0</v>
      </c>
      <c r="G327" s="303">
        <v>0</v>
      </c>
      <c r="H327" s="303">
        <v>0</v>
      </c>
      <c r="I327" s="303">
        <v>1.0538009101700001E-3</v>
      </c>
      <c r="J327" s="303">
        <v>8.6913815000000004E-4</v>
      </c>
      <c r="K327" s="303">
        <v>8.4550999999999998</v>
      </c>
      <c r="L327" s="303">
        <v>0.1729</v>
      </c>
      <c r="M327" s="303">
        <f t="shared" si="23"/>
        <v>8.6288691381499998</v>
      </c>
      <c r="N327" s="290"/>
      <c r="O327" s="305"/>
      <c r="P327" s="284"/>
      <c r="Q327" s="284"/>
      <c r="R327" s="284"/>
      <c r="S327" s="284"/>
      <c r="T327" s="284"/>
      <c r="U327" s="284"/>
      <c r="V327" s="284"/>
      <c r="W327" s="284"/>
      <c r="X327" s="284"/>
      <c r="Y327" s="284"/>
      <c r="Z327" s="284"/>
      <c r="AA327" s="284"/>
    </row>
    <row r="328" spans="1:27" ht="18" hidden="1">
      <c r="A328" s="291" t="s">
        <v>347</v>
      </c>
      <c r="B328" s="303">
        <v>0</v>
      </c>
      <c r="C328" s="303">
        <v>0</v>
      </c>
      <c r="D328" s="303">
        <v>0</v>
      </c>
      <c r="E328" s="303">
        <v>0</v>
      </c>
      <c r="F328" s="303">
        <v>0</v>
      </c>
      <c r="G328" s="303">
        <v>0</v>
      </c>
      <c r="H328" s="303">
        <v>0</v>
      </c>
      <c r="I328" s="303">
        <v>0</v>
      </c>
      <c r="J328" s="303">
        <v>0</v>
      </c>
      <c r="K328" s="303">
        <v>8.5221999999999998</v>
      </c>
      <c r="L328" s="303">
        <v>0.1893</v>
      </c>
      <c r="M328" s="303">
        <f t="shared" si="23"/>
        <v>8.7114999999999991</v>
      </c>
      <c r="N328" s="290"/>
      <c r="O328" s="305"/>
      <c r="P328" s="284"/>
      <c r="Q328" s="284"/>
      <c r="R328" s="284"/>
      <c r="S328" s="284"/>
      <c r="T328" s="284"/>
      <c r="U328" s="284"/>
      <c r="V328" s="284"/>
      <c r="W328" s="284"/>
      <c r="X328" s="284"/>
      <c r="Y328" s="284"/>
      <c r="Z328" s="284"/>
      <c r="AA328" s="284"/>
    </row>
    <row r="329" spans="1:27" ht="18" hidden="1">
      <c r="A329" s="291" t="s">
        <v>12</v>
      </c>
      <c r="B329" s="303">
        <v>0</v>
      </c>
      <c r="C329" s="303">
        <v>0</v>
      </c>
      <c r="D329" s="303">
        <v>0</v>
      </c>
      <c r="E329" s="303">
        <v>0</v>
      </c>
      <c r="F329" s="303">
        <v>0</v>
      </c>
      <c r="G329" s="303">
        <v>0</v>
      </c>
      <c r="H329" s="303">
        <v>0</v>
      </c>
      <c r="I329" s="303">
        <v>0</v>
      </c>
      <c r="J329" s="303">
        <v>0</v>
      </c>
      <c r="K329" s="303">
        <v>8.2125000000000004</v>
      </c>
      <c r="L329" s="303">
        <v>0.4763</v>
      </c>
      <c r="M329" s="303">
        <f t="shared" si="23"/>
        <v>8.6888000000000005</v>
      </c>
      <c r="N329" s="290"/>
      <c r="O329" s="305"/>
      <c r="P329" s="284"/>
      <c r="Q329" s="284"/>
      <c r="R329" s="284"/>
      <c r="S329" s="284"/>
      <c r="T329" s="284"/>
      <c r="U329" s="284"/>
      <c r="V329" s="284"/>
      <c r="W329" s="284"/>
      <c r="X329" s="284"/>
      <c r="Y329" s="284"/>
      <c r="Z329" s="284"/>
      <c r="AA329" s="284"/>
    </row>
    <row r="330" spans="1:27" ht="18" hidden="1">
      <c r="A330" s="291" t="s">
        <v>13</v>
      </c>
      <c r="B330" s="303">
        <v>0</v>
      </c>
      <c r="C330" s="303">
        <v>0</v>
      </c>
      <c r="D330" s="303">
        <v>0</v>
      </c>
      <c r="E330" s="303">
        <v>0</v>
      </c>
      <c r="F330" s="303">
        <v>0</v>
      </c>
      <c r="G330" s="303">
        <v>0</v>
      </c>
      <c r="H330" s="303">
        <v>0</v>
      </c>
      <c r="I330" s="303">
        <v>0</v>
      </c>
      <c r="J330" s="303">
        <v>0</v>
      </c>
      <c r="K330" s="303">
        <v>8.2047000000000008</v>
      </c>
      <c r="L330" s="303">
        <v>0.51019999999999999</v>
      </c>
      <c r="M330" s="303">
        <f t="shared" si="23"/>
        <v>8.7149000000000001</v>
      </c>
      <c r="N330" s="290"/>
      <c r="O330" s="305"/>
      <c r="P330" s="284"/>
      <c r="Q330" s="284"/>
      <c r="R330" s="284"/>
      <c r="S330" s="284"/>
      <c r="T330" s="284"/>
      <c r="U330" s="284"/>
      <c r="V330" s="284"/>
      <c r="W330" s="284"/>
      <c r="X330" s="284"/>
      <c r="Y330" s="284"/>
      <c r="Z330" s="284"/>
      <c r="AA330" s="284"/>
    </row>
    <row r="331" spans="1:27" ht="18" hidden="1">
      <c r="A331" s="291" t="s">
        <v>14</v>
      </c>
      <c r="B331" s="303">
        <v>0</v>
      </c>
      <c r="C331" s="303">
        <v>0</v>
      </c>
      <c r="D331" s="303">
        <v>0</v>
      </c>
      <c r="E331" s="303">
        <v>0</v>
      </c>
      <c r="F331" s="303">
        <v>0</v>
      </c>
      <c r="G331" s="303">
        <v>0</v>
      </c>
      <c r="H331" s="303">
        <v>0</v>
      </c>
      <c r="I331" s="303">
        <v>0</v>
      </c>
      <c r="J331" s="303">
        <v>0</v>
      </c>
      <c r="K331" s="303">
        <v>8.3127999999999993</v>
      </c>
      <c r="L331" s="303">
        <v>0.42870000000000003</v>
      </c>
      <c r="M331" s="303">
        <f t="shared" si="23"/>
        <v>8.7414999999999985</v>
      </c>
      <c r="N331" s="290"/>
      <c r="O331" s="305"/>
      <c r="P331" s="284"/>
      <c r="Q331" s="284"/>
      <c r="R331" s="284"/>
      <c r="S331" s="284"/>
      <c r="T331" s="284"/>
      <c r="U331" s="284"/>
      <c r="V331" s="284"/>
      <c r="W331" s="284"/>
      <c r="X331" s="284"/>
      <c r="Y331" s="284"/>
      <c r="Z331" s="284"/>
      <c r="AA331" s="284"/>
    </row>
    <row r="332" spans="1:27" ht="18" hidden="1">
      <c r="A332" s="291" t="s">
        <v>15</v>
      </c>
      <c r="B332" s="303">
        <v>0</v>
      </c>
      <c r="C332" s="303">
        <v>0</v>
      </c>
      <c r="D332" s="303">
        <v>0</v>
      </c>
      <c r="E332" s="303">
        <v>0</v>
      </c>
      <c r="F332" s="303">
        <v>0</v>
      </c>
      <c r="G332" s="303">
        <v>0</v>
      </c>
      <c r="H332" s="303">
        <v>0</v>
      </c>
      <c r="I332" s="303">
        <v>0</v>
      </c>
      <c r="J332" s="303">
        <v>0</v>
      </c>
      <c r="K332" s="303">
        <v>8.1686999999999994</v>
      </c>
      <c r="L332" s="303">
        <v>0.50839999999999996</v>
      </c>
      <c r="M332" s="303">
        <f t="shared" si="23"/>
        <v>8.6770999999999994</v>
      </c>
      <c r="N332" s="290"/>
      <c r="O332" s="305"/>
      <c r="P332" s="284"/>
      <c r="Q332" s="284"/>
      <c r="R332" s="284"/>
      <c r="S332" s="284"/>
      <c r="T332" s="284"/>
      <c r="U332" s="284"/>
      <c r="V332" s="284"/>
      <c r="W332" s="284"/>
      <c r="X332" s="284"/>
      <c r="Y332" s="284"/>
      <c r="Z332" s="284"/>
      <c r="AA332" s="284"/>
    </row>
    <row r="333" spans="1:27" ht="18" hidden="1">
      <c r="A333" s="291" t="s">
        <v>16</v>
      </c>
      <c r="B333" s="303">
        <v>0</v>
      </c>
      <c r="C333" s="303">
        <v>0</v>
      </c>
      <c r="D333" s="303">
        <v>0</v>
      </c>
      <c r="E333" s="303">
        <v>0</v>
      </c>
      <c r="F333" s="303">
        <v>0</v>
      </c>
      <c r="G333" s="303">
        <v>0</v>
      </c>
      <c r="H333" s="303">
        <v>0</v>
      </c>
      <c r="I333" s="303">
        <v>0</v>
      </c>
      <c r="J333" s="303">
        <v>0</v>
      </c>
      <c r="K333" s="303">
        <v>8.4811999999999994</v>
      </c>
      <c r="L333" s="303">
        <v>0.3795</v>
      </c>
      <c r="M333" s="303">
        <f t="shared" si="23"/>
        <v>8.8606999999999996</v>
      </c>
      <c r="N333" s="290"/>
      <c r="O333" s="305"/>
      <c r="P333" s="284"/>
      <c r="Q333" s="284"/>
      <c r="R333" s="284"/>
      <c r="S333" s="284"/>
      <c r="T333" s="284"/>
      <c r="U333" s="284"/>
      <c r="V333" s="284"/>
      <c r="W333" s="284"/>
      <c r="X333" s="284"/>
      <c r="Y333" s="284"/>
      <c r="Z333" s="284"/>
      <c r="AA333" s="284"/>
    </row>
    <row r="334" spans="1:27" ht="18" hidden="1">
      <c r="A334" s="291"/>
      <c r="B334" s="303"/>
      <c r="C334" s="303"/>
      <c r="D334" s="303"/>
      <c r="E334" s="303"/>
      <c r="F334" s="303"/>
      <c r="G334" s="303"/>
      <c r="H334" s="303"/>
      <c r="I334" s="303"/>
      <c r="J334" s="303"/>
      <c r="K334" s="303"/>
      <c r="L334" s="303"/>
      <c r="M334" s="303"/>
      <c r="N334" s="290"/>
      <c r="O334" s="305"/>
      <c r="P334" s="284"/>
      <c r="Q334" s="284"/>
      <c r="R334" s="284"/>
      <c r="S334" s="284"/>
      <c r="T334" s="284"/>
      <c r="U334" s="284"/>
      <c r="V334" s="284"/>
      <c r="W334" s="284"/>
      <c r="X334" s="284"/>
      <c r="Y334" s="284"/>
      <c r="Z334" s="284"/>
      <c r="AA334" s="284"/>
    </row>
    <row r="335" spans="1:27" ht="18">
      <c r="A335" s="304">
        <v>2010</v>
      </c>
      <c r="B335" s="303"/>
      <c r="C335" s="303"/>
      <c r="D335" s="303"/>
      <c r="E335" s="303"/>
      <c r="F335" s="303"/>
      <c r="G335" s="303"/>
      <c r="H335" s="303"/>
      <c r="I335" s="303"/>
      <c r="J335" s="303"/>
      <c r="K335" s="303"/>
      <c r="L335" s="303"/>
      <c r="M335" s="303"/>
      <c r="N335" s="290"/>
      <c r="O335" s="305"/>
      <c r="P335" s="284"/>
      <c r="Q335" s="284"/>
      <c r="R335" s="284"/>
      <c r="S335" s="284"/>
      <c r="T335" s="284"/>
      <c r="U335" s="284"/>
      <c r="V335" s="284"/>
      <c r="W335" s="284"/>
      <c r="X335" s="284"/>
      <c r="Y335" s="284"/>
      <c r="Z335" s="284"/>
      <c r="AA335" s="284"/>
    </row>
    <row r="336" spans="1:27" ht="18">
      <c r="A336" s="291"/>
      <c r="B336" s="303"/>
      <c r="C336" s="303"/>
      <c r="D336" s="303"/>
      <c r="E336" s="303"/>
      <c r="F336" s="303"/>
      <c r="G336" s="303"/>
      <c r="H336" s="303"/>
      <c r="I336" s="303"/>
      <c r="J336" s="303"/>
      <c r="K336" s="303"/>
      <c r="L336" s="303"/>
      <c r="M336" s="303"/>
      <c r="N336" s="290"/>
      <c r="O336" s="305"/>
      <c r="P336" s="284"/>
      <c r="Q336" s="284"/>
      <c r="R336" s="284"/>
      <c r="S336" s="284"/>
      <c r="T336" s="284"/>
      <c r="U336" s="284"/>
      <c r="V336" s="284"/>
      <c r="W336" s="284"/>
      <c r="X336" s="284"/>
      <c r="Y336" s="284"/>
      <c r="Z336" s="284"/>
      <c r="AA336" s="284"/>
    </row>
    <row r="337" spans="1:27" ht="18">
      <c r="A337" s="291" t="s">
        <v>8</v>
      </c>
      <c r="B337" s="303">
        <v>0</v>
      </c>
      <c r="C337" s="303">
        <v>0</v>
      </c>
      <c r="D337" s="303">
        <v>0</v>
      </c>
      <c r="E337" s="303">
        <v>0</v>
      </c>
      <c r="F337" s="303">
        <v>0</v>
      </c>
      <c r="G337" s="303">
        <v>0</v>
      </c>
      <c r="H337" s="303">
        <v>0</v>
      </c>
      <c r="I337" s="303">
        <v>0</v>
      </c>
      <c r="J337" s="303">
        <v>0</v>
      </c>
      <c r="K337" s="303">
        <v>8.6725169999999991</v>
      </c>
      <c r="L337" s="303">
        <v>0.223584000000001</v>
      </c>
      <c r="M337" s="303">
        <f t="shared" ref="M337:M348" si="24">((SUM(J337:L337)))</f>
        <v>8.8961009999999998</v>
      </c>
      <c r="N337" s="290"/>
      <c r="O337" s="305"/>
      <c r="P337" s="284"/>
      <c r="Q337" s="284"/>
      <c r="R337" s="284"/>
      <c r="S337" s="284"/>
      <c r="T337" s="284"/>
      <c r="U337" s="284"/>
      <c r="V337" s="284"/>
      <c r="W337" s="284"/>
      <c r="X337" s="284"/>
      <c r="Y337" s="284"/>
      <c r="Z337" s="284"/>
      <c r="AA337" s="284"/>
    </row>
    <row r="338" spans="1:27" ht="18">
      <c r="A338" s="291" t="s">
        <v>9</v>
      </c>
      <c r="B338" s="303">
        <v>0</v>
      </c>
      <c r="C338" s="303">
        <v>0</v>
      </c>
      <c r="D338" s="303">
        <v>0</v>
      </c>
      <c r="E338" s="303">
        <v>0</v>
      </c>
      <c r="F338" s="303">
        <v>0</v>
      </c>
      <c r="G338" s="303">
        <v>0</v>
      </c>
      <c r="H338" s="303">
        <v>0</v>
      </c>
      <c r="I338" s="303">
        <v>0</v>
      </c>
      <c r="J338" s="303">
        <v>0</v>
      </c>
      <c r="K338" s="303">
        <v>8.6182110000000005</v>
      </c>
      <c r="L338" s="303">
        <v>0.30617500000000097</v>
      </c>
      <c r="M338" s="303">
        <f t="shared" si="24"/>
        <v>8.9243860000000019</v>
      </c>
      <c r="N338" s="290"/>
      <c r="O338" s="305"/>
      <c r="P338" s="284"/>
      <c r="Q338" s="284"/>
      <c r="R338" s="284"/>
      <c r="S338" s="284"/>
      <c r="T338" s="284"/>
      <c r="U338" s="284"/>
      <c r="V338" s="284"/>
      <c r="W338" s="284"/>
      <c r="X338" s="284"/>
      <c r="Y338" s="284"/>
      <c r="Z338" s="284"/>
      <c r="AA338" s="284"/>
    </row>
    <row r="339" spans="1:27" ht="18">
      <c r="A339" s="291" t="s">
        <v>10</v>
      </c>
      <c r="B339" s="303">
        <v>0</v>
      </c>
      <c r="C339" s="303">
        <v>0</v>
      </c>
      <c r="D339" s="303">
        <v>0</v>
      </c>
      <c r="E339" s="303">
        <v>0</v>
      </c>
      <c r="F339" s="303">
        <v>0</v>
      </c>
      <c r="G339" s="303">
        <v>0</v>
      </c>
      <c r="H339" s="303">
        <v>0</v>
      </c>
      <c r="I339" s="303">
        <v>0</v>
      </c>
      <c r="J339" s="303">
        <v>0</v>
      </c>
      <c r="K339" s="303">
        <v>8.5635100000000008</v>
      </c>
      <c r="L339" s="303">
        <v>0.37781900000000002</v>
      </c>
      <c r="M339" s="303">
        <f t="shared" si="24"/>
        <v>8.9413290000000014</v>
      </c>
      <c r="N339" s="290"/>
      <c r="O339" s="305"/>
      <c r="P339" s="284"/>
      <c r="Q339" s="284"/>
      <c r="R339" s="284"/>
      <c r="S339" s="284"/>
      <c r="T339" s="284"/>
      <c r="U339" s="284"/>
      <c r="V339" s="284"/>
      <c r="W339" s="284"/>
      <c r="X339" s="284"/>
      <c r="Y339" s="284"/>
      <c r="Z339" s="284"/>
      <c r="AA339" s="284"/>
    </row>
    <row r="340" spans="1:27" ht="18">
      <c r="A340" s="291" t="s">
        <v>11</v>
      </c>
      <c r="B340" s="303">
        <v>0</v>
      </c>
      <c r="C340" s="303">
        <v>0</v>
      </c>
      <c r="D340" s="303">
        <v>0</v>
      </c>
      <c r="E340" s="303">
        <v>0</v>
      </c>
      <c r="F340" s="303">
        <v>0</v>
      </c>
      <c r="G340" s="303">
        <v>0</v>
      </c>
      <c r="H340" s="303">
        <v>0</v>
      </c>
      <c r="I340" s="303">
        <v>0</v>
      </c>
      <c r="J340" s="303">
        <v>0</v>
      </c>
      <c r="K340" s="303">
        <v>8.5584749999999996</v>
      </c>
      <c r="L340" s="303">
        <v>0.40473699999999901</v>
      </c>
      <c r="M340" s="303">
        <f t="shared" si="24"/>
        <v>8.9632119999999986</v>
      </c>
      <c r="N340" s="290"/>
      <c r="O340" s="305"/>
      <c r="P340" s="284"/>
      <c r="Q340" s="284"/>
      <c r="R340" s="284"/>
      <c r="S340" s="284"/>
      <c r="T340" s="284"/>
      <c r="U340" s="284"/>
      <c r="V340" s="284"/>
      <c r="W340" s="284"/>
      <c r="X340" s="284"/>
      <c r="Y340" s="284"/>
      <c r="Z340" s="284"/>
      <c r="AA340" s="284"/>
    </row>
    <row r="341" spans="1:27" ht="18">
      <c r="A341" s="291" t="s">
        <v>337</v>
      </c>
      <c r="B341" s="303">
        <v>0</v>
      </c>
      <c r="C341" s="303">
        <v>0</v>
      </c>
      <c r="D341" s="303">
        <v>0</v>
      </c>
      <c r="E341" s="303">
        <v>0</v>
      </c>
      <c r="F341" s="303">
        <v>0</v>
      </c>
      <c r="G341" s="303">
        <v>0</v>
      </c>
      <c r="H341" s="303">
        <v>0</v>
      </c>
      <c r="I341" s="303">
        <v>0</v>
      </c>
      <c r="J341" s="303">
        <v>0</v>
      </c>
      <c r="K341" s="303">
        <v>8.5556929999999998</v>
      </c>
      <c r="L341" s="303">
        <v>0.432315000000001</v>
      </c>
      <c r="M341" s="303">
        <f t="shared" si="24"/>
        <v>8.9880080000000007</v>
      </c>
      <c r="N341" s="290"/>
      <c r="O341" s="305"/>
      <c r="P341" s="284"/>
      <c r="Q341" s="284"/>
      <c r="R341" s="284"/>
      <c r="S341" s="284"/>
      <c r="T341" s="284"/>
      <c r="U341" s="284"/>
      <c r="V341" s="284"/>
      <c r="W341" s="284"/>
      <c r="X341" s="284"/>
      <c r="Y341" s="284"/>
      <c r="Z341" s="284"/>
      <c r="AA341" s="284"/>
    </row>
    <row r="342" spans="1:27" ht="18">
      <c r="A342" s="291" t="s">
        <v>346</v>
      </c>
      <c r="B342" s="303">
        <v>0</v>
      </c>
      <c r="C342" s="303">
        <v>0</v>
      </c>
      <c r="D342" s="303">
        <v>0</v>
      </c>
      <c r="E342" s="303">
        <v>0</v>
      </c>
      <c r="F342" s="303">
        <v>0</v>
      </c>
      <c r="G342" s="303">
        <v>0</v>
      </c>
      <c r="H342" s="303">
        <v>0</v>
      </c>
      <c r="I342" s="303">
        <v>0</v>
      </c>
      <c r="J342" s="303">
        <v>0</v>
      </c>
      <c r="K342" s="303">
        <v>10.52</v>
      </c>
      <c r="L342" s="303">
        <v>0.442</v>
      </c>
      <c r="M342" s="303">
        <f t="shared" si="24"/>
        <v>10.962</v>
      </c>
      <c r="N342" s="290"/>
      <c r="O342" s="305"/>
      <c r="P342" s="284"/>
      <c r="Q342" s="284"/>
      <c r="R342" s="284"/>
      <c r="S342" s="284"/>
      <c r="T342" s="284"/>
      <c r="U342" s="284"/>
      <c r="V342" s="284"/>
      <c r="W342" s="284"/>
      <c r="X342" s="284"/>
      <c r="Y342" s="284"/>
      <c r="Z342" s="284"/>
      <c r="AA342" s="284"/>
    </row>
    <row r="343" spans="1:27" ht="18">
      <c r="A343" s="291" t="s">
        <v>347</v>
      </c>
      <c r="B343" s="303">
        <v>0</v>
      </c>
      <c r="C343" s="303">
        <v>0</v>
      </c>
      <c r="D343" s="303">
        <v>0</v>
      </c>
      <c r="E343" s="303">
        <v>0</v>
      </c>
      <c r="F343" s="303">
        <v>0</v>
      </c>
      <c r="G343" s="303">
        <v>0</v>
      </c>
      <c r="H343" s="303">
        <v>0</v>
      </c>
      <c r="I343" s="303">
        <v>0</v>
      </c>
      <c r="J343" s="303">
        <v>0</v>
      </c>
      <c r="K343" s="303">
        <v>11.583</v>
      </c>
      <c r="L343" s="303">
        <v>0.38779999999999998</v>
      </c>
      <c r="M343" s="303">
        <f t="shared" si="24"/>
        <v>11.970800000000001</v>
      </c>
      <c r="N343" s="290"/>
      <c r="O343" s="305"/>
      <c r="P343" s="284"/>
      <c r="Q343" s="284"/>
      <c r="R343" s="284"/>
      <c r="S343" s="284"/>
      <c r="T343" s="284"/>
      <c r="U343" s="284"/>
      <c r="V343" s="284"/>
      <c r="W343" s="284"/>
      <c r="X343" s="284"/>
      <c r="Y343" s="284"/>
      <c r="Z343" s="284"/>
      <c r="AA343" s="284"/>
    </row>
    <row r="344" spans="1:27" ht="18">
      <c r="A344" s="291" t="s">
        <v>12</v>
      </c>
      <c r="B344" s="303">
        <v>0</v>
      </c>
      <c r="C344" s="303">
        <v>0</v>
      </c>
      <c r="D344" s="303">
        <v>0</v>
      </c>
      <c r="E344" s="303">
        <v>0</v>
      </c>
      <c r="F344" s="303">
        <v>0</v>
      </c>
      <c r="G344" s="303">
        <v>0</v>
      </c>
      <c r="H344" s="303">
        <v>0</v>
      </c>
      <c r="I344" s="303">
        <v>0</v>
      </c>
      <c r="J344" s="303">
        <v>0</v>
      </c>
      <c r="K344" s="303">
        <v>8.2047000000000008</v>
      </c>
      <c r="L344" s="303">
        <v>0.4763</v>
      </c>
      <c r="M344" s="303">
        <f t="shared" si="24"/>
        <v>8.6810000000000009</v>
      </c>
      <c r="N344" s="290"/>
      <c r="O344" s="305"/>
      <c r="P344" s="284"/>
      <c r="Q344" s="284"/>
      <c r="R344" s="284"/>
      <c r="S344" s="284"/>
      <c r="T344" s="284"/>
      <c r="U344" s="284"/>
      <c r="V344" s="284"/>
      <c r="W344" s="284"/>
      <c r="X344" s="284"/>
      <c r="Y344" s="284"/>
      <c r="Z344" s="284"/>
      <c r="AA344" s="284"/>
    </row>
    <row r="345" spans="1:27" ht="18">
      <c r="A345" s="291" t="s">
        <v>13</v>
      </c>
      <c r="B345" s="303">
        <v>0</v>
      </c>
      <c r="C345" s="303">
        <v>5.5</v>
      </c>
      <c r="D345" s="303">
        <v>0</v>
      </c>
      <c r="E345" s="303">
        <v>0</v>
      </c>
      <c r="F345" s="303">
        <v>0</v>
      </c>
      <c r="G345" s="303">
        <v>0</v>
      </c>
      <c r="H345" s="303">
        <v>0</v>
      </c>
      <c r="I345" s="303">
        <v>0</v>
      </c>
      <c r="J345" s="303">
        <v>5.5</v>
      </c>
      <c r="K345" s="303">
        <v>8.2047000000000008</v>
      </c>
      <c r="L345" s="303">
        <v>0.51019999999999999</v>
      </c>
      <c r="M345" s="303">
        <f t="shared" si="24"/>
        <v>14.2149</v>
      </c>
      <c r="N345" s="290"/>
      <c r="O345" s="305"/>
      <c r="P345" s="284"/>
      <c r="Q345" s="284"/>
      <c r="R345" s="284"/>
      <c r="S345" s="284"/>
      <c r="T345" s="284"/>
      <c r="U345" s="284"/>
      <c r="V345" s="284"/>
      <c r="W345" s="284"/>
      <c r="X345" s="284"/>
      <c r="Y345" s="284"/>
      <c r="Z345" s="284"/>
      <c r="AA345" s="284"/>
    </row>
    <row r="346" spans="1:27" ht="18">
      <c r="A346" s="291" t="s">
        <v>14</v>
      </c>
      <c r="B346" s="303">
        <v>0</v>
      </c>
      <c r="C346" s="303">
        <v>0</v>
      </c>
      <c r="D346" s="303">
        <v>0</v>
      </c>
      <c r="E346" s="303">
        <v>0</v>
      </c>
      <c r="F346" s="303">
        <v>0</v>
      </c>
      <c r="G346" s="303">
        <v>0</v>
      </c>
      <c r="H346" s="303">
        <v>0</v>
      </c>
      <c r="I346" s="303">
        <v>0</v>
      </c>
      <c r="J346" s="303">
        <v>0</v>
      </c>
      <c r="K346" s="303">
        <v>8.6724999999999994</v>
      </c>
      <c r="L346" s="303">
        <v>0.22359999999999999</v>
      </c>
      <c r="M346" s="303">
        <f t="shared" si="24"/>
        <v>8.8960999999999988</v>
      </c>
      <c r="N346" s="290"/>
      <c r="O346" s="305"/>
      <c r="P346" s="284"/>
      <c r="Q346" s="284"/>
      <c r="R346" s="284"/>
      <c r="S346" s="284"/>
      <c r="T346" s="284"/>
      <c r="U346" s="284"/>
      <c r="V346" s="284"/>
      <c r="W346" s="284"/>
      <c r="X346" s="284"/>
      <c r="Y346" s="284"/>
      <c r="Z346" s="284"/>
      <c r="AA346" s="284"/>
    </row>
    <row r="347" spans="1:27" ht="18">
      <c r="A347" s="291" t="s">
        <v>15</v>
      </c>
      <c r="B347" s="303">
        <v>0</v>
      </c>
      <c r="C347" s="303">
        <v>0</v>
      </c>
      <c r="D347" s="303">
        <v>0</v>
      </c>
      <c r="E347" s="303">
        <v>0</v>
      </c>
      <c r="F347" s="303">
        <v>0</v>
      </c>
      <c r="G347" s="303">
        <v>0</v>
      </c>
      <c r="H347" s="303">
        <v>0</v>
      </c>
      <c r="I347" s="303">
        <v>0</v>
      </c>
      <c r="J347" s="303">
        <v>0</v>
      </c>
      <c r="K347" s="303">
        <v>8.1686999999999994</v>
      </c>
      <c r="L347" s="303">
        <v>0.50839999999999996</v>
      </c>
      <c r="M347" s="303">
        <f t="shared" si="24"/>
        <v>8.6770999999999994</v>
      </c>
      <c r="N347" s="290"/>
      <c r="O347" s="305"/>
      <c r="P347" s="284"/>
      <c r="Q347" s="284"/>
      <c r="R347" s="284"/>
      <c r="S347" s="284"/>
      <c r="T347" s="284"/>
      <c r="U347" s="284"/>
      <c r="V347" s="284"/>
      <c r="W347" s="284"/>
      <c r="X347" s="284"/>
      <c r="Y347" s="284"/>
      <c r="Z347" s="284"/>
      <c r="AA347" s="284"/>
    </row>
    <row r="348" spans="1:27" ht="18">
      <c r="A348" s="291" t="s">
        <v>16</v>
      </c>
      <c r="B348" s="303">
        <v>0</v>
      </c>
      <c r="C348" s="303">
        <v>0</v>
      </c>
      <c r="D348" s="303">
        <v>0</v>
      </c>
      <c r="E348" s="303">
        <v>0</v>
      </c>
      <c r="F348" s="303">
        <v>0</v>
      </c>
      <c r="G348" s="303">
        <v>0</v>
      </c>
      <c r="H348" s="303">
        <v>0</v>
      </c>
      <c r="I348" s="303">
        <v>0</v>
      </c>
      <c r="J348" s="303">
        <v>0</v>
      </c>
      <c r="K348" s="303">
        <v>8.4811999999999994</v>
      </c>
      <c r="L348" s="303">
        <v>0.3795</v>
      </c>
      <c r="M348" s="303">
        <f t="shared" si="24"/>
        <v>8.8606999999999996</v>
      </c>
      <c r="N348" s="290"/>
      <c r="O348" s="305"/>
      <c r="P348" s="284"/>
      <c r="Q348" s="284"/>
      <c r="R348" s="284"/>
      <c r="S348" s="284"/>
      <c r="T348" s="284"/>
      <c r="U348" s="284"/>
      <c r="V348" s="284"/>
      <c r="W348" s="284"/>
      <c r="X348" s="284"/>
      <c r="Y348" s="284"/>
      <c r="Z348" s="284"/>
      <c r="AA348" s="284"/>
    </row>
    <row r="349" spans="1:27" ht="16.95" customHeight="1" thickBot="1">
      <c r="A349" s="306"/>
      <c r="B349" s="307"/>
      <c r="C349" s="307"/>
      <c r="D349" s="307"/>
      <c r="E349" s="307"/>
      <c r="F349" s="308"/>
      <c r="G349" s="308"/>
      <c r="H349" s="308"/>
      <c r="I349" s="308"/>
      <c r="J349" s="308"/>
      <c r="K349" s="308"/>
      <c r="L349" s="308"/>
      <c r="M349" s="308"/>
      <c r="N349" s="284"/>
      <c r="O349" s="284"/>
      <c r="P349" s="309"/>
      <c r="Q349" s="309"/>
      <c r="R349" s="309"/>
      <c r="S349" s="309"/>
      <c r="T349" s="309"/>
      <c r="U349" s="309"/>
      <c r="V349" s="309"/>
      <c r="W349" s="309"/>
      <c r="X349" s="309"/>
      <c r="Y349" s="309"/>
      <c r="Z349" s="309"/>
      <c r="AA349" s="309"/>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71"/>
    <col min="2" max="2" width="10.54296875" style="271" customWidth="1"/>
    <col min="3" max="3" width="16.81640625" style="271" bestFit="1" customWidth="1"/>
    <col min="4" max="4" width="14.453125" style="271" customWidth="1"/>
    <col min="5" max="5" width="12.54296875" style="271" bestFit="1" customWidth="1"/>
    <col min="6" max="6" width="15.36328125" style="271" bestFit="1" customWidth="1"/>
    <col min="7" max="7" width="16.81640625" style="271" bestFit="1" customWidth="1"/>
    <col min="8" max="8" width="20.90625" style="271" bestFit="1" customWidth="1"/>
    <col min="9" max="9" width="19.81640625" style="271" bestFit="1" customWidth="1"/>
    <col min="10" max="10" width="8.90625" style="271"/>
    <col min="11" max="11" width="11.453125" style="271" bestFit="1" customWidth="1"/>
    <col min="12" max="12" width="24.81640625" style="271" bestFit="1" customWidth="1"/>
    <col min="13" max="13" width="28" style="271" customWidth="1"/>
    <col min="14" max="15" width="8.90625" style="271"/>
    <col min="16" max="16" width="13.54296875" style="271" bestFit="1" customWidth="1"/>
    <col min="17" max="16384" width="8.90625" style="271"/>
  </cols>
  <sheetData>
    <row r="4" spans="1:14" ht="18">
      <c r="A4" s="313">
        <v>16426</v>
      </c>
      <c r="B4" s="1902" t="s">
        <v>1019</v>
      </c>
      <c r="C4" s="1902"/>
      <c r="D4" s="1902"/>
      <c r="E4" s="1902"/>
      <c r="F4" s="1902"/>
      <c r="G4" s="1902"/>
      <c r="H4" s="1902"/>
      <c r="I4" s="1902"/>
      <c r="J4" s="1902"/>
      <c r="K4" s="1902"/>
      <c r="L4" s="1902"/>
      <c r="M4" s="1902"/>
      <c r="N4" s="287"/>
    </row>
    <row r="5" spans="1:14" ht="18">
      <c r="B5" s="286"/>
      <c r="C5" s="287"/>
      <c r="D5" s="287"/>
      <c r="E5" s="287"/>
      <c r="F5" s="287"/>
      <c r="G5" s="287"/>
      <c r="H5" s="287"/>
      <c r="I5" s="287"/>
      <c r="J5" s="287"/>
      <c r="K5" s="287"/>
      <c r="L5" s="287"/>
      <c r="M5" s="287"/>
      <c r="N5" s="287"/>
    </row>
    <row r="6" spans="1:14" ht="18">
      <c r="B6" s="1896" t="s">
        <v>1039</v>
      </c>
      <c r="C6" s="1896"/>
      <c r="D6" s="1896"/>
      <c r="E6" s="1896"/>
      <c r="F6" s="1896"/>
      <c r="G6" s="1896"/>
      <c r="H6" s="1896"/>
      <c r="I6" s="1896"/>
      <c r="J6" s="1896"/>
      <c r="K6" s="1896"/>
      <c r="L6" s="1896"/>
      <c r="M6" s="1896"/>
      <c r="N6" s="287"/>
    </row>
    <row r="7" spans="1:14" ht="18">
      <c r="B7" s="287"/>
      <c r="C7" s="287"/>
      <c r="D7" s="287"/>
      <c r="E7" s="287"/>
      <c r="F7" s="287"/>
      <c r="G7" s="287"/>
      <c r="H7" s="287"/>
      <c r="I7" s="287"/>
      <c r="J7" s="287"/>
      <c r="K7" s="287"/>
      <c r="L7" s="287"/>
      <c r="M7" s="287"/>
      <c r="N7" s="287"/>
    </row>
    <row r="8" spans="1:14" ht="18.600000000000001" thickBot="1">
      <c r="B8" s="293"/>
      <c r="C8" s="293"/>
      <c r="D8" s="293"/>
      <c r="E8" s="293"/>
      <c r="F8" s="293"/>
      <c r="G8" s="293"/>
      <c r="H8" s="293"/>
      <c r="I8" s="293"/>
      <c r="J8" s="293"/>
      <c r="K8" s="293"/>
      <c r="L8" s="293"/>
      <c r="M8" s="293"/>
      <c r="N8" s="287"/>
    </row>
    <row r="9" spans="1:14" ht="18.600000000000001" thickTop="1">
      <c r="B9" s="288"/>
      <c r="C9" s="1903" t="s">
        <v>996</v>
      </c>
      <c r="D9" s="1904"/>
      <c r="E9" s="1904"/>
      <c r="F9" s="1904"/>
      <c r="G9" s="1905"/>
      <c r="H9" s="288"/>
      <c r="I9" s="288"/>
      <c r="J9" s="288"/>
      <c r="K9" s="288"/>
      <c r="L9" s="288"/>
      <c r="M9" s="288"/>
      <c r="N9" s="287"/>
    </row>
    <row r="10" spans="1:14" ht="18">
      <c r="B10" s="291"/>
      <c r="C10" s="287"/>
      <c r="D10" s="314"/>
      <c r="E10" s="287"/>
      <c r="F10" s="287"/>
      <c r="G10" s="287"/>
      <c r="H10" s="291"/>
      <c r="I10" s="291"/>
      <c r="J10" s="291"/>
      <c r="K10" s="291"/>
      <c r="L10" s="291"/>
      <c r="M10" s="291"/>
      <c r="N10" s="287"/>
    </row>
    <row r="11" spans="1:14" ht="18.600000000000001" thickBot="1">
      <c r="B11" s="292" t="s">
        <v>32</v>
      </c>
      <c r="C11" s="293"/>
      <c r="D11" s="293"/>
      <c r="E11" s="293"/>
      <c r="F11" s="293"/>
      <c r="G11" s="293"/>
      <c r="H11" s="291"/>
      <c r="I11" s="291"/>
      <c r="J11" s="291"/>
      <c r="K11" s="291"/>
      <c r="L11" s="291"/>
      <c r="M11" s="291"/>
      <c r="N11" s="287"/>
    </row>
    <row r="12" spans="1:14" ht="18.600000000000001" thickTop="1">
      <c r="B12" s="291"/>
      <c r="C12" s="300" t="s">
        <v>1002</v>
      </c>
      <c r="D12" s="300" t="s">
        <v>1020</v>
      </c>
      <c r="E12" s="315" t="s">
        <v>1005</v>
      </c>
      <c r="F12" s="300" t="s">
        <v>1003</v>
      </c>
      <c r="G12" s="300" t="s">
        <v>37</v>
      </c>
      <c r="H12" s="292" t="s">
        <v>1021</v>
      </c>
      <c r="I12" s="292" t="s">
        <v>1021</v>
      </c>
      <c r="J12" s="292" t="s">
        <v>53</v>
      </c>
      <c r="K12" s="292" t="s">
        <v>1000</v>
      </c>
      <c r="L12" s="292" t="s">
        <v>31</v>
      </c>
      <c r="M12" s="292" t="s">
        <v>287</v>
      </c>
      <c r="N12" s="287"/>
    </row>
    <row r="13" spans="1:14" ht="18.600000000000001" thickBot="1">
      <c r="B13" s="291"/>
      <c r="C13" s="291"/>
      <c r="D13" s="292" t="s">
        <v>1022</v>
      </c>
      <c r="E13" s="316"/>
      <c r="F13" s="291"/>
      <c r="G13" s="291"/>
      <c r="H13" s="292" t="s">
        <v>1023</v>
      </c>
      <c r="I13" s="292" t="s">
        <v>1024</v>
      </c>
      <c r="J13" s="292" t="s">
        <v>36</v>
      </c>
      <c r="K13" s="291"/>
      <c r="L13" s="291"/>
      <c r="M13" s="291"/>
      <c r="N13" s="287"/>
    </row>
    <row r="14" spans="1:14" ht="19.2" thickTop="1" thickBot="1">
      <c r="B14" s="317"/>
      <c r="C14" s="317"/>
      <c r="D14" s="317"/>
      <c r="E14" s="318"/>
      <c r="F14" s="317"/>
      <c r="G14" s="319"/>
      <c r="H14" s="320"/>
      <c r="I14" s="318"/>
      <c r="J14" s="321"/>
      <c r="K14" s="317"/>
      <c r="L14" s="317"/>
      <c r="M14" s="317"/>
      <c r="N14" s="287"/>
    </row>
    <row r="15" spans="1:14" ht="18.600000000000001" hidden="1" thickTop="1">
      <c r="B15" s="322"/>
      <c r="C15" s="322"/>
      <c r="D15" s="323"/>
      <c r="E15" s="324"/>
      <c r="F15" s="322"/>
      <c r="G15" s="325"/>
      <c r="H15" s="326"/>
      <c r="I15" s="324"/>
      <c r="J15" s="300"/>
      <c r="K15" s="327"/>
      <c r="L15" s="327"/>
      <c r="M15" s="324"/>
      <c r="N15" s="287"/>
    </row>
    <row r="16" spans="1:14" ht="18" hidden="1">
      <c r="B16" s="328">
        <v>1999</v>
      </c>
      <c r="C16" s="329"/>
      <c r="D16" s="330"/>
      <c r="E16" s="316"/>
      <c r="F16" s="331"/>
      <c r="G16" s="332"/>
      <c r="H16" s="291"/>
      <c r="I16" s="331"/>
      <c r="J16" s="333"/>
      <c r="K16" s="334"/>
      <c r="L16" s="316"/>
      <c r="M16" s="331"/>
      <c r="N16" s="287"/>
    </row>
    <row r="17" spans="2:14" ht="18" hidden="1">
      <c r="B17" s="335"/>
      <c r="C17" s="335"/>
      <c r="D17" s="336"/>
      <c r="E17" s="337"/>
      <c r="F17" s="302"/>
      <c r="G17" s="338"/>
      <c r="H17" s="302"/>
      <c r="I17" s="337"/>
      <c r="J17" s="337"/>
      <c r="K17" s="337"/>
      <c r="L17" s="337"/>
      <c r="M17" s="302"/>
      <c r="N17" s="287"/>
    </row>
    <row r="18" spans="2:14" ht="18" hidden="1">
      <c r="B18" s="339" t="s">
        <v>8</v>
      </c>
      <c r="C18" s="340">
        <v>1.6574990000000001</v>
      </c>
      <c r="D18" s="341">
        <v>1.0399999999999999E-4</v>
      </c>
      <c r="E18" s="341">
        <v>0</v>
      </c>
      <c r="F18" s="303">
        <v>0.248944</v>
      </c>
      <c r="G18" s="342">
        <v>1.906547</v>
      </c>
      <c r="H18" s="303">
        <v>0.55515499999999995</v>
      </c>
      <c r="I18" s="341">
        <v>4.8274999999999998E-2</v>
      </c>
      <c r="J18" s="341">
        <v>3.5268000000000001E-2</v>
      </c>
      <c r="K18" s="341">
        <v>4.5717000000000001E-2</v>
      </c>
      <c r="L18" s="341">
        <v>0.53657600000000005</v>
      </c>
      <c r="M18" s="303">
        <v>3.1275379999999999</v>
      </c>
      <c r="N18" s="287"/>
    </row>
    <row r="19" spans="2:14" ht="18" hidden="1">
      <c r="B19" s="339" t="s">
        <v>9</v>
      </c>
      <c r="C19" s="340">
        <v>1.6419140000000001</v>
      </c>
      <c r="D19" s="341">
        <v>1.0399999999999999E-4</v>
      </c>
      <c r="E19" s="341">
        <v>0</v>
      </c>
      <c r="F19" s="303">
        <v>0.30969200000000002</v>
      </c>
      <c r="G19" s="342">
        <v>1.9517100000000001</v>
      </c>
      <c r="H19" s="303">
        <v>0.37495200000000001</v>
      </c>
      <c r="I19" s="341">
        <v>3.8274999999999997E-2</v>
      </c>
      <c r="J19" s="341">
        <v>1.6150999999999999E-2</v>
      </c>
      <c r="K19" s="341">
        <v>0.14463100000000001</v>
      </c>
      <c r="L19" s="341">
        <v>0.41814399999999979</v>
      </c>
      <c r="M19" s="303">
        <v>2.9438629999999999</v>
      </c>
      <c r="N19" s="287"/>
    </row>
    <row r="20" spans="2:14" ht="18" hidden="1">
      <c r="B20" s="339" t="s">
        <v>10</v>
      </c>
      <c r="C20" s="340">
        <v>1.786716</v>
      </c>
      <c r="D20" s="341">
        <v>1.0399999999999999E-4</v>
      </c>
      <c r="E20" s="341">
        <v>0</v>
      </c>
      <c r="F20" s="303">
        <v>0.42549300000000001</v>
      </c>
      <c r="G20" s="342">
        <v>2.212313</v>
      </c>
      <c r="H20" s="303">
        <v>0.85552800000000007</v>
      </c>
      <c r="I20" s="341">
        <v>4.3275000000000001E-2</v>
      </c>
      <c r="J20" s="341">
        <v>5.7972000000000003E-2</v>
      </c>
      <c r="K20" s="341">
        <v>7.7901999999999999E-2</v>
      </c>
      <c r="L20" s="341">
        <v>0.57002099999999978</v>
      </c>
      <c r="M20" s="303">
        <v>3.8170109999999999</v>
      </c>
      <c r="N20" s="287"/>
    </row>
    <row r="21" spans="2:14" ht="18" hidden="1">
      <c r="B21" s="339" t="s">
        <v>11</v>
      </c>
      <c r="C21" s="340">
        <v>2.4230079999999998</v>
      </c>
      <c r="D21" s="341">
        <v>1.0399999999999999E-4</v>
      </c>
      <c r="E21" s="341">
        <v>0</v>
      </c>
      <c r="F21" s="303">
        <v>0.49469999999999997</v>
      </c>
      <c r="G21" s="342">
        <v>2.9178120000000001</v>
      </c>
      <c r="H21" s="303">
        <v>0.72466399999999997</v>
      </c>
      <c r="I21" s="341">
        <v>2.5777999999999999E-2</v>
      </c>
      <c r="J21" s="341">
        <v>6.4280000000000004E-2</v>
      </c>
      <c r="K21" s="341">
        <v>0.20348500000000003</v>
      </c>
      <c r="L21" s="341">
        <v>0.59663800000000033</v>
      </c>
      <c r="M21" s="303">
        <v>4.5326570000000004</v>
      </c>
      <c r="N21" s="287"/>
    </row>
    <row r="22" spans="2:14" ht="18" hidden="1">
      <c r="B22" s="339" t="s">
        <v>337</v>
      </c>
      <c r="C22" s="340">
        <v>1.92177</v>
      </c>
      <c r="D22" s="341">
        <v>0</v>
      </c>
      <c r="E22" s="341">
        <v>0</v>
      </c>
      <c r="F22" s="303">
        <v>0.52817899999999995</v>
      </c>
      <c r="G22" s="342">
        <v>2.4499490000000002</v>
      </c>
      <c r="H22" s="303">
        <v>0.73580200000000007</v>
      </c>
      <c r="I22" s="341">
        <v>6.3278000000000001E-2</v>
      </c>
      <c r="J22" s="341">
        <v>6.4246999999999999E-2</v>
      </c>
      <c r="K22" s="341">
        <v>0.385544</v>
      </c>
      <c r="L22" s="341">
        <v>0.55804800000000021</v>
      </c>
      <c r="M22" s="303">
        <v>4.2568680000000008</v>
      </c>
      <c r="N22" s="287"/>
    </row>
    <row r="23" spans="2:14" ht="18" hidden="1">
      <c r="B23" s="339" t="s">
        <v>346</v>
      </c>
      <c r="C23" s="340">
        <v>2.1043189999999998</v>
      </c>
      <c r="D23" s="341">
        <v>0</v>
      </c>
      <c r="E23" s="341">
        <v>0</v>
      </c>
      <c r="F23" s="303">
        <v>0.49423</v>
      </c>
      <c r="G23" s="342">
        <v>2.5985489999999998</v>
      </c>
      <c r="H23" s="303">
        <v>0.42006900000000003</v>
      </c>
      <c r="I23" s="341">
        <v>4.5518999999999997E-2</v>
      </c>
      <c r="J23" s="341">
        <v>5.0394000000000001E-2</v>
      </c>
      <c r="K23" s="341">
        <v>0.16362700000000002</v>
      </c>
      <c r="L23" s="341">
        <v>0.50501700000000027</v>
      </c>
      <c r="M23" s="303">
        <v>3.7831750000000004</v>
      </c>
      <c r="N23" s="287"/>
    </row>
    <row r="24" spans="2:14" ht="18" hidden="1">
      <c r="B24" s="339" t="s">
        <v>347</v>
      </c>
      <c r="C24" s="340">
        <v>3.275153</v>
      </c>
      <c r="D24" s="341">
        <v>0</v>
      </c>
      <c r="E24" s="341">
        <v>0</v>
      </c>
      <c r="F24" s="303">
        <v>0.29882900000000001</v>
      </c>
      <c r="G24" s="342">
        <v>3.573982</v>
      </c>
      <c r="H24" s="303">
        <v>0.17744699999999999</v>
      </c>
      <c r="I24" s="341">
        <v>4.2625000000000003E-2</v>
      </c>
      <c r="J24" s="341">
        <v>5.0377999999999999E-2</v>
      </c>
      <c r="K24" s="341">
        <v>0.14080999999999999</v>
      </c>
      <c r="L24" s="341">
        <v>0.53944000000000003</v>
      </c>
      <c r="M24" s="303">
        <v>4.5246819999999994</v>
      </c>
      <c r="N24" s="287"/>
    </row>
    <row r="25" spans="2:14" ht="18" hidden="1">
      <c r="B25" s="339" t="s">
        <v>12</v>
      </c>
      <c r="C25" s="340">
        <v>2.0942240000000001</v>
      </c>
      <c r="D25" s="341">
        <v>0</v>
      </c>
      <c r="E25" s="341">
        <v>0</v>
      </c>
      <c r="F25" s="303">
        <v>0.39112200000000003</v>
      </c>
      <c r="G25" s="342">
        <v>2.4853459999999998</v>
      </c>
      <c r="H25" s="303">
        <v>0.44336900000000001</v>
      </c>
      <c r="I25" s="341">
        <v>4.6625E-2</v>
      </c>
      <c r="J25" s="341">
        <v>5.0359000000000001E-2</v>
      </c>
      <c r="K25" s="341">
        <v>7.8099999999999989E-2</v>
      </c>
      <c r="L25" s="341">
        <v>0.79227300000000012</v>
      </c>
      <c r="M25" s="303">
        <v>3.8960720000000002</v>
      </c>
      <c r="N25" s="287"/>
    </row>
    <row r="26" spans="2:14" ht="18" hidden="1">
      <c r="B26" s="339" t="s">
        <v>13</v>
      </c>
      <c r="C26" s="340">
        <v>3.3781179999999997</v>
      </c>
      <c r="D26" s="341">
        <v>0</v>
      </c>
      <c r="E26" s="341">
        <v>0</v>
      </c>
      <c r="F26" s="303">
        <v>0.19711600000000001</v>
      </c>
      <c r="G26" s="342">
        <v>3.575234</v>
      </c>
      <c r="H26" s="303">
        <v>0.226825</v>
      </c>
      <c r="I26" s="341">
        <v>4.2625000000000003E-2</v>
      </c>
      <c r="J26" s="341">
        <v>4.1279000000000003E-2</v>
      </c>
      <c r="K26" s="341">
        <v>0.15684500000000001</v>
      </c>
      <c r="L26" s="341">
        <v>0.87392299999999978</v>
      </c>
      <c r="M26" s="303">
        <v>4.9167309999999995</v>
      </c>
      <c r="N26" s="287"/>
    </row>
    <row r="27" spans="2:14" ht="18" hidden="1">
      <c r="B27" s="339" t="s">
        <v>14</v>
      </c>
      <c r="C27" s="340">
        <v>2.7214260000000001</v>
      </c>
      <c r="D27" s="341">
        <v>0</v>
      </c>
      <c r="E27" s="341">
        <v>0</v>
      </c>
      <c r="F27" s="303">
        <v>0.143096</v>
      </c>
      <c r="G27" s="342">
        <v>2.864522</v>
      </c>
      <c r="H27" s="303">
        <v>0.460146</v>
      </c>
      <c r="I27" s="341">
        <v>5.9450000000000003E-2</v>
      </c>
      <c r="J27" s="341">
        <v>4.1259999999999998E-2</v>
      </c>
      <c r="K27" s="341">
        <v>0.102242</v>
      </c>
      <c r="L27" s="341">
        <v>0.86264800000000019</v>
      </c>
      <c r="M27" s="303">
        <v>4.3902679999999998</v>
      </c>
      <c r="N27" s="287"/>
    </row>
    <row r="28" spans="2:14" ht="18" hidden="1">
      <c r="B28" s="339" t="s">
        <v>15</v>
      </c>
      <c r="C28" s="340">
        <v>2.7091129999999999</v>
      </c>
      <c r="D28" s="341">
        <v>8.9999999999999993E-3</v>
      </c>
      <c r="E28" s="341">
        <v>0</v>
      </c>
      <c r="F28" s="303">
        <v>0.55742199999999997</v>
      </c>
      <c r="G28" s="342">
        <v>3.2755349999999996</v>
      </c>
      <c r="H28" s="303">
        <v>0.32073000000000002</v>
      </c>
      <c r="I28" s="341">
        <v>4.5649999999999996E-2</v>
      </c>
      <c r="J28" s="341">
        <v>4.4700999999999998E-2</v>
      </c>
      <c r="K28" s="341">
        <v>0.27733099999999999</v>
      </c>
      <c r="L28" s="341">
        <v>1.1179319999999997</v>
      </c>
      <c r="M28" s="303">
        <v>5.0818789999999998</v>
      </c>
      <c r="N28" s="287"/>
    </row>
    <row r="29" spans="2:14" ht="18" hidden="1">
      <c r="B29" s="339" t="s">
        <v>16</v>
      </c>
      <c r="C29" s="340">
        <v>1.710296</v>
      </c>
      <c r="D29" s="341">
        <v>0</v>
      </c>
      <c r="E29" s="341">
        <v>0</v>
      </c>
      <c r="F29" s="303">
        <v>0.40595399999999998</v>
      </c>
      <c r="G29" s="342">
        <v>2.11625</v>
      </c>
      <c r="H29" s="303">
        <v>0.37549900000000003</v>
      </c>
      <c r="I29" s="341">
        <v>0.11795799999999999</v>
      </c>
      <c r="J29" s="341">
        <v>1.3695000000000001E-2</v>
      </c>
      <c r="K29" s="341">
        <v>8.6796999999999999E-2</v>
      </c>
      <c r="L29" s="341">
        <v>0.91370699999999982</v>
      </c>
      <c r="M29" s="303">
        <v>3.6239059999999998</v>
      </c>
      <c r="N29" s="287"/>
    </row>
    <row r="30" spans="2:14" ht="18" hidden="1">
      <c r="B30" s="339"/>
      <c r="C30" s="340"/>
      <c r="D30" s="303"/>
      <c r="E30" s="341"/>
      <c r="F30" s="303"/>
      <c r="G30" s="342"/>
      <c r="H30" s="303"/>
      <c r="I30" s="341"/>
      <c r="J30" s="341"/>
      <c r="K30" s="341"/>
      <c r="L30" s="343"/>
      <c r="M30" s="344"/>
      <c r="N30" s="287"/>
    </row>
    <row r="31" spans="2:14" ht="18" hidden="1">
      <c r="B31" s="345">
        <v>2000</v>
      </c>
      <c r="C31" s="303"/>
      <c r="D31" s="341"/>
      <c r="E31" s="343"/>
      <c r="F31" s="344"/>
      <c r="G31" s="346"/>
      <c r="H31" s="303"/>
      <c r="I31" s="343"/>
      <c r="J31" s="344"/>
      <c r="K31" s="340"/>
      <c r="L31" s="343"/>
      <c r="M31" s="344"/>
      <c r="N31" s="287"/>
    </row>
    <row r="32" spans="2:14" ht="18" hidden="1">
      <c r="B32" s="339"/>
      <c r="C32" s="340"/>
      <c r="D32" s="303"/>
      <c r="E32" s="341"/>
      <c r="F32" s="343"/>
      <c r="G32" s="346"/>
      <c r="H32" s="303"/>
      <c r="I32" s="341"/>
      <c r="J32" s="341"/>
      <c r="K32" s="303"/>
      <c r="L32" s="303"/>
      <c r="M32" s="303"/>
      <c r="N32" s="287"/>
    </row>
    <row r="33" spans="2:14" ht="18" hidden="1">
      <c r="B33" s="339" t="s">
        <v>8</v>
      </c>
      <c r="C33" s="340">
        <v>4.9626000000000001</v>
      </c>
      <c r="D33" s="303">
        <v>0.02</v>
      </c>
      <c r="E33" s="341">
        <v>0</v>
      </c>
      <c r="F33" s="303">
        <v>0.24130000000000001</v>
      </c>
      <c r="G33" s="347">
        <v>5.2240000000000002</v>
      </c>
      <c r="H33" s="303">
        <v>0.3493</v>
      </c>
      <c r="I33" s="341">
        <v>8.4500000000000006E-2</v>
      </c>
      <c r="J33" s="341">
        <v>1.4E-2</v>
      </c>
      <c r="K33" s="303">
        <v>3.4299999999999997E-2</v>
      </c>
      <c r="L33" s="303">
        <v>0.99650000000000005</v>
      </c>
      <c r="M33" s="303">
        <v>6.7023999999999999</v>
      </c>
      <c r="N33" s="287"/>
    </row>
    <row r="34" spans="2:14" ht="18" hidden="1">
      <c r="B34" s="329" t="s">
        <v>9</v>
      </c>
      <c r="C34" s="340">
        <v>3.1681999999999997</v>
      </c>
      <c r="D34" s="303">
        <v>8.3000000000000004E-2</v>
      </c>
      <c r="E34" s="341">
        <v>0</v>
      </c>
      <c r="F34" s="303">
        <v>0.26830000000000004</v>
      </c>
      <c r="G34" s="347">
        <v>3.5194999999999999</v>
      </c>
      <c r="H34" s="303">
        <v>0.40150000000000002</v>
      </c>
      <c r="I34" s="341">
        <v>0.1245</v>
      </c>
      <c r="J34" s="341">
        <v>1.4E-2</v>
      </c>
      <c r="K34" s="303">
        <v>0.16719999999999999</v>
      </c>
      <c r="L34" s="303">
        <v>1.0648</v>
      </c>
      <c r="M34" s="303">
        <v>5.2915000000000001</v>
      </c>
      <c r="N34" s="287"/>
    </row>
    <row r="35" spans="2:14" ht="18" hidden="1">
      <c r="B35" s="329" t="s">
        <v>10</v>
      </c>
      <c r="C35" s="340">
        <v>2.7348000000000003</v>
      </c>
      <c r="D35" s="303">
        <v>2.87E-2</v>
      </c>
      <c r="E35" s="341">
        <v>0</v>
      </c>
      <c r="F35" s="303">
        <v>0.22</v>
      </c>
      <c r="G35" s="347">
        <v>2.9834999999999998</v>
      </c>
      <c r="H35" s="303">
        <v>0.55300000000000005</v>
      </c>
      <c r="I35" s="341">
        <v>8.6800000000000002E-2</v>
      </c>
      <c r="J35" s="341">
        <v>1.4E-2</v>
      </c>
      <c r="K35" s="303">
        <v>0.2036</v>
      </c>
      <c r="L35" s="303">
        <v>1.0489000000000002</v>
      </c>
      <c r="M35" s="303">
        <v>4.8896000000000006</v>
      </c>
      <c r="N35" s="287"/>
    </row>
    <row r="36" spans="2:14" ht="18" hidden="1">
      <c r="B36" s="329" t="s">
        <v>11</v>
      </c>
      <c r="C36" s="340">
        <v>4.5955000000000004</v>
      </c>
      <c r="D36" s="303">
        <v>0</v>
      </c>
      <c r="E36" s="341">
        <v>0</v>
      </c>
      <c r="F36" s="303">
        <v>9.0299999999999991E-2</v>
      </c>
      <c r="G36" s="347">
        <v>4.6858000000000004</v>
      </c>
      <c r="H36" s="303">
        <v>0.15480000000000002</v>
      </c>
      <c r="I36" s="341">
        <v>8.8200000000000001E-2</v>
      </c>
      <c r="J36" s="341">
        <v>1.4E-2</v>
      </c>
      <c r="K36" s="303">
        <v>0.1714</v>
      </c>
      <c r="L36" s="303">
        <v>1.0526</v>
      </c>
      <c r="M36" s="303">
        <v>6.1668000000000003</v>
      </c>
      <c r="N36" s="287"/>
    </row>
    <row r="37" spans="2:14" ht="18" hidden="1">
      <c r="B37" s="329" t="s">
        <v>337</v>
      </c>
      <c r="C37" s="340">
        <v>4.2671000000000001</v>
      </c>
      <c r="D37" s="303">
        <v>0</v>
      </c>
      <c r="E37" s="341">
        <v>0</v>
      </c>
      <c r="F37" s="303">
        <v>0.18790000000000001</v>
      </c>
      <c r="G37" s="347">
        <v>4.4550000000000001</v>
      </c>
      <c r="H37" s="303">
        <v>0.14380000000000001</v>
      </c>
      <c r="I37" s="341">
        <v>9.4099999999999989E-2</v>
      </c>
      <c r="J37" s="341">
        <v>1.4E-2</v>
      </c>
      <c r="K37" s="303">
        <v>0.13100000000000001</v>
      </c>
      <c r="L37" s="303">
        <v>1.0649999999999999</v>
      </c>
      <c r="M37" s="303">
        <v>5.9028999999999998</v>
      </c>
      <c r="N37" s="287"/>
    </row>
    <row r="38" spans="2:14" ht="18" hidden="1">
      <c r="B38" s="329" t="s">
        <v>346</v>
      </c>
      <c r="C38" s="340">
        <v>4.2573999999999996</v>
      </c>
      <c r="D38" s="303">
        <v>0</v>
      </c>
      <c r="E38" s="341">
        <v>0</v>
      </c>
      <c r="F38" s="303">
        <v>0.10690000000000001</v>
      </c>
      <c r="G38" s="347">
        <v>4.3643000000000001</v>
      </c>
      <c r="H38" s="303">
        <v>0.14530000000000001</v>
      </c>
      <c r="I38" s="341">
        <v>9.509999999999999E-2</v>
      </c>
      <c r="J38" s="341">
        <v>1.14E-2</v>
      </c>
      <c r="K38" s="303">
        <v>0.1198</v>
      </c>
      <c r="L38" s="303">
        <v>1.0888</v>
      </c>
      <c r="M38" s="303">
        <v>5.8246000000000002</v>
      </c>
      <c r="N38" s="287"/>
    </row>
    <row r="39" spans="2:14" ht="18" hidden="1">
      <c r="B39" s="329" t="s">
        <v>347</v>
      </c>
      <c r="C39" s="340">
        <v>6.0943000000000005</v>
      </c>
      <c r="D39" s="303">
        <v>0</v>
      </c>
      <c r="E39" s="341">
        <v>0</v>
      </c>
      <c r="F39" s="303">
        <v>0.17</v>
      </c>
      <c r="G39" s="347">
        <v>6.2643000000000004</v>
      </c>
      <c r="H39" s="303">
        <v>0.16669999999999999</v>
      </c>
      <c r="I39" s="341">
        <v>9.240000000000001E-2</v>
      </c>
      <c r="J39" s="341">
        <v>3.8999999999999998E-3</v>
      </c>
      <c r="K39" s="303">
        <v>0.2792</v>
      </c>
      <c r="L39" s="303">
        <v>1.2144000000000001</v>
      </c>
      <c r="M39" s="303">
        <v>8.0208999999999993</v>
      </c>
      <c r="N39" s="287"/>
    </row>
    <row r="40" spans="2:14" ht="18" hidden="1">
      <c r="B40" s="329" t="s">
        <v>12</v>
      </c>
      <c r="C40" s="340">
        <v>4.0219000000000005</v>
      </c>
      <c r="D40" s="303">
        <v>0</v>
      </c>
      <c r="E40" s="341">
        <v>0</v>
      </c>
      <c r="F40" s="303">
        <v>0.20230000000000001</v>
      </c>
      <c r="G40" s="347">
        <v>4.2241999999999997</v>
      </c>
      <c r="H40" s="303">
        <v>0.15109999999999998</v>
      </c>
      <c r="I40" s="341">
        <v>9.8099999999999993E-2</v>
      </c>
      <c r="J40" s="341">
        <v>1.4E-2</v>
      </c>
      <c r="K40" s="303">
        <v>0.3654</v>
      </c>
      <c r="L40" s="303">
        <v>1.5247999999999999</v>
      </c>
      <c r="M40" s="303">
        <v>6.3776000000000002</v>
      </c>
      <c r="N40" s="287"/>
    </row>
    <row r="41" spans="2:14" ht="18" hidden="1">
      <c r="B41" s="329" t="s">
        <v>13</v>
      </c>
      <c r="C41" s="340">
        <v>3.67</v>
      </c>
      <c r="D41" s="303">
        <v>0</v>
      </c>
      <c r="E41" s="341">
        <v>0</v>
      </c>
      <c r="F41" s="303">
        <v>8.9700000000000002E-2</v>
      </c>
      <c r="G41" s="347">
        <v>3.7595999999999998</v>
      </c>
      <c r="H41" s="303">
        <v>0.15280000000000002</v>
      </c>
      <c r="I41" s="341">
        <v>0.106</v>
      </c>
      <c r="J41" s="341">
        <v>1.4E-2</v>
      </c>
      <c r="K41" s="303">
        <v>0.21309999999999998</v>
      </c>
      <c r="L41" s="303">
        <v>2.0510000000000002</v>
      </c>
      <c r="M41" s="303">
        <v>6.2963999999999993</v>
      </c>
      <c r="N41" s="287"/>
    </row>
    <row r="42" spans="2:14" ht="18" hidden="1">
      <c r="B42" s="329" t="s">
        <v>14</v>
      </c>
      <c r="C42" s="340">
        <v>7.1219999999999999</v>
      </c>
      <c r="D42" s="303">
        <v>0</v>
      </c>
      <c r="E42" s="341">
        <v>0</v>
      </c>
      <c r="F42" s="303">
        <v>0.50129999999999997</v>
      </c>
      <c r="G42" s="347">
        <v>7.6233000000000004</v>
      </c>
      <c r="H42" s="303">
        <v>0.55049999999999999</v>
      </c>
      <c r="I42" s="341">
        <v>9.9000000000000005E-2</v>
      </c>
      <c r="J42" s="341">
        <v>1.4E-2</v>
      </c>
      <c r="K42" s="303">
        <v>0.218</v>
      </c>
      <c r="L42" s="303">
        <v>2.113</v>
      </c>
      <c r="M42" s="303">
        <v>10.617599999999999</v>
      </c>
      <c r="N42" s="287"/>
    </row>
    <row r="43" spans="2:14" ht="18" hidden="1">
      <c r="B43" s="329" t="s">
        <v>15</v>
      </c>
      <c r="C43" s="340">
        <v>7.6825000000000001</v>
      </c>
      <c r="D43" s="303">
        <v>0</v>
      </c>
      <c r="E43" s="341">
        <v>0</v>
      </c>
      <c r="F43" s="303">
        <v>0.31569999999999998</v>
      </c>
      <c r="G43" s="347">
        <v>7.9981999999999998</v>
      </c>
      <c r="H43" s="303">
        <v>0.16290000000000002</v>
      </c>
      <c r="I43" s="341">
        <v>0.12179999999999999</v>
      </c>
      <c r="J43" s="341">
        <v>1.4E-2</v>
      </c>
      <c r="K43" s="303">
        <v>0.20430000000000001</v>
      </c>
      <c r="L43" s="303">
        <v>1.9813000000000001</v>
      </c>
      <c r="M43" s="303">
        <v>10.4824</v>
      </c>
      <c r="N43" s="287"/>
    </row>
    <row r="44" spans="2:14" ht="18" hidden="1">
      <c r="B44" s="329" t="s">
        <v>16</v>
      </c>
      <c r="C44" s="340">
        <v>8.2420000000000009</v>
      </c>
      <c r="D44" s="303">
        <v>0</v>
      </c>
      <c r="E44" s="341">
        <v>0</v>
      </c>
      <c r="F44" s="303">
        <v>0.2535</v>
      </c>
      <c r="G44" s="347">
        <v>8.4954999999999998</v>
      </c>
      <c r="H44" s="303">
        <v>1.5952999999999999</v>
      </c>
      <c r="I44" s="341">
        <v>0.1031</v>
      </c>
      <c r="J44" s="341">
        <v>0</v>
      </c>
      <c r="K44" s="303">
        <v>0.1429</v>
      </c>
      <c r="L44" s="303">
        <v>2.3992</v>
      </c>
      <c r="M44" s="303">
        <v>12.736000000000001</v>
      </c>
      <c r="N44" s="287"/>
    </row>
    <row r="45" spans="2:14" ht="18" hidden="1">
      <c r="B45" s="329"/>
      <c r="C45" s="340"/>
      <c r="D45" s="341"/>
      <c r="E45" s="343"/>
      <c r="F45" s="344"/>
      <c r="G45" s="346"/>
      <c r="H45" s="303"/>
      <c r="I45" s="343"/>
      <c r="J45" s="340"/>
      <c r="K45" s="343"/>
      <c r="L45" s="344"/>
      <c r="M45" s="344"/>
      <c r="N45" s="287"/>
    </row>
    <row r="46" spans="2:14" ht="18" hidden="1">
      <c r="B46" s="328">
        <v>2001</v>
      </c>
      <c r="C46" s="344"/>
      <c r="D46" s="340"/>
      <c r="E46" s="343"/>
      <c r="F46" s="344"/>
      <c r="G46" s="346"/>
      <c r="H46" s="303"/>
      <c r="I46" s="343"/>
      <c r="J46" s="340"/>
      <c r="K46" s="343"/>
      <c r="L46" s="344"/>
      <c r="M46" s="344"/>
      <c r="N46" s="287"/>
    </row>
    <row r="47" spans="2:14" ht="18" hidden="1">
      <c r="B47" s="329"/>
      <c r="C47" s="340"/>
      <c r="D47" s="303"/>
      <c r="E47" s="343"/>
      <c r="F47" s="344"/>
      <c r="G47" s="346"/>
      <c r="H47" s="303"/>
      <c r="I47" s="343"/>
      <c r="J47" s="340"/>
      <c r="K47" s="341"/>
      <c r="L47" s="303"/>
      <c r="M47" s="343"/>
      <c r="N47" s="287"/>
    </row>
    <row r="48" spans="2:14" ht="18" hidden="1">
      <c r="B48" s="339" t="s">
        <v>8</v>
      </c>
      <c r="C48" s="340">
        <v>14.027799999999999</v>
      </c>
      <c r="D48" s="303">
        <v>0</v>
      </c>
      <c r="E48" s="341">
        <v>0</v>
      </c>
      <c r="F48" s="303">
        <v>1.1476999999999999</v>
      </c>
      <c r="G48" s="347">
        <f t="shared" ref="G48:G59" si="0">(SUM(C48:F48))/1000</f>
        <v>1.51755E-2</v>
      </c>
      <c r="H48" s="303" t="s">
        <v>1025</v>
      </c>
      <c r="I48" s="341">
        <v>0.15</v>
      </c>
      <c r="J48" s="341">
        <v>1.4E-2</v>
      </c>
      <c r="K48" s="341">
        <v>0.42530000000000001</v>
      </c>
      <c r="L48" s="303">
        <v>2.7931999999999997</v>
      </c>
      <c r="M48" s="303">
        <f t="shared" ref="M48:M59" si="1">(SUM(G48:L48))/1000</f>
        <v>3.3976754999999995E-3</v>
      </c>
      <c r="N48" s="287"/>
    </row>
    <row r="49" spans="2:14" ht="18" hidden="1">
      <c r="B49" s="329" t="s">
        <v>9</v>
      </c>
      <c r="C49" s="340">
        <v>11.2928</v>
      </c>
      <c r="D49" s="303">
        <v>0</v>
      </c>
      <c r="E49" s="341">
        <v>0</v>
      </c>
      <c r="F49" s="303">
        <v>1.0692999999999999</v>
      </c>
      <c r="G49" s="347">
        <f t="shared" si="0"/>
        <v>1.2362099999999999E-2</v>
      </c>
      <c r="H49" s="303">
        <v>0.31210000000000004</v>
      </c>
      <c r="I49" s="341">
        <v>0.11259999999999999</v>
      </c>
      <c r="J49" s="341">
        <v>1.4E-2</v>
      </c>
      <c r="K49" s="341">
        <v>0.25900000000000001</v>
      </c>
      <c r="L49" s="303">
        <v>2.7305999999999999</v>
      </c>
      <c r="M49" s="303">
        <f t="shared" si="1"/>
        <v>3.4406620999999997E-3</v>
      </c>
      <c r="N49" s="287"/>
    </row>
    <row r="50" spans="2:14" ht="18" hidden="1">
      <c r="B50" s="329" t="s">
        <v>10</v>
      </c>
      <c r="C50" s="340">
        <v>12.4773</v>
      </c>
      <c r="D50" s="303">
        <v>0</v>
      </c>
      <c r="E50" s="341">
        <v>0</v>
      </c>
      <c r="F50" s="303">
        <v>1.0931</v>
      </c>
      <c r="G50" s="347">
        <f t="shared" si="0"/>
        <v>1.35704E-2</v>
      </c>
      <c r="H50" s="303">
        <v>0.28000000000000003</v>
      </c>
      <c r="I50" s="341">
        <v>0.11270000000000001</v>
      </c>
      <c r="J50" s="341">
        <v>0.214</v>
      </c>
      <c r="K50" s="341">
        <v>0.25800000000000001</v>
      </c>
      <c r="L50" s="303">
        <v>3.2128000000000001</v>
      </c>
      <c r="M50" s="303">
        <f t="shared" si="1"/>
        <v>4.0910704000000006E-3</v>
      </c>
      <c r="N50" s="287"/>
    </row>
    <row r="51" spans="2:14" ht="18" hidden="1">
      <c r="B51" s="329" t="s">
        <v>11</v>
      </c>
      <c r="C51" s="340">
        <v>11.3561</v>
      </c>
      <c r="D51" s="303">
        <v>0</v>
      </c>
      <c r="E51" s="341">
        <v>0</v>
      </c>
      <c r="F51" s="303">
        <v>1.6125</v>
      </c>
      <c r="G51" s="347">
        <f t="shared" si="0"/>
        <v>1.29686E-2</v>
      </c>
      <c r="H51" s="303">
        <v>1.304</v>
      </c>
      <c r="I51" s="341">
        <v>7.46E-2</v>
      </c>
      <c r="J51" s="341">
        <v>1.2014</v>
      </c>
      <c r="K51" s="341">
        <v>0.1232</v>
      </c>
      <c r="L51" s="303">
        <v>3.2708000000000004</v>
      </c>
      <c r="M51" s="303">
        <f t="shared" si="1"/>
        <v>5.9869686000000007E-3</v>
      </c>
      <c r="N51" s="287"/>
    </row>
    <row r="52" spans="2:14" ht="18" hidden="1">
      <c r="B52" s="329" t="s">
        <v>337</v>
      </c>
      <c r="C52" s="340">
        <v>15.814500000000001</v>
      </c>
      <c r="D52" s="303">
        <v>0</v>
      </c>
      <c r="E52" s="341">
        <v>0</v>
      </c>
      <c r="F52" s="303">
        <v>0.4249</v>
      </c>
      <c r="G52" s="347">
        <f t="shared" si="0"/>
        <v>1.6239400000000001E-2</v>
      </c>
      <c r="H52" s="303">
        <v>0.3901</v>
      </c>
      <c r="I52" s="341">
        <v>7.6999999999999999E-2</v>
      </c>
      <c r="J52" s="341">
        <v>0.83040000000000003</v>
      </c>
      <c r="K52" s="341">
        <v>0.2621</v>
      </c>
      <c r="L52" s="303">
        <v>4.6918999999999995</v>
      </c>
      <c r="M52" s="303">
        <f t="shared" si="1"/>
        <v>6.2677393999999997E-3</v>
      </c>
      <c r="N52" s="287"/>
    </row>
    <row r="53" spans="2:14" ht="18" hidden="1">
      <c r="B53" s="329" t="s">
        <v>346</v>
      </c>
      <c r="C53" s="340">
        <v>17.0305</v>
      </c>
      <c r="D53" s="303">
        <v>0</v>
      </c>
      <c r="E53" s="341">
        <v>0</v>
      </c>
      <c r="F53" s="303">
        <v>0.73070000000000002</v>
      </c>
      <c r="G53" s="347">
        <f t="shared" si="0"/>
        <v>1.7761199999999998E-2</v>
      </c>
      <c r="H53" s="303">
        <v>0.89249999999999996</v>
      </c>
      <c r="I53" s="341">
        <v>7.5400000000000009E-2</v>
      </c>
      <c r="J53" s="341">
        <v>0.30430000000000001</v>
      </c>
      <c r="K53" s="341">
        <v>0.40289999999999998</v>
      </c>
      <c r="L53" s="303">
        <v>5.0907999999999998</v>
      </c>
      <c r="M53" s="303">
        <f t="shared" si="1"/>
        <v>6.7836611999999999E-3</v>
      </c>
      <c r="N53" s="287"/>
    </row>
    <row r="54" spans="2:14" ht="18" hidden="1">
      <c r="B54" s="329" t="s">
        <v>347</v>
      </c>
      <c r="C54" s="340">
        <v>16.5381</v>
      </c>
      <c r="D54" s="303">
        <v>0</v>
      </c>
      <c r="E54" s="341">
        <v>0</v>
      </c>
      <c r="F54" s="303">
        <v>1.4624000000000001</v>
      </c>
      <c r="G54" s="347">
        <f t="shared" si="0"/>
        <v>1.8000499999999999E-2</v>
      </c>
      <c r="H54" s="303">
        <v>0.53</v>
      </c>
      <c r="I54" s="341">
        <v>7.640000000000001E-2</v>
      </c>
      <c r="J54" s="341">
        <v>0.1043</v>
      </c>
      <c r="K54" s="341">
        <v>0.53810000000000002</v>
      </c>
      <c r="L54" s="303">
        <v>5.9581</v>
      </c>
      <c r="M54" s="303">
        <f t="shared" si="1"/>
        <v>7.2249005E-3</v>
      </c>
      <c r="N54" s="287"/>
    </row>
    <row r="55" spans="2:14" ht="18" hidden="1">
      <c r="B55" s="329" t="s">
        <v>12</v>
      </c>
      <c r="C55" s="340">
        <v>15.1165</v>
      </c>
      <c r="D55" s="303">
        <v>0</v>
      </c>
      <c r="E55" s="341">
        <v>0</v>
      </c>
      <c r="F55" s="303">
        <v>0.90539999999999998</v>
      </c>
      <c r="G55" s="347">
        <f t="shared" si="0"/>
        <v>1.6021899999999999E-2</v>
      </c>
      <c r="H55" s="303">
        <v>0.93110000000000004</v>
      </c>
      <c r="I55" s="341">
        <v>9.6799999999999997E-2</v>
      </c>
      <c r="J55" s="341">
        <v>0.1043</v>
      </c>
      <c r="K55" s="341">
        <v>0.61890000000000001</v>
      </c>
      <c r="L55" s="303">
        <v>5.0421000000000005</v>
      </c>
      <c r="M55" s="303">
        <f t="shared" si="1"/>
        <v>6.8092219000000006E-3</v>
      </c>
      <c r="N55" s="287"/>
    </row>
    <row r="56" spans="2:14" ht="18" hidden="1">
      <c r="B56" s="329" t="s">
        <v>13</v>
      </c>
      <c r="C56" s="340">
        <v>13.142700000000001</v>
      </c>
      <c r="D56" s="303">
        <v>0</v>
      </c>
      <c r="E56" s="341">
        <v>0</v>
      </c>
      <c r="F56" s="303">
        <v>1.3268</v>
      </c>
      <c r="G56" s="347">
        <f t="shared" si="0"/>
        <v>1.4469500000000001E-2</v>
      </c>
      <c r="H56" s="303">
        <v>1.1344000000000001</v>
      </c>
      <c r="I56" s="341">
        <v>0.14749999999999999</v>
      </c>
      <c r="J56" s="341">
        <v>0.1043</v>
      </c>
      <c r="K56" s="341">
        <v>0.58410000000000006</v>
      </c>
      <c r="L56" s="303">
        <v>4.8248999999999995</v>
      </c>
      <c r="M56" s="303">
        <f t="shared" si="1"/>
        <v>6.8096694999999997E-3</v>
      </c>
      <c r="N56" s="287"/>
    </row>
    <row r="57" spans="2:14" ht="18" hidden="1">
      <c r="B57" s="329" t="s">
        <v>14</v>
      </c>
      <c r="C57" s="340">
        <v>14.618600000000001</v>
      </c>
      <c r="D57" s="303">
        <v>0</v>
      </c>
      <c r="E57" s="341">
        <v>0</v>
      </c>
      <c r="F57" s="303">
        <v>1.7258</v>
      </c>
      <c r="G57" s="347">
        <f t="shared" si="0"/>
        <v>1.6344400000000002E-2</v>
      </c>
      <c r="H57" s="303">
        <v>1.0429000000000002</v>
      </c>
      <c r="I57" s="341">
        <v>0.10640000000000001</v>
      </c>
      <c r="J57" s="341">
        <v>4.3E-3</v>
      </c>
      <c r="K57" s="341">
        <v>0.84199999999999997</v>
      </c>
      <c r="L57" s="303">
        <v>6.0555000000000003</v>
      </c>
      <c r="M57" s="303">
        <f t="shared" si="1"/>
        <v>8.0674444000000001E-3</v>
      </c>
      <c r="N57" s="287"/>
    </row>
    <row r="58" spans="2:14" ht="18" hidden="1">
      <c r="B58" s="329" t="s">
        <v>15</v>
      </c>
      <c r="C58" s="340">
        <v>13.456700000000001</v>
      </c>
      <c r="D58" s="303">
        <v>0</v>
      </c>
      <c r="E58" s="341">
        <v>0</v>
      </c>
      <c r="F58" s="303">
        <v>1.1762999999999999</v>
      </c>
      <c r="G58" s="347">
        <f t="shared" si="0"/>
        <v>1.4633E-2</v>
      </c>
      <c r="H58" s="303">
        <v>1.0857000000000001</v>
      </c>
      <c r="I58" s="341">
        <v>8.8999999999999996E-2</v>
      </c>
      <c r="J58" s="341">
        <v>0.2402</v>
      </c>
      <c r="K58" s="341">
        <v>0.64410000000000001</v>
      </c>
      <c r="L58" s="303">
        <v>6.3818999999999999</v>
      </c>
      <c r="M58" s="303">
        <f t="shared" si="1"/>
        <v>8.4555329999999995E-3</v>
      </c>
      <c r="N58" s="287"/>
    </row>
    <row r="59" spans="2:14" ht="18" hidden="1">
      <c r="B59" s="329" t="s">
        <v>16</v>
      </c>
      <c r="C59" s="340">
        <v>10.9725</v>
      </c>
      <c r="D59" s="303">
        <v>0</v>
      </c>
      <c r="E59" s="341">
        <v>0</v>
      </c>
      <c r="F59" s="303">
        <v>1.2152000000000001</v>
      </c>
      <c r="G59" s="347">
        <f t="shared" si="0"/>
        <v>1.2187699999999999E-2</v>
      </c>
      <c r="H59" s="303">
        <v>1.1790999999999998</v>
      </c>
      <c r="I59" s="341">
        <v>8.3699999999999997E-2</v>
      </c>
      <c r="J59" s="341">
        <v>0.35020000000000001</v>
      </c>
      <c r="K59" s="341">
        <v>0.94289999999999996</v>
      </c>
      <c r="L59" s="303">
        <v>6.8478000000000003</v>
      </c>
      <c r="M59" s="303">
        <f t="shared" si="1"/>
        <v>9.4158876999999985E-3</v>
      </c>
      <c r="N59" s="287"/>
    </row>
    <row r="60" spans="2:14" ht="18" hidden="1">
      <c r="B60" s="329"/>
      <c r="C60" s="340">
        <v>0</v>
      </c>
      <c r="D60" s="303">
        <v>0</v>
      </c>
      <c r="E60" s="341">
        <v>0</v>
      </c>
      <c r="F60" s="303">
        <v>0</v>
      </c>
      <c r="G60" s="347">
        <v>0</v>
      </c>
      <c r="H60" s="303">
        <v>0</v>
      </c>
      <c r="I60" s="341">
        <v>0</v>
      </c>
      <c r="J60" s="341">
        <v>0</v>
      </c>
      <c r="K60" s="341">
        <v>0</v>
      </c>
      <c r="L60" s="303">
        <v>0</v>
      </c>
      <c r="M60" s="303">
        <v>0</v>
      </c>
      <c r="N60" s="287"/>
    </row>
    <row r="61" spans="2:14" ht="18" hidden="1">
      <c r="B61" s="348">
        <v>2002</v>
      </c>
      <c r="C61" s="344"/>
      <c r="D61" s="340"/>
      <c r="E61" s="341"/>
      <c r="F61" s="303"/>
      <c r="G61" s="347"/>
      <c r="H61" s="303"/>
      <c r="I61" s="341"/>
      <c r="J61" s="341"/>
      <c r="K61" s="341"/>
      <c r="L61" s="303"/>
      <c r="M61" s="303"/>
      <c r="N61" s="287"/>
    </row>
    <row r="62" spans="2:14" ht="18" hidden="1">
      <c r="B62" s="329"/>
      <c r="C62" s="340"/>
      <c r="D62" s="341"/>
      <c r="E62" s="343"/>
      <c r="F62" s="344"/>
      <c r="G62" s="346"/>
      <c r="H62" s="303"/>
      <c r="I62" s="303"/>
      <c r="J62" s="341"/>
      <c r="K62" s="341"/>
      <c r="L62" s="347"/>
      <c r="M62" s="303"/>
      <c r="N62" s="287"/>
    </row>
    <row r="63" spans="2:14" ht="18" hidden="1">
      <c r="B63" s="339" t="s">
        <v>8</v>
      </c>
      <c r="C63" s="340">
        <v>12.5815</v>
      </c>
      <c r="D63" s="341">
        <v>0</v>
      </c>
      <c r="E63" s="347">
        <v>0</v>
      </c>
      <c r="F63" s="303">
        <v>1.6476999999999999</v>
      </c>
      <c r="G63" s="347">
        <f t="shared" ref="G63:G73" si="2">(SUM(C63:F63))/1000</f>
        <v>1.4229200000000001E-2</v>
      </c>
      <c r="H63" s="303">
        <v>1.1035999999999999</v>
      </c>
      <c r="I63" s="303">
        <v>9.6799999999999997E-2</v>
      </c>
      <c r="J63" s="341">
        <v>0.54720000000000002</v>
      </c>
      <c r="K63" s="341">
        <v>1.085</v>
      </c>
      <c r="L63" s="347">
        <v>6.9298000000000002</v>
      </c>
      <c r="M63" s="303">
        <f t="shared" ref="M63:M74" si="3">(SUM(G63:L63))/1000</f>
        <v>9.7766292000000012E-3</v>
      </c>
      <c r="N63" s="287"/>
    </row>
    <row r="64" spans="2:14" ht="18" hidden="1">
      <c r="B64" s="329" t="s">
        <v>9</v>
      </c>
      <c r="C64" s="340">
        <v>10.0402</v>
      </c>
      <c r="D64" s="341">
        <v>0</v>
      </c>
      <c r="E64" s="347">
        <v>0</v>
      </c>
      <c r="F64" s="303">
        <v>2.4503000000000004</v>
      </c>
      <c r="G64" s="347">
        <f t="shared" si="2"/>
        <v>1.2490500000000002E-2</v>
      </c>
      <c r="H64" s="303">
        <v>1.4469000000000001</v>
      </c>
      <c r="I64" s="303">
        <v>0.2286</v>
      </c>
      <c r="J64" s="341">
        <v>0.54720000000000002</v>
      </c>
      <c r="K64" s="341">
        <v>6.43</v>
      </c>
      <c r="L64" s="347">
        <v>5.6788999999999996</v>
      </c>
      <c r="M64" s="303">
        <f t="shared" si="3"/>
        <v>1.43440905E-2</v>
      </c>
      <c r="N64" s="287"/>
    </row>
    <row r="65" spans="2:14" ht="18" hidden="1">
      <c r="B65" s="329" t="s">
        <v>10</v>
      </c>
      <c r="C65" s="340">
        <v>11.811500000000001</v>
      </c>
      <c r="D65" s="341">
        <v>0</v>
      </c>
      <c r="E65" s="347">
        <v>0</v>
      </c>
      <c r="F65" s="303">
        <v>1.9482999999999999</v>
      </c>
      <c r="G65" s="347">
        <f t="shared" si="2"/>
        <v>1.3759800000000001E-2</v>
      </c>
      <c r="H65" s="303">
        <v>1.0775999999999999</v>
      </c>
      <c r="I65" s="303">
        <v>0.3508</v>
      </c>
      <c r="J65" s="341">
        <v>0.69720000000000004</v>
      </c>
      <c r="K65" s="341">
        <v>6.3758999999999997</v>
      </c>
      <c r="L65" s="347">
        <v>6.4756</v>
      </c>
      <c r="M65" s="303">
        <f t="shared" si="3"/>
        <v>1.4990859799999999E-2</v>
      </c>
      <c r="N65" s="287"/>
    </row>
    <row r="66" spans="2:14" ht="18" hidden="1">
      <c r="B66" s="329" t="s">
        <v>11</v>
      </c>
      <c r="C66" s="340">
        <v>23.0731</v>
      </c>
      <c r="D66" s="341">
        <v>0</v>
      </c>
      <c r="E66" s="347">
        <v>0</v>
      </c>
      <c r="F66" s="303">
        <v>5.2355</v>
      </c>
      <c r="G66" s="347">
        <f t="shared" si="2"/>
        <v>2.83086E-2</v>
      </c>
      <c r="H66" s="303">
        <v>0.69799999999999995</v>
      </c>
      <c r="I66" s="303">
        <v>7.7799999999999994E-2</v>
      </c>
      <c r="J66" s="341">
        <v>0.69720000000000004</v>
      </c>
      <c r="K66" s="341">
        <v>6.8280000000000003</v>
      </c>
      <c r="L66" s="347">
        <v>7.3033000000000001</v>
      </c>
      <c r="M66" s="303">
        <f t="shared" si="3"/>
        <v>1.56326086E-2</v>
      </c>
      <c r="N66" s="287"/>
    </row>
    <row r="67" spans="2:14" ht="18" hidden="1">
      <c r="B67" s="329" t="s">
        <v>337</v>
      </c>
      <c r="C67" s="340">
        <v>27.285299999999999</v>
      </c>
      <c r="D67" s="341">
        <v>0</v>
      </c>
      <c r="E67" s="347">
        <v>0</v>
      </c>
      <c r="F67" s="303">
        <v>4.8174999999999999</v>
      </c>
      <c r="G67" s="347">
        <f t="shared" si="2"/>
        <v>3.2102800000000001E-2</v>
      </c>
      <c r="H67" s="303">
        <v>0.98939999999999995</v>
      </c>
      <c r="I67" s="303">
        <v>0.21730000000000002</v>
      </c>
      <c r="J67" s="341">
        <v>0.69720000000000004</v>
      </c>
      <c r="K67" s="341">
        <v>8.281600000000001</v>
      </c>
      <c r="L67" s="347">
        <v>11.988799999999999</v>
      </c>
      <c r="M67" s="303">
        <f t="shared" si="3"/>
        <v>2.22064028E-2</v>
      </c>
      <c r="N67" s="287"/>
    </row>
    <row r="68" spans="2:14" ht="18" hidden="1">
      <c r="B68" s="329" t="s">
        <v>346</v>
      </c>
      <c r="C68" s="340">
        <v>18.402099999999997</v>
      </c>
      <c r="D68" s="341">
        <v>0</v>
      </c>
      <c r="E68" s="347">
        <v>0</v>
      </c>
      <c r="F68" s="303">
        <v>1.9093</v>
      </c>
      <c r="G68" s="347">
        <f t="shared" si="2"/>
        <v>2.03114E-2</v>
      </c>
      <c r="H68" s="303">
        <v>2.1150000000000002</v>
      </c>
      <c r="I68" s="303">
        <v>8.2500000000000004E-2</v>
      </c>
      <c r="J68" s="341">
        <v>0.70720000000000005</v>
      </c>
      <c r="K68" s="341">
        <v>7.7073</v>
      </c>
      <c r="L68" s="347">
        <v>14.8301</v>
      </c>
      <c r="M68" s="303">
        <f t="shared" si="3"/>
        <v>2.5462411399999999E-2</v>
      </c>
      <c r="N68" s="287"/>
    </row>
    <row r="69" spans="2:14" ht="18" hidden="1">
      <c r="B69" s="329" t="s">
        <v>347</v>
      </c>
      <c r="C69" s="340">
        <v>16.947299999999998</v>
      </c>
      <c r="D69" s="341">
        <v>0</v>
      </c>
      <c r="E69" s="347">
        <v>0</v>
      </c>
      <c r="F69" s="303">
        <v>3.9836999999999998</v>
      </c>
      <c r="G69" s="347">
        <f t="shared" si="2"/>
        <v>2.0930999999999998E-2</v>
      </c>
      <c r="H69" s="303">
        <v>7.2266000000000004</v>
      </c>
      <c r="I69" s="303">
        <v>0.24349999999999999</v>
      </c>
      <c r="J69" s="341">
        <v>0.70720000000000005</v>
      </c>
      <c r="K69" s="341">
        <v>7.5531999999999995</v>
      </c>
      <c r="L69" s="347">
        <v>9.4692999999999987</v>
      </c>
      <c r="M69" s="303">
        <f t="shared" si="3"/>
        <v>2.5220731E-2</v>
      </c>
      <c r="N69" s="287"/>
    </row>
    <row r="70" spans="2:14" ht="18" hidden="1">
      <c r="B70" s="329" t="s">
        <v>12</v>
      </c>
      <c r="C70" s="340">
        <v>17.7241</v>
      </c>
      <c r="D70" s="341">
        <v>0</v>
      </c>
      <c r="E70" s="347">
        <v>0</v>
      </c>
      <c r="F70" s="303">
        <v>4.2628000000000004</v>
      </c>
      <c r="G70" s="347">
        <f t="shared" si="2"/>
        <v>2.19869E-2</v>
      </c>
      <c r="H70" s="303">
        <v>5.4901999999999997</v>
      </c>
      <c r="I70" s="303">
        <v>0.24349999999999999</v>
      </c>
      <c r="J70" s="341">
        <v>0.70720000000000005</v>
      </c>
      <c r="K70" s="341">
        <v>8.6065000000000005</v>
      </c>
      <c r="L70" s="347">
        <v>9.3797999999999995</v>
      </c>
      <c r="M70" s="303">
        <f t="shared" si="3"/>
        <v>2.4449186899999999E-2</v>
      </c>
      <c r="N70" s="287"/>
    </row>
    <row r="71" spans="2:14" ht="18" hidden="1">
      <c r="B71" s="329" t="s">
        <v>13</v>
      </c>
      <c r="C71" s="340">
        <v>27.539099999999998</v>
      </c>
      <c r="D71" s="341">
        <v>0</v>
      </c>
      <c r="E71" s="347">
        <v>0</v>
      </c>
      <c r="F71" s="303">
        <v>3.0301</v>
      </c>
      <c r="G71" s="347">
        <f t="shared" si="2"/>
        <v>3.0569199999999998E-2</v>
      </c>
      <c r="H71" s="303">
        <v>2.5305999999999997</v>
      </c>
      <c r="I71" s="303">
        <v>9.35E-2</v>
      </c>
      <c r="J71" s="341">
        <v>0.70720000000000005</v>
      </c>
      <c r="K71" s="341">
        <v>8.8792999999999989</v>
      </c>
      <c r="L71" s="347">
        <v>9.7016000000000009</v>
      </c>
      <c r="M71" s="303">
        <f t="shared" si="3"/>
        <v>2.19427692E-2</v>
      </c>
      <c r="N71" s="287"/>
    </row>
    <row r="72" spans="2:14" ht="18" hidden="1">
      <c r="B72" s="329" t="s">
        <v>14</v>
      </c>
      <c r="C72" s="340">
        <v>21.730799999999999</v>
      </c>
      <c r="D72" s="341">
        <v>0</v>
      </c>
      <c r="E72" s="347">
        <v>0</v>
      </c>
      <c r="F72" s="303">
        <v>3.8328000000000002</v>
      </c>
      <c r="G72" s="347">
        <f t="shared" si="2"/>
        <v>2.5563599999999999E-2</v>
      </c>
      <c r="H72" s="303">
        <v>11.6531</v>
      </c>
      <c r="I72" s="303">
        <v>9.35E-2</v>
      </c>
      <c r="J72" s="341">
        <v>0.70720000000000005</v>
      </c>
      <c r="K72" s="341">
        <v>9.2562999999999995</v>
      </c>
      <c r="L72" s="347">
        <v>9.819799999999999</v>
      </c>
      <c r="M72" s="303">
        <f t="shared" si="3"/>
        <v>3.15554636E-2</v>
      </c>
      <c r="N72" s="287"/>
    </row>
    <row r="73" spans="2:14" ht="18" hidden="1">
      <c r="B73" s="329" t="s">
        <v>15</v>
      </c>
      <c r="C73" s="340">
        <v>20.7531</v>
      </c>
      <c r="D73" s="341">
        <v>0</v>
      </c>
      <c r="E73" s="347">
        <v>0</v>
      </c>
      <c r="F73" s="303">
        <v>4.9166000000000007</v>
      </c>
      <c r="G73" s="347">
        <f t="shared" si="2"/>
        <v>2.56697E-2</v>
      </c>
      <c r="H73" s="303">
        <v>12.577200000000001</v>
      </c>
      <c r="I73" s="303">
        <v>0.1065</v>
      </c>
      <c r="J73" s="341">
        <v>1.4864999999999999</v>
      </c>
      <c r="K73" s="341">
        <v>13.250200000000001</v>
      </c>
      <c r="L73" s="347">
        <v>12.779500000000001</v>
      </c>
      <c r="M73" s="303">
        <f t="shared" si="3"/>
        <v>4.0225569699999998E-2</v>
      </c>
      <c r="N73" s="287"/>
    </row>
    <row r="74" spans="2:14" ht="18" hidden="1">
      <c r="B74" s="329" t="s">
        <v>16</v>
      </c>
      <c r="C74" s="340">
        <v>23.916400000000003</v>
      </c>
      <c r="D74" s="341">
        <v>0</v>
      </c>
      <c r="E74" s="347">
        <v>0</v>
      </c>
      <c r="F74" s="303">
        <v>5.1935000000000002</v>
      </c>
      <c r="G74" s="347">
        <v>29.109900000000003</v>
      </c>
      <c r="H74" s="303">
        <v>6.1661999999999999</v>
      </c>
      <c r="I74" s="303">
        <v>0.4037</v>
      </c>
      <c r="J74" s="341">
        <v>0.70720000000000005</v>
      </c>
      <c r="K74" s="341">
        <v>10.925700000000001</v>
      </c>
      <c r="L74" s="347">
        <v>13.0472</v>
      </c>
      <c r="M74" s="303">
        <f t="shared" si="3"/>
        <v>6.0359899999999994E-2</v>
      </c>
      <c r="N74" s="287"/>
    </row>
    <row r="75" spans="2:14" ht="18" hidden="1">
      <c r="B75" s="329"/>
      <c r="C75" s="340"/>
      <c r="D75" s="341"/>
      <c r="E75" s="347"/>
      <c r="F75" s="303"/>
      <c r="G75" s="347"/>
      <c r="H75" s="303"/>
      <c r="I75" s="303"/>
      <c r="J75" s="341"/>
      <c r="K75" s="341"/>
      <c r="L75" s="347"/>
      <c r="M75" s="303"/>
      <c r="N75" s="287"/>
    </row>
    <row r="76" spans="2:14" ht="18" hidden="1">
      <c r="B76" s="348">
        <v>2003</v>
      </c>
      <c r="C76" s="340"/>
      <c r="D76" s="341"/>
      <c r="E76" s="347"/>
      <c r="F76" s="303"/>
      <c r="G76" s="347"/>
      <c r="H76" s="303"/>
      <c r="I76" s="303"/>
      <c r="J76" s="341"/>
      <c r="K76" s="341"/>
      <c r="L76" s="347"/>
      <c r="M76" s="303"/>
      <c r="N76" s="287"/>
    </row>
    <row r="77" spans="2:14" ht="18" hidden="1">
      <c r="B77" s="329"/>
      <c r="C77" s="340"/>
      <c r="D77" s="341"/>
      <c r="E77" s="347"/>
      <c r="F77" s="303"/>
      <c r="G77" s="347"/>
      <c r="H77" s="303"/>
      <c r="I77" s="303"/>
      <c r="J77" s="341"/>
      <c r="K77" s="341"/>
      <c r="L77" s="347"/>
      <c r="M77" s="303"/>
      <c r="N77" s="287"/>
    </row>
    <row r="78" spans="2:14" ht="18" hidden="1">
      <c r="B78" s="329" t="s">
        <v>8</v>
      </c>
      <c r="C78" s="340">
        <v>25.677499999999998</v>
      </c>
      <c r="D78" s="341">
        <v>0.97329999999999994</v>
      </c>
      <c r="E78" s="347">
        <v>0</v>
      </c>
      <c r="F78" s="303">
        <v>2.9674</v>
      </c>
      <c r="G78" s="347">
        <f t="shared" ref="G78:G83" si="4">(SUM(C78:F78))/1000</f>
        <v>2.9618199999999997E-2</v>
      </c>
      <c r="H78" s="303">
        <v>13.708299999999999</v>
      </c>
      <c r="I78" s="303">
        <v>9.3700000000000006E-2</v>
      </c>
      <c r="J78" s="341">
        <v>0.70720000000000005</v>
      </c>
      <c r="K78" s="341">
        <v>14.4602</v>
      </c>
      <c r="L78" s="347">
        <v>11.7981</v>
      </c>
      <c r="M78" s="303">
        <f t="shared" ref="M78:M83" si="5">(SUM(G78:L78))/1000</f>
        <v>4.0797118200000003E-2</v>
      </c>
      <c r="N78" s="287"/>
    </row>
    <row r="79" spans="2:14" ht="18" hidden="1">
      <c r="B79" s="329" t="s">
        <v>9</v>
      </c>
      <c r="C79" s="340">
        <v>23.606099999999998</v>
      </c>
      <c r="D79" s="341">
        <v>0.29769999999999996</v>
      </c>
      <c r="E79" s="347">
        <v>0</v>
      </c>
      <c r="F79" s="303">
        <v>2.7013000000000003</v>
      </c>
      <c r="G79" s="347">
        <f t="shared" si="4"/>
        <v>2.6605099999999996E-2</v>
      </c>
      <c r="H79" s="303">
        <v>18.608900000000002</v>
      </c>
      <c r="I79" s="303">
        <v>9.3700000000000006E-2</v>
      </c>
      <c r="J79" s="341">
        <v>0.70720000000000005</v>
      </c>
      <c r="K79" s="341">
        <v>13.787799999999999</v>
      </c>
      <c r="L79" s="347">
        <v>14.2951</v>
      </c>
      <c r="M79" s="303">
        <f t="shared" si="5"/>
        <v>4.7519305099999999E-2</v>
      </c>
      <c r="N79" s="287"/>
    </row>
    <row r="80" spans="2:14" ht="18" hidden="1">
      <c r="B80" s="329" t="s">
        <v>10</v>
      </c>
      <c r="C80" s="340">
        <v>15.720799999999999</v>
      </c>
      <c r="D80" s="341">
        <v>0.91510000000000002</v>
      </c>
      <c r="E80" s="347">
        <v>0</v>
      </c>
      <c r="F80" s="303">
        <v>10.0184</v>
      </c>
      <c r="G80" s="347">
        <f t="shared" si="4"/>
        <v>2.6654299999999999E-2</v>
      </c>
      <c r="H80" s="303">
        <v>20.057200000000002</v>
      </c>
      <c r="I80" s="303">
        <v>9.3700000000000006E-2</v>
      </c>
      <c r="J80" s="341">
        <v>0.70720000000000005</v>
      </c>
      <c r="K80" s="341">
        <v>13.762499999999999</v>
      </c>
      <c r="L80" s="347">
        <v>17.440200000000001</v>
      </c>
      <c r="M80" s="303">
        <f t="shared" si="5"/>
        <v>5.2087454300000002E-2</v>
      </c>
      <c r="N80" s="287"/>
    </row>
    <row r="81" spans="2:14" ht="18" hidden="1">
      <c r="B81" s="329" t="s">
        <v>11</v>
      </c>
      <c r="C81" s="340">
        <v>23.187799999999999</v>
      </c>
      <c r="D81" s="341">
        <v>1.2107999999999999</v>
      </c>
      <c r="E81" s="347">
        <v>0</v>
      </c>
      <c r="F81" s="303">
        <v>10.047600000000001</v>
      </c>
      <c r="G81" s="347">
        <f t="shared" si="4"/>
        <v>3.4446199999999996E-2</v>
      </c>
      <c r="H81" s="303">
        <v>29.203799999999998</v>
      </c>
      <c r="I81" s="303">
        <v>9.3700000000000006E-2</v>
      </c>
      <c r="J81" s="341">
        <v>0.70720000000000005</v>
      </c>
      <c r="K81" s="341">
        <v>15.333600000000001</v>
      </c>
      <c r="L81" s="347">
        <v>19.275400000000001</v>
      </c>
      <c r="M81" s="303">
        <f t="shared" si="5"/>
        <v>6.4648146200000006E-2</v>
      </c>
      <c r="N81" s="287"/>
    </row>
    <row r="82" spans="2:14" ht="18" hidden="1">
      <c r="B82" s="329" t="s">
        <v>337</v>
      </c>
      <c r="C82" s="340">
        <v>23.5106</v>
      </c>
      <c r="D82" s="341">
        <v>1.2610999999999999</v>
      </c>
      <c r="E82" s="347">
        <v>0</v>
      </c>
      <c r="F82" s="303">
        <v>11.184100000000001</v>
      </c>
      <c r="G82" s="347">
        <f t="shared" si="4"/>
        <v>3.5955799999999996E-2</v>
      </c>
      <c r="H82" s="303">
        <v>23.749200000000002</v>
      </c>
      <c r="I82" s="303">
        <v>9.3700000000000006E-2</v>
      </c>
      <c r="J82" s="341">
        <v>0.70720000000000005</v>
      </c>
      <c r="K82" s="341">
        <v>18.8734</v>
      </c>
      <c r="L82" s="347">
        <v>21.2301</v>
      </c>
      <c r="M82" s="303">
        <f t="shared" si="5"/>
        <v>6.4689555799999993E-2</v>
      </c>
      <c r="N82" s="287"/>
    </row>
    <row r="83" spans="2:14" ht="18" hidden="1">
      <c r="B83" s="329" t="s">
        <v>346</v>
      </c>
      <c r="C83" s="340">
        <v>39.507599999999996</v>
      </c>
      <c r="D83" s="341">
        <v>1.2637</v>
      </c>
      <c r="E83" s="347">
        <v>0</v>
      </c>
      <c r="F83" s="303">
        <v>6.4528999999999996</v>
      </c>
      <c r="G83" s="347">
        <f t="shared" si="4"/>
        <v>4.7224199999999994E-2</v>
      </c>
      <c r="H83" s="303">
        <v>26.717500000000001</v>
      </c>
      <c r="I83" s="303">
        <v>9.3700000000000006E-2</v>
      </c>
      <c r="J83" s="341">
        <v>0.70720000000000005</v>
      </c>
      <c r="K83" s="341">
        <v>21.596599999999999</v>
      </c>
      <c r="L83" s="347">
        <v>24.854700000000001</v>
      </c>
      <c r="M83" s="303">
        <f t="shared" si="5"/>
        <v>7.40169242E-2</v>
      </c>
      <c r="N83" s="287"/>
    </row>
    <row r="84" spans="2:14" ht="18" hidden="1">
      <c r="B84" s="348">
        <v>2003</v>
      </c>
      <c r="C84" s="340"/>
      <c r="D84" s="341"/>
      <c r="E84" s="347"/>
      <c r="F84" s="303"/>
      <c r="G84" s="347"/>
      <c r="H84" s="303"/>
      <c r="I84" s="303"/>
      <c r="J84" s="341"/>
      <c r="K84" s="341"/>
      <c r="L84" s="347"/>
      <c r="M84" s="303"/>
      <c r="N84" s="287"/>
    </row>
    <row r="85" spans="2:14" ht="18" hidden="1">
      <c r="B85" s="329"/>
      <c r="C85" s="340"/>
      <c r="D85" s="341"/>
      <c r="E85" s="347"/>
      <c r="F85" s="303"/>
      <c r="G85" s="347"/>
      <c r="H85" s="303"/>
      <c r="I85" s="303"/>
      <c r="J85" s="341"/>
      <c r="K85" s="341"/>
      <c r="L85" s="347"/>
      <c r="M85" s="303"/>
      <c r="N85" s="287"/>
    </row>
    <row r="86" spans="2:14" ht="18" hidden="1">
      <c r="B86" s="329" t="s">
        <v>347</v>
      </c>
      <c r="C86" s="340">
        <v>49.227599999999995</v>
      </c>
      <c r="D86" s="341">
        <v>0.82110000000000005</v>
      </c>
      <c r="E86" s="347">
        <v>0</v>
      </c>
      <c r="F86" s="303">
        <v>14.209899999999999</v>
      </c>
      <c r="G86" s="347">
        <f t="shared" ref="G86:G91" si="6">(SUM(C86:F86))/1000</f>
        <v>6.4258599999999999E-2</v>
      </c>
      <c r="H86" s="303">
        <v>29.331900000000001</v>
      </c>
      <c r="I86" s="303">
        <v>9.3700000000000006E-2</v>
      </c>
      <c r="J86" s="341">
        <v>0.70720000000000005</v>
      </c>
      <c r="K86" s="341">
        <v>23.060200000000002</v>
      </c>
      <c r="L86" s="347">
        <v>28.459299999999999</v>
      </c>
      <c r="M86" s="303">
        <f t="shared" ref="M86:M91" si="7">(SUM(G86:L86))/1000</f>
        <v>8.1716558600000003E-2</v>
      </c>
      <c r="N86" s="287"/>
    </row>
    <row r="87" spans="2:14" ht="18" hidden="1">
      <c r="B87" s="329" t="s">
        <v>12</v>
      </c>
      <c r="C87" s="340">
        <v>48.248100000000001</v>
      </c>
      <c r="D87" s="341">
        <v>2.6265999999999998</v>
      </c>
      <c r="E87" s="347">
        <v>0</v>
      </c>
      <c r="F87" s="303">
        <v>28.516299999999998</v>
      </c>
      <c r="G87" s="347">
        <f t="shared" si="6"/>
        <v>7.9391000000000003E-2</v>
      </c>
      <c r="H87" s="303">
        <v>23.242799999999999</v>
      </c>
      <c r="I87" s="303">
        <v>9.3700000000000006E-2</v>
      </c>
      <c r="J87" s="341">
        <v>0.70720000000000005</v>
      </c>
      <c r="K87" s="341">
        <v>23.382000000000001</v>
      </c>
      <c r="L87" s="347">
        <v>35.149699999999996</v>
      </c>
      <c r="M87" s="303">
        <f t="shared" si="7"/>
        <v>8.2654790999999991E-2</v>
      </c>
      <c r="N87" s="287"/>
    </row>
    <row r="88" spans="2:14" ht="18" hidden="1">
      <c r="B88" s="329" t="s">
        <v>13</v>
      </c>
      <c r="C88" s="340">
        <v>41.617800000000003</v>
      </c>
      <c r="D88" s="341">
        <v>0.52260000000000006</v>
      </c>
      <c r="E88" s="347">
        <v>0</v>
      </c>
      <c r="F88" s="303">
        <v>30.055</v>
      </c>
      <c r="G88" s="347">
        <f t="shared" si="6"/>
        <v>7.2195400000000007E-2</v>
      </c>
      <c r="H88" s="303">
        <v>27.5122</v>
      </c>
      <c r="I88" s="303">
        <v>9.3700000000000006E-2</v>
      </c>
      <c r="J88" s="341">
        <v>0.70720000000000005</v>
      </c>
      <c r="K88" s="341">
        <v>22.095299999999998</v>
      </c>
      <c r="L88" s="347">
        <v>57.369800000000005</v>
      </c>
      <c r="M88" s="303">
        <f t="shared" si="7"/>
        <v>0.10785039539999999</v>
      </c>
      <c r="N88" s="287"/>
    </row>
    <row r="89" spans="2:14" ht="18" hidden="1">
      <c r="B89" s="329" t="s">
        <v>14</v>
      </c>
      <c r="C89" s="340">
        <v>30.391999999999999</v>
      </c>
      <c r="D89" s="341">
        <v>0.34799999999999998</v>
      </c>
      <c r="E89" s="347">
        <v>0</v>
      </c>
      <c r="F89" s="303">
        <v>14.0518</v>
      </c>
      <c r="G89" s="347">
        <f t="shared" si="6"/>
        <v>4.4791799999999993E-2</v>
      </c>
      <c r="H89" s="303">
        <v>44.614100000000001</v>
      </c>
      <c r="I89" s="303">
        <v>9.3700000000000006E-2</v>
      </c>
      <c r="J89" s="341">
        <v>0.70720000000000005</v>
      </c>
      <c r="K89" s="341">
        <v>17.886900000000001</v>
      </c>
      <c r="L89" s="347">
        <v>75.895699999999991</v>
      </c>
      <c r="M89" s="303">
        <f t="shared" si="7"/>
        <v>0.1392423918</v>
      </c>
      <c r="N89" s="287"/>
    </row>
    <row r="90" spans="2:14" ht="18" hidden="1">
      <c r="B90" s="329" t="s">
        <v>15</v>
      </c>
      <c r="C90" s="340">
        <v>31.472099999999998</v>
      </c>
      <c r="D90" s="341">
        <v>0.34799999999999998</v>
      </c>
      <c r="E90" s="347">
        <v>0</v>
      </c>
      <c r="F90" s="303">
        <v>38.339300000000001</v>
      </c>
      <c r="G90" s="347">
        <f t="shared" si="6"/>
        <v>7.0159400000000011E-2</v>
      </c>
      <c r="H90" s="303">
        <v>60.790999999999997</v>
      </c>
      <c r="I90" s="303">
        <v>9.3700000000000006E-2</v>
      </c>
      <c r="J90" s="341">
        <v>0.70720000000000005</v>
      </c>
      <c r="K90" s="341">
        <v>30.016299999999998</v>
      </c>
      <c r="L90" s="347">
        <v>117.91080000000001</v>
      </c>
      <c r="M90" s="303">
        <f t="shared" si="7"/>
        <v>0.2095891594</v>
      </c>
      <c r="N90" s="287"/>
    </row>
    <row r="91" spans="2:14" ht="18" hidden="1">
      <c r="B91" s="329" t="s">
        <v>16</v>
      </c>
      <c r="C91" s="340">
        <v>22.081400000000002</v>
      </c>
      <c r="D91" s="341">
        <v>0.34799999999999998</v>
      </c>
      <c r="E91" s="347">
        <v>0</v>
      </c>
      <c r="F91" s="303">
        <v>18.624700000000001</v>
      </c>
      <c r="G91" s="347">
        <f t="shared" si="6"/>
        <v>4.1054100000000003E-2</v>
      </c>
      <c r="H91" s="303">
        <v>73.491</v>
      </c>
      <c r="I91" s="303">
        <v>0.14269999999999999</v>
      </c>
      <c r="J91" s="341">
        <v>1.4572000000000001</v>
      </c>
      <c r="K91" s="341">
        <v>23.368099999999998</v>
      </c>
      <c r="L91" s="347">
        <v>71.130600000000001</v>
      </c>
      <c r="M91" s="303">
        <f t="shared" si="7"/>
        <v>0.16963065410000003</v>
      </c>
      <c r="N91" s="287"/>
    </row>
    <row r="92" spans="2:14" ht="18" hidden="1">
      <c r="B92" s="329"/>
      <c r="C92" s="340"/>
      <c r="D92" s="341"/>
      <c r="E92" s="347"/>
      <c r="F92" s="303"/>
      <c r="G92" s="347"/>
      <c r="H92" s="303"/>
      <c r="I92" s="303"/>
      <c r="J92" s="341"/>
      <c r="K92" s="341"/>
      <c r="L92" s="347"/>
      <c r="M92" s="303"/>
      <c r="N92" s="287"/>
    </row>
    <row r="93" spans="2:14" ht="18" hidden="1">
      <c r="B93" s="348">
        <v>2004</v>
      </c>
      <c r="C93" s="340"/>
      <c r="D93" s="341"/>
      <c r="E93" s="347"/>
      <c r="F93" s="303"/>
      <c r="G93" s="347"/>
      <c r="H93" s="303"/>
      <c r="I93" s="303"/>
      <c r="J93" s="341"/>
      <c r="K93" s="341"/>
      <c r="L93" s="347"/>
      <c r="M93" s="303"/>
      <c r="N93" s="287"/>
    </row>
    <row r="94" spans="2:14" ht="18" hidden="1">
      <c r="B94" s="329"/>
      <c r="C94" s="340"/>
      <c r="D94" s="341"/>
      <c r="E94" s="347"/>
      <c r="F94" s="303"/>
      <c r="G94" s="347"/>
      <c r="H94" s="303"/>
      <c r="I94" s="303"/>
      <c r="J94" s="341"/>
      <c r="K94" s="341"/>
      <c r="L94" s="347"/>
      <c r="M94" s="303"/>
      <c r="N94" s="287"/>
    </row>
    <row r="95" spans="2:14" ht="18" hidden="1">
      <c r="B95" s="329" t="s">
        <v>8</v>
      </c>
      <c r="C95" s="340">
        <v>25.169599999999999</v>
      </c>
      <c r="D95" s="341">
        <v>0</v>
      </c>
      <c r="E95" s="347">
        <v>0</v>
      </c>
      <c r="F95" s="303">
        <v>37.297400000000003</v>
      </c>
      <c r="G95" s="347">
        <f t="shared" ref="G95:G106" si="8">(SUM(C95:F95))/1000</f>
        <v>6.2467000000000002E-2</v>
      </c>
      <c r="H95" s="303">
        <v>68.226399999999998</v>
      </c>
      <c r="I95" s="303">
        <v>0.13569999999999999</v>
      </c>
      <c r="J95" s="341">
        <v>1.4572000000000001</v>
      </c>
      <c r="K95" s="341">
        <v>51.542499999999997</v>
      </c>
      <c r="L95" s="347">
        <v>72.570899999999995</v>
      </c>
      <c r="M95" s="303">
        <f t="shared" ref="M95:M106" si="9">(SUM(G95:L95))/1000</f>
        <v>0.19399516699999997</v>
      </c>
      <c r="N95" s="287"/>
    </row>
    <row r="96" spans="2:14" ht="18" hidden="1">
      <c r="B96" s="329" t="s">
        <v>9</v>
      </c>
      <c r="C96" s="340">
        <v>43.270800000000001</v>
      </c>
      <c r="D96" s="341">
        <v>0</v>
      </c>
      <c r="E96" s="347">
        <v>3.0526</v>
      </c>
      <c r="F96" s="303">
        <v>32.889300000000006</v>
      </c>
      <c r="G96" s="347">
        <f t="shared" si="8"/>
        <v>7.9212700000000011E-2</v>
      </c>
      <c r="H96" s="303">
        <v>30.929099999999998</v>
      </c>
      <c r="I96" s="303">
        <v>0.13569999999999999</v>
      </c>
      <c r="J96" s="341">
        <v>1.4572000000000001</v>
      </c>
      <c r="K96" s="341">
        <v>50.772599999999997</v>
      </c>
      <c r="L96" s="347">
        <v>96.012699999999995</v>
      </c>
      <c r="M96" s="303">
        <f t="shared" si="9"/>
        <v>0.1793865127</v>
      </c>
      <c r="N96" s="287"/>
    </row>
    <row r="97" spans="2:14" ht="18" hidden="1">
      <c r="B97" s="329" t="s">
        <v>10</v>
      </c>
      <c r="C97" s="340">
        <v>48.6325</v>
      </c>
      <c r="D97" s="341">
        <v>0.34799999999999998</v>
      </c>
      <c r="E97" s="347">
        <v>0.40539999999999998</v>
      </c>
      <c r="F97" s="303">
        <v>17.972000000000001</v>
      </c>
      <c r="G97" s="347">
        <f t="shared" si="8"/>
        <v>6.7357899999999998E-2</v>
      </c>
      <c r="H97" s="303">
        <v>19.1356</v>
      </c>
      <c r="I97" s="303">
        <v>0.13569999999999999</v>
      </c>
      <c r="J97" s="341">
        <v>9.9572000000000003</v>
      </c>
      <c r="K97" s="341">
        <v>75.591800000000006</v>
      </c>
      <c r="L97" s="347">
        <v>85.605699999999999</v>
      </c>
      <c r="M97" s="303">
        <f t="shared" si="9"/>
        <v>0.19049335789999999</v>
      </c>
      <c r="N97" s="287"/>
    </row>
    <row r="98" spans="2:14" ht="18" hidden="1">
      <c r="B98" s="329" t="s">
        <v>11</v>
      </c>
      <c r="C98" s="340">
        <v>29.3109</v>
      </c>
      <c r="D98" s="341">
        <v>0.34799999999999998</v>
      </c>
      <c r="E98" s="347">
        <v>2.3956999999999997</v>
      </c>
      <c r="F98" s="303">
        <v>15.7774</v>
      </c>
      <c r="G98" s="347">
        <f t="shared" si="8"/>
        <v>4.7832E-2</v>
      </c>
      <c r="H98" s="303">
        <v>53.383499999999998</v>
      </c>
      <c r="I98" s="303">
        <v>0.20280000000000001</v>
      </c>
      <c r="J98" s="341">
        <v>1.4572000000000001</v>
      </c>
      <c r="K98" s="341">
        <v>70.190899999999999</v>
      </c>
      <c r="L98" s="347">
        <v>110.0273</v>
      </c>
      <c r="M98" s="303">
        <f t="shared" si="9"/>
        <v>0.23530953199999999</v>
      </c>
      <c r="N98" s="287"/>
    </row>
    <row r="99" spans="2:14" ht="18" hidden="1">
      <c r="B99" s="329" t="s">
        <v>337</v>
      </c>
      <c r="C99" s="340">
        <v>49.558300000000003</v>
      </c>
      <c r="D99" s="341">
        <v>0.34799999999999998</v>
      </c>
      <c r="E99" s="347">
        <v>2.5419999999999998</v>
      </c>
      <c r="F99" s="303">
        <v>15.764100000000001</v>
      </c>
      <c r="G99" s="347">
        <f t="shared" si="8"/>
        <v>6.8212400000000006E-2</v>
      </c>
      <c r="H99" s="303">
        <v>26.958599999999997</v>
      </c>
      <c r="I99" s="303">
        <v>20.968599999999999</v>
      </c>
      <c r="J99" s="341">
        <v>1.4572000000000001</v>
      </c>
      <c r="K99" s="341">
        <v>55.0642</v>
      </c>
      <c r="L99" s="347">
        <v>112.66500000000001</v>
      </c>
      <c r="M99" s="303">
        <f t="shared" si="9"/>
        <v>0.21718181240000001</v>
      </c>
      <c r="N99" s="287"/>
    </row>
    <row r="100" spans="2:14" ht="18" hidden="1">
      <c r="B100" s="329" t="s">
        <v>346</v>
      </c>
      <c r="C100" s="340">
        <v>82.054299999999998</v>
      </c>
      <c r="D100" s="341">
        <v>0.34799999999999998</v>
      </c>
      <c r="E100" s="347">
        <v>7.3126999999999995</v>
      </c>
      <c r="F100" s="303">
        <v>15.8246</v>
      </c>
      <c r="G100" s="347">
        <f t="shared" si="8"/>
        <v>0.10553960000000001</v>
      </c>
      <c r="H100" s="303">
        <v>54.771599999999999</v>
      </c>
      <c r="I100" s="303">
        <v>5.8182</v>
      </c>
      <c r="J100" s="341">
        <v>1.4572000000000001</v>
      </c>
      <c r="K100" s="341">
        <v>79.758499999999998</v>
      </c>
      <c r="L100" s="347">
        <v>94.244199999999992</v>
      </c>
      <c r="M100" s="303">
        <f t="shared" si="9"/>
        <v>0.23615523959999996</v>
      </c>
      <c r="N100" s="287"/>
    </row>
    <row r="101" spans="2:14" ht="18" hidden="1">
      <c r="B101" s="329" t="s">
        <v>347</v>
      </c>
      <c r="C101" s="340">
        <v>127.5689</v>
      </c>
      <c r="D101" s="341">
        <v>0.34799999999999998</v>
      </c>
      <c r="E101" s="347">
        <v>22.613299999999999</v>
      </c>
      <c r="F101" s="303">
        <v>15.8246</v>
      </c>
      <c r="G101" s="347">
        <f t="shared" si="8"/>
        <v>0.16635480000000002</v>
      </c>
      <c r="H101" s="303">
        <v>28.930299999999999</v>
      </c>
      <c r="I101" s="303">
        <v>12.5191</v>
      </c>
      <c r="J101" s="341">
        <v>1.4572000000000001</v>
      </c>
      <c r="K101" s="341">
        <v>29.525200000000002</v>
      </c>
      <c r="L101" s="347">
        <v>110.69069999999999</v>
      </c>
      <c r="M101" s="303">
        <f t="shared" si="9"/>
        <v>0.18328885479999998</v>
      </c>
      <c r="N101" s="287"/>
    </row>
    <row r="102" spans="2:14" ht="18" hidden="1">
      <c r="B102" s="329" t="s">
        <v>12</v>
      </c>
      <c r="C102" s="340">
        <v>91.616500000000002</v>
      </c>
      <c r="D102" s="341">
        <v>0.34799999999999998</v>
      </c>
      <c r="E102" s="347">
        <v>6.6512000000000002</v>
      </c>
      <c r="F102" s="303">
        <v>11.8612</v>
      </c>
      <c r="G102" s="347">
        <f t="shared" si="8"/>
        <v>0.1104769</v>
      </c>
      <c r="H102" s="303">
        <v>42.346199999999996</v>
      </c>
      <c r="I102" s="303">
        <v>10.4796</v>
      </c>
      <c r="J102" s="341">
        <v>1.3072000000000001</v>
      </c>
      <c r="K102" s="341">
        <v>41.933999999999997</v>
      </c>
      <c r="L102" s="347">
        <v>96.092500000000001</v>
      </c>
      <c r="M102" s="303">
        <f t="shared" si="9"/>
        <v>0.1922699769</v>
      </c>
      <c r="N102" s="287"/>
    </row>
    <row r="103" spans="2:14" ht="18" hidden="1">
      <c r="B103" s="329" t="s">
        <v>13</v>
      </c>
      <c r="C103" s="340">
        <v>95.950699999999998</v>
      </c>
      <c r="D103" s="341">
        <v>0.34799999999999998</v>
      </c>
      <c r="E103" s="347">
        <v>4.7151000000000005</v>
      </c>
      <c r="F103" s="303">
        <v>17.825900000000001</v>
      </c>
      <c r="G103" s="347">
        <f t="shared" si="8"/>
        <v>0.11883970000000001</v>
      </c>
      <c r="H103" s="303">
        <v>21.672599999999999</v>
      </c>
      <c r="I103" s="303">
        <v>31.368599999999997</v>
      </c>
      <c r="J103" s="341">
        <v>1.3072000000000001</v>
      </c>
      <c r="K103" s="341">
        <v>39.8232</v>
      </c>
      <c r="L103" s="347">
        <v>99.1755</v>
      </c>
      <c r="M103" s="303">
        <f t="shared" si="9"/>
        <v>0.19346593970000001</v>
      </c>
      <c r="N103" s="287"/>
    </row>
    <row r="104" spans="2:14" ht="18" hidden="1">
      <c r="B104" s="329" t="s">
        <v>14</v>
      </c>
      <c r="C104" s="340">
        <v>82.046899999999994</v>
      </c>
      <c r="D104" s="341">
        <v>0.34799999999999998</v>
      </c>
      <c r="E104" s="347">
        <v>2.4541999999999997</v>
      </c>
      <c r="F104" s="303">
        <v>13.488100000000001</v>
      </c>
      <c r="G104" s="347">
        <f t="shared" si="8"/>
        <v>9.83372E-2</v>
      </c>
      <c r="H104" s="303">
        <v>29.189900000000002</v>
      </c>
      <c r="I104" s="303">
        <v>34.282400000000003</v>
      </c>
      <c r="J104" s="341">
        <v>1.3072000000000001</v>
      </c>
      <c r="K104" s="341">
        <v>34.418500000000002</v>
      </c>
      <c r="L104" s="347">
        <v>120.0748</v>
      </c>
      <c r="M104" s="303">
        <f t="shared" si="9"/>
        <v>0.21937113720000001</v>
      </c>
      <c r="N104" s="287"/>
    </row>
    <row r="105" spans="2:14" ht="18" hidden="1">
      <c r="B105" s="329" t="s">
        <v>15</v>
      </c>
      <c r="C105" s="340">
        <v>90.216399999999993</v>
      </c>
      <c r="D105" s="341">
        <v>0.34799999999999998</v>
      </c>
      <c r="E105" s="347">
        <v>2.1701999999999999</v>
      </c>
      <c r="F105" s="303">
        <v>11.8612</v>
      </c>
      <c r="G105" s="347">
        <f t="shared" si="8"/>
        <v>0.10459579999999999</v>
      </c>
      <c r="H105" s="303">
        <v>23.928799999999999</v>
      </c>
      <c r="I105" s="303">
        <v>27.4009</v>
      </c>
      <c r="J105" s="341">
        <v>1.3072000000000001</v>
      </c>
      <c r="K105" s="341">
        <v>38.997800000000005</v>
      </c>
      <c r="L105" s="347">
        <v>148.3569</v>
      </c>
      <c r="M105" s="303">
        <f t="shared" si="9"/>
        <v>0.2400961958</v>
      </c>
      <c r="N105" s="287"/>
    </row>
    <row r="106" spans="2:14" ht="18" hidden="1">
      <c r="B106" s="329" t="s">
        <v>16</v>
      </c>
      <c r="C106" s="340">
        <v>85.6858</v>
      </c>
      <c r="D106" s="341">
        <v>0.34799999999999998</v>
      </c>
      <c r="E106" s="347">
        <v>2.2130000000000001</v>
      </c>
      <c r="F106" s="303">
        <v>11.8612</v>
      </c>
      <c r="G106" s="347">
        <f t="shared" si="8"/>
        <v>0.10010799999999999</v>
      </c>
      <c r="H106" s="303">
        <v>23.659099999999999</v>
      </c>
      <c r="I106" s="303">
        <v>15.663799999999998</v>
      </c>
      <c r="J106" s="341">
        <v>1.3072000000000001</v>
      </c>
      <c r="K106" s="341">
        <v>40.4846</v>
      </c>
      <c r="L106" s="347">
        <v>141.65870000000001</v>
      </c>
      <c r="M106" s="303">
        <f t="shared" si="9"/>
        <v>0.22287350800000003</v>
      </c>
      <c r="N106" s="287"/>
    </row>
    <row r="107" spans="2:14" ht="18" hidden="1">
      <c r="B107" s="329"/>
      <c r="C107" s="340"/>
      <c r="D107" s="341"/>
      <c r="E107" s="347"/>
      <c r="F107" s="303"/>
      <c r="G107" s="347"/>
      <c r="H107" s="303"/>
      <c r="I107" s="303"/>
      <c r="J107" s="341"/>
      <c r="K107" s="341"/>
      <c r="L107" s="347"/>
      <c r="M107" s="303"/>
      <c r="N107" s="287"/>
    </row>
    <row r="108" spans="2:14" ht="18" hidden="1">
      <c r="B108" s="348">
        <v>2005</v>
      </c>
      <c r="C108" s="340"/>
      <c r="D108" s="341"/>
      <c r="E108" s="347"/>
      <c r="F108" s="303"/>
      <c r="G108" s="347"/>
      <c r="H108" s="303"/>
      <c r="I108" s="303"/>
      <c r="J108" s="341"/>
      <c r="K108" s="341"/>
      <c r="L108" s="347"/>
      <c r="M108" s="303"/>
      <c r="N108" s="287"/>
    </row>
    <row r="109" spans="2:14" ht="18" hidden="1">
      <c r="B109" s="329" t="s">
        <v>8</v>
      </c>
      <c r="C109" s="340">
        <v>164.046897</v>
      </c>
      <c r="D109" s="341">
        <v>0</v>
      </c>
      <c r="E109" s="347">
        <v>2.2095749999999996</v>
      </c>
      <c r="F109" s="303">
        <v>11.861207</v>
      </c>
      <c r="G109" s="347">
        <f>(SUM(C109:F109))/1000</f>
        <v>0.178117679</v>
      </c>
      <c r="H109" s="303">
        <v>16.482962999999998</v>
      </c>
      <c r="I109" s="303">
        <v>3.8164199999999999</v>
      </c>
      <c r="J109" s="341">
        <v>1.307215</v>
      </c>
      <c r="K109" s="341">
        <v>41.926243999999997</v>
      </c>
      <c r="L109" s="347">
        <v>185.55843999999999</v>
      </c>
      <c r="M109" s="303">
        <f>(SUM(G109:L109))/1000</f>
        <v>0.249269399679</v>
      </c>
      <c r="N109" s="284"/>
    </row>
    <row r="110" spans="2:14" ht="18" hidden="1">
      <c r="B110" s="329" t="s">
        <v>9</v>
      </c>
      <c r="C110" s="340">
        <v>232.953406</v>
      </c>
      <c r="D110" s="341">
        <v>0.230319</v>
      </c>
      <c r="E110" s="347">
        <v>2.1773339999999997</v>
      </c>
      <c r="F110" s="303">
        <v>11.861207</v>
      </c>
      <c r="G110" s="347">
        <f>(SUM(C110:F110))/1000</f>
        <v>0.24722226600000002</v>
      </c>
      <c r="H110" s="303">
        <v>38.939627999999999</v>
      </c>
      <c r="I110" s="303">
        <v>4.2440899999999999</v>
      </c>
      <c r="J110" s="341">
        <v>1.307215</v>
      </c>
      <c r="K110" s="341">
        <v>56.473671000000003</v>
      </c>
      <c r="L110" s="347">
        <v>216.827054</v>
      </c>
      <c r="M110" s="303">
        <f>(SUM(G110:L110))/1000</f>
        <v>0.31803888026599997</v>
      </c>
      <c r="N110" s="284"/>
    </row>
    <row r="111" spans="2:14" ht="18" hidden="1">
      <c r="B111" s="329" t="s">
        <v>10</v>
      </c>
      <c r="C111" s="340">
        <v>216.33294100000001</v>
      </c>
      <c r="D111" s="341">
        <v>0.34799999999999998</v>
      </c>
      <c r="E111" s="347">
        <v>2.1836219999999997</v>
      </c>
      <c r="F111" s="303">
        <v>11.861207</v>
      </c>
      <c r="G111" s="347">
        <f>(SUM(C111:F111))/1000</f>
        <v>0.23072577000000005</v>
      </c>
      <c r="H111" s="303">
        <v>19.702745999999998</v>
      </c>
      <c r="I111" s="303">
        <v>6.518815</v>
      </c>
      <c r="J111" s="341">
        <v>1.307215</v>
      </c>
      <c r="K111" s="341">
        <v>64.207098000000002</v>
      </c>
      <c r="L111" s="347">
        <v>261.39756</v>
      </c>
      <c r="M111" s="303">
        <f>(SUM(G111:L111))/1000</f>
        <v>0.35336415977000002</v>
      </c>
      <c r="N111" s="284"/>
    </row>
    <row r="112" spans="2:14" ht="18" hidden="1">
      <c r="B112" s="329" t="s">
        <v>11</v>
      </c>
      <c r="C112" s="340">
        <v>197.54729999999998</v>
      </c>
      <c r="D112" s="341">
        <v>0.34799999999999998</v>
      </c>
      <c r="E112" s="347">
        <v>6.9886999999999997</v>
      </c>
      <c r="F112" s="303">
        <v>13.8596</v>
      </c>
      <c r="G112" s="347">
        <v>218.74360000000001</v>
      </c>
      <c r="H112" s="303">
        <v>19.958400000000001</v>
      </c>
      <c r="I112" s="303">
        <v>6.3818000000000001</v>
      </c>
      <c r="J112" s="341">
        <v>1.3072000000000001</v>
      </c>
      <c r="K112" s="341">
        <v>54.182000000000002</v>
      </c>
      <c r="L112" s="347">
        <v>295.68629999999996</v>
      </c>
      <c r="M112" s="303">
        <v>596.25930000000005</v>
      </c>
      <c r="N112" s="284"/>
    </row>
    <row r="113" spans="2:14" ht="18" hidden="1">
      <c r="B113" s="329" t="s">
        <v>337</v>
      </c>
      <c r="C113" s="340">
        <v>233.55549999999999</v>
      </c>
      <c r="D113" s="341">
        <v>8.7999999999999995E-2</v>
      </c>
      <c r="E113" s="347">
        <v>2.9851999999999999</v>
      </c>
      <c r="F113" s="303">
        <v>16.738199999999999</v>
      </c>
      <c r="G113" s="347">
        <v>253.36689999999999</v>
      </c>
      <c r="H113" s="303">
        <v>56.345999999999997</v>
      </c>
      <c r="I113" s="303">
        <v>4.7702</v>
      </c>
      <c r="J113" s="341">
        <v>1.3072000000000001</v>
      </c>
      <c r="K113" s="341">
        <v>65.348600000000005</v>
      </c>
      <c r="L113" s="347">
        <v>368.47659999999996</v>
      </c>
      <c r="M113" s="303">
        <v>749.61559999999997</v>
      </c>
      <c r="N113" s="284"/>
    </row>
    <row r="114" spans="2:14" ht="18" hidden="1">
      <c r="B114" s="329" t="s">
        <v>346</v>
      </c>
      <c r="C114" s="340">
        <v>168.4941</v>
      </c>
      <c r="D114" s="341">
        <v>8.7999999999999995E-2</v>
      </c>
      <c r="E114" s="347">
        <v>5.1417000000000002</v>
      </c>
      <c r="F114" s="303">
        <v>12.1966</v>
      </c>
      <c r="G114" s="347">
        <v>185.9205</v>
      </c>
      <c r="H114" s="303">
        <v>15.354200000000001</v>
      </c>
      <c r="I114" s="303">
        <v>5.8141000000000007</v>
      </c>
      <c r="J114" s="341">
        <v>1.3072000000000001</v>
      </c>
      <c r="K114" s="341">
        <v>50.935900000000004</v>
      </c>
      <c r="L114" s="347">
        <v>142.93510000000001</v>
      </c>
      <c r="M114" s="303">
        <v>402.267</v>
      </c>
      <c r="N114" s="284"/>
    </row>
    <row r="115" spans="2:14" ht="18" hidden="1">
      <c r="B115" s="329" t="s">
        <v>347</v>
      </c>
      <c r="C115" s="340">
        <v>210.6576</v>
      </c>
      <c r="D115" s="341">
        <v>8.7999999999999995E-2</v>
      </c>
      <c r="E115" s="347">
        <v>5.0448999999999993</v>
      </c>
      <c r="F115" s="303">
        <v>11.843500000000001</v>
      </c>
      <c r="G115" s="347">
        <v>227.63399999999999</v>
      </c>
      <c r="H115" s="303">
        <v>42.540900000000001</v>
      </c>
      <c r="I115" s="303">
        <v>0.13150000000000001</v>
      </c>
      <c r="J115" s="341">
        <v>1.3072000000000001</v>
      </c>
      <c r="K115" s="341">
        <v>62.328199999999995</v>
      </c>
      <c r="L115" s="347">
        <v>173.78659999999999</v>
      </c>
      <c r="M115" s="303">
        <v>507.72840000000002</v>
      </c>
      <c r="N115" s="284"/>
    </row>
    <row r="116" spans="2:14" ht="18" hidden="1">
      <c r="B116" s="329" t="s">
        <v>12</v>
      </c>
      <c r="C116" s="340">
        <v>300.66730000000001</v>
      </c>
      <c r="D116" s="341">
        <v>8.7999999999999995E-2</v>
      </c>
      <c r="E116" s="347">
        <v>5.0199999999999996</v>
      </c>
      <c r="F116" s="303">
        <v>11.843500000000001</v>
      </c>
      <c r="G116" s="347">
        <v>317.61879999999996</v>
      </c>
      <c r="H116" s="303">
        <v>49.329699999999995</v>
      </c>
      <c r="I116" s="303">
        <v>0.13150000000000001</v>
      </c>
      <c r="J116" s="341">
        <v>1.3072000000000001</v>
      </c>
      <c r="K116" s="341">
        <v>4.8271999999999995</v>
      </c>
      <c r="L116" s="347">
        <v>177.99329999999998</v>
      </c>
      <c r="M116" s="303">
        <v>551.20759999999996</v>
      </c>
      <c r="N116" s="284"/>
    </row>
    <row r="117" spans="2:14" ht="18" hidden="1">
      <c r="B117" s="329" t="s">
        <v>13</v>
      </c>
      <c r="C117" s="340">
        <v>337.20229999999998</v>
      </c>
      <c r="D117" s="341">
        <v>8.7999999999999995E-2</v>
      </c>
      <c r="E117" s="347">
        <v>5.0199999999999996</v>
      </c>
      <c r="F117" s="303">
        <v>1.1394000000000002</v>
      </c>
      <c r="G117" s="347">
        <v>343.44970000000001</v>
      </c>
      <c r="H117" s="303">
        <v>13.401200000000001</v>
      </c>
      <c r="I117" s="303">
        <v>3.0000000000000001E-3</v>
      </c>
      <c r="J117" s="341">
        <v>5.9799999999999999E-2</v>
      </c>
      <c r="K117" s="341">
        <v>5.0668999999999995</v>
      </c>
      <c r="L117" s="347">
        <v>232.13910000000001</v>
      </c>
      <c r="M117" s="303">
        <v>594.11969999999997</v>
      </c>
      <c r="N117" s="284"/>
    </row>
    <row r="118" spans="2:14" ht="18" hidden="1">
      <c r="B118" s="329" t="s">
        <v>14</v>
      </c>
      <c r="C118" s="340">
        <v>687.19419999999991</v>
      </c>
      <c r="D118" s="341">
        <v>8.7999999999999995E-2</v>
      </c>
      <c r="E118" s="347">
        <v>5.0199999999999996</v>
      </c>
      <c r="F118" s="303">
        <v>2.3324000000000003</v>
      </c>
      <c r="G118" s="347">
        <v>694.63459999999998</v>
      </c>
      <c r="H118" s="303">
        <v>41.588300000000004</v>
      </c>
      <c r="I118" s="303">
        <v>3.5999999999999999E-3</v>
      </c>
      <c r="J118" s="341">
        <v>6.9999999999999999E-4</v>
      </c>
      <c r="K118" s="341">
        <v>17.090499999999999</v>
      </c>
      <c r="L118" s="347">
        <v>263.2192</v>
      </c>
      <c r="M118" s="303">
        <v>1016.5369000000001</v>
      </c>
      <c r="N118" s="284"/>
    </row>
    <row r="119" spans="2:14" ht="18" hidden="1">
      <c r="B119" s="329"/>
      <c r="C119" s="340"/>
      <c r="D119" s="341"/>
      <c r="E119" s="347"/>
      <c r="F119" s="303"/>
      <c r="G119" s="347"/>
      <c r="H119" s="303"/>
      <c r="I119" s="303"/>
      <c r="J119" s="341"/>
      <c r="K119" s="341"/>
      <c r="L119" s="347"/>
      <c r="M119" s="303"/>
      <c r="N119" s="284"/>
    </row>
    <row r="120" spans="2:14" ht="18" hidden="1">
      <c r="B120" s="329" t="s">
        <v>15</v>
      </c>
      <c r="C120" s="340">
        <v>803.71389999999997</v>
      </c>
      <c r="D120" s="341">
        <v>8.7900000000000006E-2</v>
      </c>
      <c r="E120" s="347">
        <v>5.0199999999999996</v>
      </c>
      <c r="F120" s="303">
        <v>7.0068000000000001</v>
      </c>
      <c r="G120" s="347">
        <v>815.82859999999994</v>
      </c>
      <c r="H120" s="303">
        <v>36.060900000000004</v>
      </c>
      <c r="I120" s="303">
        <v>2.1881999999999997</v>
      </c>
      <c r="J120" s="341">
        <v>6.9999999999999999E-4</v>
      </c>
      <c r="K120" s="341">
        <v>162.74429999999998</v>
      </c>
      <c r="L120" s="347">
        <v>387.7167</v>
      </c>
      <c r="M120" s="303">
        <v>1404.5395000000001</v>
      </c>
      <c r="N120" s="284"/>
    </row>
    <row r="121" spans="2:14" ht="18" hidden="1">
      <c r="B121" s="329" t="s">
        <v>16</v>
      </c>
      <c r="C121" s="340">
        <v>747.40859999999998</v>
      </c>
      <c r="D121" s="341">
        <v>0</v>
      </c>
      <c r="E121" s="347">
        <v>0</v>
      </c>
      <c r="F121" s="303">
        <v>1.1907999999999999</v>
      </c>
      <c r="G121" s="347">
        <v>748.59940000000006</v>
      </c>
      <c r="H121" s="303">
        <v>13.8161</v>
      </c>
      <c r="I121" s="303">
        <v>2.6424000000000003</v>
      </c>
      <c r="J121" s="341">
        <v>50.000699999999995</v>
      </c>
      <c r="K121" s="341">
        <v>44.022199999999998</v>
      </c>
      <c r="L121" s="347">
        <v>599.55889999999999</v>
      </c>
      <c r="M121" s="303">
        <v>1458.6396999999999</v>
      </c>
      <c r="N121" s="284"/>
    </row>
    <row r="122" spans="2:14" ht="18" hidden="1">
      <c r="B122" s="329"/>
      <c r="C122" s="340"/>
      <c r="D122" s="341"/>
      <c r="E122" s="347"/>
      <c r="F122" s="303"/>
      <c r="G122" s="347"/>
      <c r="H122" s="303"/>
      <c r="I122" s="303"/>
      <c r="J122" s="341"/>
      <c r="K122" s="341"/>
      <c r="L122" s="347"/>
      <c r="M122" s="303"/>
      <c r="N122" s="284"/>
    </row>
    <row r="123" spans="2:14" ht="18" hidden="1">
      <c r="B123" s="348">
        <v>2006</v>
      </c>
      <c r="C123" s="340"/>
      <c r="D123" s="341"/>
      <c r="E123" s="347"/>
      <c r="F123" s="303"/>
      <c r="G123" s="347"/>
      <c r="H123" s="303"/>
      <c r="I123" s="303"/>
      <c r="J123" s="343"/>
      <c r="K123" s="340"/>
      <c r="L123" s="347"/>
      <c r="M123" s="303"/>
      <c r="N123" s="284"/>
    </row>
    <row r="124" spans="2:14" ht="18" hidden="1">
      <c r="B124" s="329"/>
      <c r="C124" s="340"/>
      <c r="D124" s="341"/>
      <c r="E124" s="347"/>
      <c r="F124" s="303"/>
      <c r="G124" s="347"/>
      <c r="H124" s="303"/>
      <c r="I124" s="303"/>
      <c r="J124" s="303"/>
      <c r="K124" s="303"/>
      <c r="L124" s="347"/>
      <c r="M124" s="303"/>
      <c r="N124" s="284"/>
    </row>
    <row r="125" spans="2:14" ht="18" hidden="1">
      <c r="B125" s="329" t="s">
        <v>8</v>
      </c>
      <c r="C125" s="340">
        <v>1862.1730809999999</v>
      </c>
      <c r="D125" s="341">
        <v>0</v>
      </c>
      <c r="E125" s="347">
        <v>5</v>
      </c>
      <c r="F125" s="303">
        <v>1.1907999999999999</v>
      </c>
      <c r="G125" s="347">
        <v>1868.363881</v>
      </c>
      <c r="H125" s="303">
        <v>23.114052999999998</v>
      </c>
      <c r="I125" s="303">
        <v>2.9708999999999999E-2</v>
      </c>
      <c r="J125" s="303">
        <v>50</v>
      </c>
      <c r="K125" s="303">
        <v>11.635479999999999</v>
      </c>
      <c r="L125" s="347">
        <v>941.32253799999967</v>
      </c>
      <c r="M125" s="303">
        <f>(SUM(G125:L125))</f>
        <v>2894.4656609999993</v>
      </c>
      <c r="N125" s="284"/>
    </row>
    <row r="126" spans="2:14" ht="18" hidden="1">
      <c r="B126" s="329" t="s">
        <v>9</v>
      </c>
      <c r="C126" s="340">
        <v>1923.3390340000001</v>
      </c>
      <c r="D126" s="341">
        <v>0</v>
      </c>
      <c r="E126" s="347">
        <v>5</v>
      </c>
      <c r="F126" s="303">
        <v>0</v>
      </c>
      <c r="G126" s="347">
        <v>1928.3390340000001</v>
      </c>
      <c r="H126" s="303">
        <v>54.808980000000005</v>
      </c>
      <c r="I126" s="303">
        <v>2.9708999999999999E-2</v>
      </c>
      <c r="J126" s="303">
        <v>50</v>
      </c>
      <c r="K126" s="303">
        <v>11.635479999999999</v>
      </c>
      <c r="L126" s="347">
        <v>982.26321200000007</v>
      </c>
      <c r="M126" s="303">
        <f>(SUM(G126:L126))</f>
        <v>3027.076415</v>
      </c>
      <c r="N126" s="284"/>
    </row>
    <row r="127" spans="2:14" ht="18" hidden="1">
      <c r="B127" s="329" t="s">
        <v>10</v>
      </c>
      <c r="C127" s="340">
        <v>1647.0786229999999</v>
      </c>
      <c r="D127" s="341">
        <v>0</v>
      </c>
      <c r="E127" s="347">
        <v>5</v>
      </c>
      <c r="F127" s="303">
        <v>0</v>
      </c>
      <c r="G127" s="347">
        <v>1652.0786229999999</v>
      </c>
      <c r="H127" s="303">
        <v>192.48566399999999</v>
      </c>
      <c r="I127" s="303">
        <v>2.9708999999999999E-2</v>
      </c>
      <c r="J127" s="303">
        <v>165.129863</v>
      </c>
      <c r="K127" s="303">
        <v>25.388491000000002</v>
      </c>
      <c r="L127" s="347">
        <v>1018.8058330000001</v>
      </c>
      <c r="M127" s="303">
        <f>(SUM(G127:L127))</f>
        <v>3053.9181829999998</v>
      </c>
      <c r="N127" s="284"/>
    </row>
    <row r="128" spans="2:14" ht="18" hidden="1">
      <c r="B128" s="329" t="s">
        <v>11</v>
      </c>
      <c r="C128" s="340">
        <v>2039.4022</v>
      </c>
      <c r="D128" s="341">
        <v>5.0316000000000001</v>
      </c>
      <c r="E128" s="347">
        <v>0</v>
      </c>
      <c r="F128" s="303">
        <v>1.9984000000000002</v>
      </c>
      <c r="G128" s="347">
        <v>2046.4322</v>
      </c>
      <c r="H128" s="303">
        <v>-7.4093999999999998</v>
      </c>
      <c r="I128" s="303">
        <v>3.5999999999999999E-3</v>
      </c>
      <c r="J128" s="303">
        <v>222.08260000000001</v>
      </c>
      <c r="K128" s="303">
        <v>6.2335000000000003</v>
      </c>
      <c r="L128" s="347">
        <v>1468.6631</v>
      </c>
      <c r="M128" s="303">
        <f>(SUM(G128:L128))</f>
        <v>3736.0055999999995</v>
      </c>
      <c r="N128" s="284"/>
    </row>
    <row r="129" spans="2:16" ht="18" hidden="1">
      <c r="B129" s="329" t="s">
        <v>337</v>
      </c>
      <c r="C129" s="340">
        <v>1584.8089</v>
      </c>
      <c r="D129" s="341">
        <v>0</v>
      </c>
      <c r="E129" s="347">
        <v>0</v>
      </c>
      <c r="F129" s="303">
        <v>0</v>
      </c>
      <c r="G129" s="347">
        <v>1584.8089</v>
      </c>
      <c r="H129" s="303">
        <v>24.0427</v>
      </c>
      <c r="I129" s="303">
        <v>3.5999999999999999E-3</v>
      </c>
      <c r="J129" s="303">
        <v>285.08629999999999</v>
      </c>
      <c r="K129" s="303">
        <v>75.525600000000011</v>
      </c>
      <c r="L129" s="347">
        <v>1298.6244999999999</v>
      </c>
      <c r="M129" s="303">
        <v>3268.0917000000004</v>
      </c>
      <c r="N129" s="284"/>
    </row>
    <row r="130" spans="2:16" ht="18" hidden="1">
      <c r="B130" s="329" t="s">
        <v>346</v>
      </c>
      <c r="C130" s="340">
        <v>2362.0275999999999</v>
      </c>
      <c r="D130" s="341">
        <v>0</v>
      </c>
      <c r="E130" s="347">
        <v>0</v>
      </c>
      <c r="F130" s="303">
        <v>0</v>
      </c>
      <c r="G130" s="347">
        <v>2362.0275999999999</v>
      </c>
      <c r="H130" s="303">
        <v>-21.782299999999999</v>
      </c>
      <c r="I130" s="303">
        <v>3.5999999999999999E-3</v>
      </c>
      <c r="J130" s="303">
        <v>204.57489999999999</v>
      </c>
      <c r="K130" s="303">
        <v>73.991600000000005</v>
      </c>
      <c r="L130" s="347">
        <v>1759.7331000000001</v>
      </c>
      <c r="M130" s="303">
        <v>4378.5486000000001</v>
      </c>
      <c r="N130" s="284"/>
    </row>
    <row r="131" spans="2:16" ht="18" hidden="1">
      <c r="B131" s="329" t="s">
        <v>347</v>
      </c>
      <c r="C131" s="340">
        <v>2868.9054000000001</v>
      </c>
      <c r="D131" s="341">
        <v>8.7999999999999995E-2</v>
      </c>
      <c r="E131" s="347">
        <v>0</v>
      </c>
      <c r="F131" s="303">
        <v>0</v>
      </c>
      <c r="G131" s="347">
        <v>2868.9933999999998</v>
      </c>
      <c r="H131" s="303">
        <v>50.596299999999999</v>
      </c>
      <c r="I131" s="303">
        <v>3.5999999999999999E-3</v>
      </c>
      <c r="J131" s="303">
        <v>226.59399999999999</v>
      </c>
      <c r="K131" s="303">
        <v>84.474299999999999</v>
      </c>
      <c r="L131" s="347">
        <v>1457.8853999999999</v>
      </c>
      <c r="M131" s="303">
        <v>4658.5469999999996</v>
      </c>
      <c r="N131" s="284"/>
    </row>
    <row r="132" spans="2:16" ht="18" hidden="1">
      <c r="B132" s="329" t="s">
        <v>12</v>
      </c>
      <c r="C132" s="340">
        <v>3325.97</v>
      </c>
      <c r="D132" s="341">
        <v>0</v>
      </c>
      <c r="E132" s="347">
        <v>0</v>
      </c>
      <c r="F132" s="303">
        <v>0</v>
      </c>
      <c r="G132" s="347">
        <v>3325.97</v>
      </c>
      <c r="H132" s="303">
        <v>24.638999999999999</v>
      </c>
      <c r="I132" s="303">
        <v>3.5999999999999999E-3</v>
      </c>
      <c r="J132" s="303">
        <v>0</v>
      </c>
      <c r="K132" s="303">
        <v>215.56049999999999</v>
      </c>
      <c r="L132" s="347">
        <v>3600.8164999999999</v>
      </c>
      <c r="M132" s="303">
        <v>7166.9899000000005</v>
      </c>
      <c r="N132" s="284"/>
    </row>
    <row r="133" spans="2:16" ht="18" hidden="1">
      <c r="B133" s="329" t="s">
        <v>13</v>
      </c>
      <c r="C133" s="340">
        <v>5225.3729000000003</v>
      </c>
      <c r="D133" s="341">
        <v>0</v>
      </c>
      <c r="E133" s="347">
        <v>0</v>
      </c>
      <c r="F133" s="303">
        <v>0</v>
      </c>
      <c r="G133" s="347">
        <v>5225.3729000000003</v>
      </c>
      <c r="H133" s="303">
        <v>526.54919999999993</v>
      </c>
      <c r="I133" s="303">
        <v>3.5999999999999999E-3</v>
      </c>
      <c r="J133" s="303">
        <v>322.27409999999998</v>
      </c>
      <c r="K133" s="303">
        <v>232.7662</v>
      </c>
      <c r="L133" s="347">
        <v>6304.0240999999996</v>
      </c>
      <c r="M133" s="303">
        <v>12610.990099999999</v>
      </c>
      <c r="N133" s="284"/>
    </row>
    <row r="134" spans="2:16" ht="18" hidden="1">
      <c r="B134" s="349" t="s">
        <v>14</v>
      </c>
      <c r="C134" s="340">
        <v>7145.1594999999998</v>
      </c>
      <c r="D134" s="341">
        <v>0</v>
      </c>
      <c r="E134" s="347">
        <v>0</v>
      </c>
      <c r="F134" s="303">
        <v>0</v>
      </c>
      <c r="G134" s="347">
        <v>7145.1594999999998</v>
      </c>
      <c r="H134" s="303">
        <v>201.7705</v>
      </c>
      <c r="I134" s="303">
        <v>3.5999999999999999E-3</v>
      </c>
      <c r="J134" s="303">
        <v>261.78579999999999</v>
      </c>
      <c r="K134" s="303">
        <v>15.5715</v>
      </c>
      <c r="L134" s="347">
        <v>8472.8935000000001</v>
      </c>
      <c r="M134" s="303">
        <v>16097.1844</v>
      </c>
      <c r="N134" s="284"/>
    </row>
    <row r="135" spans="2:16" ht="18" hidden="1">
      <c r="B135" s="291" t="s">
        <v>15</v>
      </c>
      <c r="C135" s="350">
        <v>6547.8376064600006</v>
      </c>
      <c r="D135" s="350">
        <v>0</v>
      </c>
      <c r="E135" s="350">
        <v>1</v>
      </c>
      <c r="F135" s="350">
        <v>0</v>
      </c>
      <c r="G135" s="350">
        <v>6548.8376064600006</v>
      </c>
      <c r="H135" s="350">
        <v>65.782336999999998</v>
      </c>
      <c r="I135" s="350">
        <v>3.6410000000000001E-3</v>
      </c>
      <c r="J135" s="350">
        <v>305.18835617000002</v>
      </c>
      <c r="K135" s="350">
        <v>2.4710770000000002</v>
      </c>
      <c r="L135" s="350">
        <v>10813.457252370001</v>
      </c>
      <c r="M135" s="350">
        <v>17735.740269999998</v>
      </c>
      <c r="N135" s="287"/>
    </row>
    <row r="136" spans="2:16" ht="18" hidden="1">
      <c r="B136" s="291" t="s">
        <v>16</v>
      </c>
      <c r="C136" s="350">
        <v>4775.05</v>
      </c>
      <c r="D136" s="350">
        <v>0</v>
      </c>
      <c r="E136" s="350">
        <v>1</v>
      </c>
      <c r="F136" s="350">
        <v>0</v>
      </c>
      <c r="G136" s="350">
        <v>4776.05</v>
      </c>
      <c r="H136" s="350">
        <v>711.96</v>
      </c>
      <c r="I136" s="350">
        <v>0</v>
      </c>
      <c r="J136" s="350">
        <v>74.38</v>
      </c>
      <c r="K136" s="350">
        <v>5.2</v>
      </c>
      <c r="L136" s="350">
        <v>10126.790000000001</v>
      </c>
      <c r="M136" s="303">
        <f>(SUM(G136:L136))</f>
        <v>15694.380000000001</v>
      </c>
      <c r="N136" s="287"/>
    </row>
    <row r="137" spans="2:16" ht="18" hidden="1">
      <c r="B137" s="291"/>
      <c r="C137" s="350"/>
      <c r="D137" s="350"/>
      <c r="E137" s="350"/>
      <c r="F137" s="350"/>
      <c r="G137" s="350"/>
      <c r="H137" s="350"/>
      <c r="I137" s="350"/>
      <c r="J137" s="350"/>
      <c r="K137" s="350"/>
      <c r="L137" s="350"/>
      <c r="M137" s="303"/>
      <c r="N137" s="287"/>
    </row>
    <row r="138" spans="2:16" ht="18" hidden="1">
      <c r="B138" s="304">
        <v>2007</v>
      </c>
      <c r="C138" s="350"/>
      <c r="D138" s="350"/>
      <c r="E138" s="350"/>
      <c r="F138" s="350"/>
      <c r="G138" s="350"/>
      <c r="H138" s="350"/>
      <c r="I138" s="350"/>
      <c r="J138" s="350"/>
      <c r="K138" s="350"/>
      <c r="L138" s="350"/>
      <c r="M138" s="303"/>
      <c r="N138" s="287"/>
    </row>
    <row r="139" spans="2:16" ht="18" hidden="1">
      <c r="B139" s="351"/>
      <c r="C139" s="350"/>
      <c r="D139" s="350"/>
      <c r="E139" s="350"/>
      <c r="F139" s="350"/>
      <c r="G139" s="350"/>
      <c r="H139" s="350"/>
      <c r="I139" s="350"/>
      <c r="J139" s="350"/>
      <c r="K139" s="350"/>
      <c r="L139" s="350"/>
      <c r="M139" s="303"/>
      <c r="N139" s="287"/>
    </row>
    <row r="140" spans="2:16" ht="18" hidden="1">
      <c r="B140" s="349" t="s">
        <v>8</v>
      </c>
      <c r="C140" s="350">
        <v>9657.5</v>
      </c>
      <c r="D140" s="350">
        <v>0</v>
      </c>
      <c r="E140" s="350">
        <v>1</v>
      </c>
      <c r="F140" s="350">
        <v>0</v>
      </c>
      <c r="G140" s="350">
        <v>9658.5</v>
      </c>
      <c r="H140" s="350">
        <v>550.29999999999995</v>
      </c>
      <c r="I140" s="350">
        <v>0</v>
      </c>
      <c r="J140" s="350">
        <v>51.5</v>
      </c>
      <c r="K140" s="350">
        <v>1832.3</v>
      </c>
      <c r="L140" s="350">
        <v>15209.2</v>
      </c>
      <c r="M140" s="303">
        <f t="shared" ref="M140:M151" si="10">(SUM(G140:L140))</f>
        <v>27301.8</v>
      </c>
      <c r="N140" s="287"/>
    </row>
    <row r="141" spans="2:16" ht="18" hidden="1">
      <c r="B141" s="349" t="s">
        <v>9</v>
      </c>
      <c r="C141" s="350">
        <v>17373.75</v>
      </c>
      <c r="D141" s="350">
        <v>0</v>
      </c>
      <c r="E141" s="350">
        <v>1</v>
      </c>
      <c r="F141" s="350">
        <v>0</v>
      </c>
      <c r="G141" s="350">
        <v>17374.758999999998</v>
      </c>
      <c r="H141" s="350">
        <v>-57.4</v>
      </c>
      <c r="I141" s="350">
        <v>0</v>
      </c>
      <c r="J141" s="350">
        <v>163.19</v>
      </c>
      <c r="K141" s="350">
        <v>34</v>
      </c>
      <c r="L141" s="350">
        <v>20279.5</v>
      </c>
      <c r="M141" s="303">
        <f t="shared" si="10"/>
        <v>37794.048999999999</v>
      </c>
      <c r="N141" s="287"/>
    </row>
    <row r="142" spans="2:16" ht="18" hidden="1">
      <c r="B142" s="349" t="s">
        <v>10</v>
      </c>
      <c r="C142" s="350">
        <v>16038.4</v>
      </c>
      <c r="D142" s="350">
        <v>0</v>
      </c>
      <c r="E142" s="350">
        <v>1</v>
      </c>
      <c r="F142" s="350">
        <v>0</v>
      </c>
      <c r="G142" s="350">
        <v>16039.4</v>
      </c>
      <c r="H142" s="350">
        <v>7475.56</v>
      </c>
      <c r="I142" s="350">
        <v>0</v>
      </c>
      <c r="J142" s="350">
        <v>50</v>
      </c>
      <c r="K142" s="350">
        <v>73.95</v>
      </c>
      <c r="L142" s="350">
        <v>31813.119999999999</v>
      </c>
      <c r="M142" s="303">
        <f t="shared" si="10"/>
        <v>55452.03</v>
      </c>
      <c r="N142" s="287"/>
    </row>
    <row r="143" spans="2:16" ht="18" hidden="1">
      <c r="B143" s="349" t="s">
        <v>11</v>
      </c>
      <c r="C143" s="350">
        <v>12843.7</v>
      </c>
      <c r="D143" s="350">
        <v>0</v>
      </c>
      <c r="E143" s="350">
        <v>1</v>
      </c>
      <c r="F143" s="350">
        <v>0</v>
      </c>
      <c r="G143" s="350">
        <v>12844.7</v>
      </c>
      <c r="H143" s="350">
        <v>649.16800000000001</v>
      </c>
      <c r="I143" s="350">
        <v>0</v>
      </c>
      <c r="J143" s="350">
        <v>50</v>
      </c>
      <c r="K143" s="350">
        <v>2534.35</v>
      </c>
      <c r="L143" s="350">
        <v>14955.03</v>
      </c>
      <c r="M143" s="303">
        <f t="shared" si="10"/>
        <v>31033.248</v>
      </c>
      <c r="N143" s="287"/>
    </row>
    <row r="144" spans="2:16" ht="18" hidden="1">
      <c r="B144" s="349" t="s">
        <v>337</v>
      </c>
      <c r="C144" s="350">
        <v>46833.5</v>
      </c>
      <c r="D144" s="350">
        <v>0</v>
      </c>
      <c r="E144" s="350">
        <v>1</v>
      </c>
      <c r="F144" s="350">
        <v>0</v>
      </c>
      <c r="G144" s="350">
        <v>46834.5</v>
      </c>
      <c r="H144" s="350">
        <v>6628.2640000000001</v>
      </c>
      <c r="I144" s="350">
        <v>0</v>
      </c>
      <c r="J144" s="350">
        <v>301.7</v>
      </c>
      <c r="K144" s="350">
        <v>6159.5060000000003</v>
      </c>
      <c r="L144" s="350">
        <v>78182.999800000005</v>
      </c>
      <c r="M144" s="303">
        <f t="shared" si="10"/>
        <v>138106.96980000002</v>
      </c>
      <c r="N144" s="287"/>
      <c r="P144" s="352">
        <f>5000000000/((240000+570000)/2)</f>
        <v>12345.679012345679</v>
      </c>
    </row>
    <row r="145" spans="2:14" ht="18" hidden="1">
      <c r="B145" s="349" t="s">
        <v>346</v>
      </c>
      <c r="C145" s="350">
        <v>237305.95300000001</v>
      </c>
      <c r="D145" s="350">
        <v>0</v>
      </c>
      <c r="E145" s="350">
        <v>1</v>
      </c>
      <c r="F145" s="350">
        <v>500.9</v>
      </c>
      <c r="G145" s="350">
        <v>237807.88699999999</v>
      </c>
      <c r="H145" s="350">
        <v>9031.5</v>
      </c>
      <c r="I145" s="350">
        <v>0</v>
      </c>
      <c r="J145" s="350">
        <v>144.30000000000001</v>
      </c>
      <c r="K145" s="350">
        <v>8335.8809999999994</v>
      </c>
      <c r="L145" s="350">
        <v>146348.4</v>
      </c>
      <c r="M145" s="303">
        <f t="shared" si="10"/>
        <v>401667.96799999999</v>
      </c>
      <c r="N145" s="287"/>
    </row>
    <row r="146" spans="2:14" ht="18" hidden="1">
      <c r="B146" s="349" t="s">
        <v>347</v>
      </c>
      <c r="C146" s="350">
        <v>280918.5</v>
      </c>
      <c r="D146" s="350">
        <v>0</v>
      </c>
      <c r="E146" s="350">
        <v>282</v>
      </c>
      <c r="F146" s="350">
        <v>14200.5</v>
      </c>
      <c r="G146" s="350">
        <v>295400.96999999997</v>
      </c>
      <c r="H146" s="350">
        <v>12654.87</v>
      </c>
      <c r="I146" s="350">
        <v>0</v>
      </c>
      <c r="J146" s="350">
        <v>184.9</v>
      </c>
      <c r="K146" s="350">
        <v>7084.89</v>
      </c>
      <c r="L146" s="350">
        <v>346969.7</v>
      </c>
      <c r="M146" s="303">
        <f t="shared" si="10"/>
        <v>662295.33000000007</v>
      </c>
      <c r="N146" s="287"/>
    </row>
    <row r="147" spans="2:14" ht="18" hidden="1">
      <c r="B147" s="349" t="s">
        <v>12</v>
      </c>
      <c r="C147" s="350">
        <v>388884.4</v>
      </c>
      <c r="D147" s="350">
        <v>0</v>
      </c>
      <c r="E147" s="350">
        <v>281</v>
      </c>
      <c r="F147" s="350">
        <v>21645.46</v>
      </c>
      <c r="G147" s="350">
        <v>410810.8</v>
      </c>
      <c r="H147" s="350">
        <v>20903.37</v>
      </c>
      <c r="I147" s="350">
        <v>0</v>
      </c>
      <c r="J147" s="350">
        <v>529.05999999999995</v>
      </c>
      <c r="K147" s="350">
        <v>265.56</v>
      </c>
      <c r="L147" s="350">
        <v>429203.1</v>
      </c>
      <c r="M147" s="303">
        <f t="shared" si="10"/>
        <v>861711.8899999999</v>
      </c>
      <c r="N147" s="287"/>
    </row>
    <row r="148" spans="2:14" ht="18" hidden="1">
      <c r="B148" s="349" t="s">
        <v>13</v>
      </c>
      <c r="C148" s="350">
        <v>1190195.3600000001</v>
      </c>
      <c r="D148" s="350">
        <v>1816.7</v>
      </c>
      <c r="E148" s="350">
        <v>2741</v>
      </c>
      <c r="F148" s="350">
        <v>0</v>
      </c>
      <c r="G148" s="350">
        <v>1194753.0900000001</v>
      </c>
      <c r="H148" s="350">
        <v>146287.6</v>
      </c>
      <c r="I148" s="350">
        <v>0</v>
      </c>
      <c r="J148" s="350">
        <v>715.2</v>
      </c>
      <c r="K148" s="350">
        <v>306.10000000000002</v>
      </c>
      <c r="L148" s="350">
        <v>486256.2</v>
      </c>
      <c r="M148" s="303">
        <f t="shared" si="10"/>
        <v>1828318.1900000002</v>
      </c>
      <c r="N148" s="287"/>
    </row>
    <row r="149" spans="2:14" ht="18" hidden="1">
      <c r="B149" s="349" t="s">
        <v>14</v>
      </c>
      <c r="C149" s="350">
        <v>1812413.86</v>
      </c>
      <c r="D149" s="350">
        <v>0</v>
      </c>
      <c r="E149" s="350">
        <v>3347</v>
      </c>
      <c r="F149" s="350">
        <v>0</v>
      </c>
      <c r="G149" s="350">
        <v>1815760.86</v>
      </c>
      <c r="H149" s="350">
        <v>18568.8</v>
      </c>
      <c r="I149" s="350">
        <v>0</v>
      </c>
      <c r="J149" s="350">
        <v>50</v>
      </c>
      <c r="K149" s="350">
        <v>141.4</v>
      </c>
      <c r="L149" s="350">
        <v>1366596.6740000001</v>
      </c>
      <c r="M149" s="303">
        <f t="shared" si="10"/>
        <v>3201117.7340000002</v>
      </c>
      <c r="N149" s="287"/>
    </row>
    <row r="150" spans="2:14" ht="18" hidden="1">
      <c r="B150" s="353" t="s">
        <v>15</v>
      </c>
      <c r="C150" s="350">
        <v>3034844.3</v>
      </c>
      <c r="D150" s="350">
        <v>0</v>
      </c>
      <c r="E150" s="350">
        <v>3347</v>
      </c>
      <c r="F150" s="350">
        <v>0</v>
      </c>
      <c r="G150" s="350">
        <v>3038191.3</v>
      </c>
      <c r="H150" s="350">
        <v>79498</v>
      </c>
      <c r="I150" s="350">
        <v>0</v>
      </c>
      <c r="J150" s="350">
        <v>4133</v>
      </c>
      <c r="K150" s="350">
        <v>0</v>
      </c>
      <c r="L150" s="350">
        <v>2317371.6</v>
      </c>
      <c r="M150" s="303">
        <f t="shared" si="10"/>
        <v>5439193.9000000004</v>
      </c>
      <c r="N150" s="287"/>
    </row>
    <row r="151" spans="2:14" ht="18" hidden="1">
      <c r="B151" s="353" t="s">
        <v>16</v>
      </c>
      <c r="C151" s="350">
        <v>3186692.87</v>
      </c>
      <c r="D151" s="350">
        <v>0</v>
      </c>
      <c r="E151" s="350">
        <v>8299</v>
      </c>
      <c r="F151" s="350">
        <v>0</v>
      </c>
      <c r="G151" s="350">
        <v>3194991.87</v>
      </c>
      <c r="H151" s="350">
        <v>600927.86</v>
      </c>
      <c r="I151" s="350">
        <v>0</v>
      </c>
      <c r="J151" s="350">
        <v>1155.8</v>
      </c>
      <c r="K151" s="350">
        <v>0</v>
      </c>
      <c r="L151" s="350">
        <v>4375159.2</v>
      </c>
      <c r="M151" s="303">
        <f t="shared" si="10"/>
        <v>8172234.7300000004</v>
      </c>
      <c r="N151" s="287"/>
    </row>
    <row r="152" spans="2:14" ht="18.600000000000001" thickTop="1">
      <c r="B152" s="353"/>
      <c r="C152" s="350"/>
      <c r="D152" s="350"/>
      <c r="E152" s="350"/>
      <c r="F152" s="350"/>
      <c r="G152" s="350"/>
      <c r="H152" s="350"/>
      <c r="I152" s="350"/>
      <c r="J152" s="350"/>
      <c r="K152" s="350"/>
      <c r="L152" s="350"/>
      <c r="M152" s="303"/>
      <c r="N152" s="287"/>
    </row>
    <row r="153" spans="2:14" ht="18" hidden="1">
      <c r="B153" s="351">
        <v>2009</v>
      </c>
      <c r="C153" s="350"/>
      <c r="D153" s="350"/>
      <c r="E153" s="350"/>
      <c r="F153" s="350"/>
      <c r="G153" s="350"/>
      <c r="H153" s="350"/>
      <c r="I153" s="350"/>
      <c r="J153" s="350"/>
      <c r="K153" s="350"/>
      <c r="L153" s="350"/>
      <c r="M153" s="303"/>
      <c r="N153" s="287"/>
    </row>
    <row r="154" spans="2:14" ht="18" hidden="1">
      <c r="B154" s="353"/>
      <c r="C154" s="350"/>
      <c r="D154" s="350"/>
      <c r="E154" s="350"/>
      <c r="F154" s="350"/>
      <c r="G154" s="350"/>
      <c r="H154" s="350"/>
      <c r="I154" s="350"/>
      <c r="J154" s="350"/>
      <c r="K154" s="350"/>
      <c r="L154" s="350"/>
      <c r="M154" s="303"/>
      <c r="N154" s="287"/>
    </row>
    <row r="155" spans="2:14" ht="18" hidden="1">
      <c r="B155" s="349" t="s">
        <v>8</v>
      </c>
      <c r="C155" s="350">
        <v>4.4202696560000006E-4</v>
      </c>
      <c r="D155" s="350">
        <v>0</v>
      </c>
      <c r="E155" s="350">
        <v>8.2989999999999999E-7</v>
      </c>
      <c r="F155" s="350">
        <v>0</v>
      </c>
      <c r="G155" s="350">
        <f t="shared" ref="G155:G166" si="11">C155+D155+E155+F155</f>
        <v>4.4285686560000009E-4</v>
      </c>
      <c r="H155" s="350">
        <v>5.1999999999999998E-3</v>
      </c>
      <c r="I155" s="350">
        <v>0</v>
      </c>
      <c r="J155" s="350">
        <v>0</v>
      </c>
      <c r="K155" s="350">
        <v>0</v>
      </c>
      <c r="L155" s="350">
        <v>9.4525000000000006</v>
      </c>
      <c r="M155" s="303">
        <f t="shared" ref="M155:M166" si="12">(SUM(G155:L155))</f>
        <v>9.4581428568656012</v>
      </c>
      <c r="N155" s="287"/>
    </row>
    <row r="156" spans="2:14" ht="18" hidden="1">
      <c r="B156" s="349" t="s">
        <v>9</v>
      </c>
      <c r="C156" s="350">
        <v>4.4202696560000006E-4</v>
      </c>
      <c r="D156" s="350">
        <v>0</v>
      </c>
      <c r="E156" s="350">
        <v>8.2989999999999999E-7</v>
      </c>
      <c r="F156" s="350">
        <v>0</v>
      </c>
      <c r="G156" s="350">
        <f t="shared" si="11"/>
        <v>4.4285686560000009E-4</v>
      </c>
      <c r="H156" s="350">
        <v>0.28310000000000002</v>
      </c>
      <c r="I156" s="350">
        <v>0</v>
      </c>
      <c r="J156" s="350">
        <v>0</v>
      </c>
      <c r="K156" s="350">
        <v>0</v>
      </c>
      <c r="L156" s="350">
        <v>9.2032000000000007</v>
      </c>
      <c r="M156" s="303">
        <f t="shared" si="12"/>
        <v>9.4867428568656003</v>
      </c>
      <c r="N156" s="287"/>
    </row>
    <row r="157" spans="2:14" ht="18" hidden="1">
      <c r="B157" s="349" t="s">
        <v>10</v>
      </c>
      <c r="C157" s="350">
        <v>4.4202696560000006E-4</v>
      </c>
      <c r="D157" s="350">
        <v>0</v>
      </c>
      <c r="E157" s="350">
        <v>8.0179999999999999E-7</v>
      </c>
      <c r="F157" s="350">
        <v>0</v>
      </c>
      <c r="G157" s="350">
        <f t="shared" si="11"/>
        <v>4.4282876560000005E-4</v>
      </c>
      <c r="H157" s="350">
        <v>3.8699999999999998E-2</v>
      </c>
      <c r="I157" s="350">
        <v>0</v>
      </c>
      <c r="J157" s="350">
        <v>0</v>
      </c>
      <c r="K157" s="350">
        <v>0</v>
      </c>
      <c r="L157" s="350">
        <v>9.6331000000000007</v>
      </c>
      <c r="M157" s="303">
        <f t="shared" si="12"/>
        <v>9.6722428287656008</v>
      </c>
      <c r="N157" s="287"/>
    </row>
    <row r="158" spans="2:14" ht="18" hidden="1">
      <c r="B158" s="349" t="s">
        <v>11</v>
      </c>
      <c r="C158" s="350">
        <v>4.4202696560000006E-4</v>
      </c>
      <c r="D158" s="350">
        <v>0</v>
      </c>
      <c r="E158" s="350">
        <v>1.1963E-3</v>
      </c>
      <c r="F158" s="350">
        <v>0</v>
      </c>
      <c r="G158" s="350">
        <f t="shared" si="11"/>
        <v>1.6383269656E-3</v>
      </c>
      <c r="H158" s="350">
        <v>3.7499999999999999E-3</v>
      </c>
      <c r="I158" s="350">
        <v>3.6410000000000001E-10</v>
      </c>
      <c r="J158" s="350">
        <v>0</v>
      </c>
      <c r="K158" s="350">
        <v>0</v>
      </c>
      <c r="L158" s="303">
        <v>9.6455000000000002</v>
      </c>
      <c r="M158" s="303">
        <f t="shared" si="12"/>
        <v>9.6508883273296995</v>
      </c>
    </row>
    <row r="159" spans="2:14" ht="18" hidden="1">
      <c r="B159" s="349" t="s">
        <v>337</v>
      </c>
      <c r="C159" s="350">
        <v>4.4202696560000006E-4</v>
      </c>
      <c r="D159" s="350">
        <v>0</v>
      </c>
      <c r="E159" s="350">
        <v>1.3937999999999999E-3</v>
      </c>
      <c r="F159" s="350">
        <v>0</v>
      </c>
      <c r="G159" s="350">
        <f t="shared" si="11"/>
        <v>1.8358269656E-3</v>
      </c>
      <c r="H159" s="350">
        <v>3.7499999999999999E-3</v>
      </c>
      <c r="I159" s="350">
        <v>3.6410000000000001E-10</v>
      </c>
      <c r="J159" s="350">
        <v>0</v>
      </c>
      <c r="K159" s="350">
        <v>0</v>
      </c>
      <c r="L159" s="303">
        <v>9.6669</v>
      </c>
      <c r="M159" s="303">
        <f t="shared" si="12"/>
        <v>9.6724858273296999</v>
      </c>
    </row>
    <row r="160" spans="2:14" ht="18" hidden="1">
      <c r="B160" s="349" t="s">
        <v>346</v>
      </c>
      <c r="C160" s="350">
        <v>4.4202696560000001E-4</v>
      </c>
      <c r="D160" s="350">
        <v>0</v>
      </c>
      <c r="E160" s="350">
        <v>1.0870999999999999E-3</v>
      </c>
      <c r="F160" s="350">
        <v>0</v>
      </c>
      <c r="G160" s="350">
        <f t="shared" si="11"/>
        <v>1.5291269655999999E-3</v>
      </c>
      <c r="H160" s="350">
        <v>8.0000000000000007E-5</v>
      </c>
      <c r="I160" s="350">
        <v>3.6410000000000001E-10</v>
      </c>
      <c r="J160" s="350">
        <v>0</v>
      </c>
      <c r="K160" s="350">
        <v>0</v>
      </c>
      <c r="L160" s="303">
        <v>8.6272000000000002</v>
      </c>
      <c r="M160" s="303">
        <f t="shared" si="12"/>
        <v>8.628809127329701</v>
      </c>
    </row>
    <row r="161" spans="2:13" ht="18" hidden="1">
      <c r="B161" s="349" t="s">
        <v>347</v>
      </c>
      <c r="C161" s="350">
        <v>0</v>
      </c>
      <c r="D161" s="350">
        <v>0</v>
      </c>
      <c r="E161" s="350">
        <v>0</v>
      </c>
      <c r="F161" s="350">
        <v>0</v>
      </c>
      <c r="G161" s="350">
        <f t="shared" si="11"/>
        <v>0</v>
      </c>
      <c r="H161" s="350">
        <v>0</v>
      </c>
      <c r="I161" s="350">
        <v>0</v>
      </c>
      <c r="J161" s="350">
        <v>0</v>
      </c>
      <c r="K161" s="350">
        <v>0</v>
      </c>
      <c r="L161" s="303">
        <v>8.7113999999999994</v>
      </c>
      <c r="M161" s="303">
        <f t="shared" si="12"/>
        <v>8.7113999999999994</v>
      </c>
    </row>
    <row r="162" spans="2:13" ht="18" hidden="1">
      <c r="B162" s="349" t="s">
        <v>12</v>
      </c>
      <c r="C162" s="350">
        <v>0</v>
      </c>
      <c r="D162" s="350">
        <v>0</v>
      </c>
      <c r="E162" s="350">
        <v>0</v>
      </c>
      <c r="F162" s="350">
        <v>0</v>
      </c>
      <c r="G162" s="350">
        <f t="shared" si="11"/>
        <v>0</v>
      </c>
      <c r="H162" s="350">
        <v>0</v>
      </c>
      <c r="I162" s="350">
        <v>0</v>
      </c>
      <c r="J162" s="350">
        <v>0</v>
      </c>
      <c r="K162" s="350">
        <v>0</v>
      </c>
      <c r="L162" s="303">
        <v>8.6884999999999994</v>
      </c>
      <c r="M162" s="303">
        <f t="shared" si="12"/>
        <v>8.6884999999999994</v>
      </c>
    </row>
    <row r="163" spans="2:13" ht="18" hidden="1">
      <c r="B163" s="349" t="s">
        <v>13</v>
      </c>
      <c r="C163" s="350">
        <v>0</v>
      </c>
      <c r="D163" s="350">
        <v>0</v>
      </c>
      <c r="E163" s="350">
        <v>0</v>
      </c>
      <c r="F163" s="350">
        <v>0</v>
      </c>
      <c r="G163" s="350">
        <f t="shared" si="11"/>
        <v>0</v>
      </c>
      <c r="H163" s="350">
        <v>0</v>
      </c>
      <c r="I163" s="350">
        <v>0</v>
      </c>
      <c r="J163" s="350">
        <v>0</v>
      </c>
      <c r="K163" s="350">
        <v>0</v>
      </c>
      <c r="L163" s="303">
        <v>8.7199000000000009</v>
      </c>
      <c r="M163" s="303">
        <f t="shared" si="12"/>
        <v>8.7199000000000009</v>
      </c>
    </row>
    <row r="164" spans="2:13" ht="18" hidden="1">
      <c r="B164" s="349" t="s">
        <v>14</v>
      </c>
      <c r="C164" s="350">
        <v>0</v>
      </c>
      <c r="D164" s="350">
        <v>0</v>
      </c>
      <c r="E164" s="350">
        <v>0</v>
      </c>
      <c r="F164" s="350">
        <v>0</v>
      </c>
      <c r="G164" s="350">
        <f t="shared" si="11"/>
        <v>0</v>
      </c>
      <c r="H164" s="350">
        <v>0</v>
      </c>
      <c r="I164" s="350">
        <v>0</v>
      </c>
      <c r="J164" s="350">
        <v>0</v>
      </c>
      <c r="K164" s="350">
        <v>0</v>
      </c>
      <c r="L164" s="303">
        <v>8.6999999999999993</v>
      </c>
      <c r="M164" s="303">
        <f t="shared" si="12"/>
        <v>8.6999999999999993</v>
      </c>
    </row>
    <row r="165" spans="2:13" ht="18" hidden="1">
      <c r="B165" s="349" t="s">
        <v>15</v>
      </c>
      <c r="C165" s="350">
        <v>0</v>
      </c>
      <c r="D165" s="350">
        <v>0</v>
      </c>
      <c r="E165" s="350">
        <v>0</v>
      </c>
      <c r="F165" s="350">
        <v>0</v>
      </c>
      <c r="G165" s="350">
        <f t="shared" si="11"/>
        <v>0</v>
      </c>
      <c r="H165" s="350">
        <v>0</v>
      </c>
      <c r="I165" s="350">
        <v>0</v>
      </c>
      <c r="J165" s="350">
        <v>0</v>
      </c>
      <c r="K165" s="350">
        <v>0</v>
      </c>
      <c r="L165" s="303">
        <v>8.6760000000000002</v>
      </c>
      <c r="M165" s="303">
        <f t="shared" si="12"/>
        <v>8.6760000000000002</v>
      </c>
    </row>
    <row r="166" spans="2:13" ht="18" hidden="1">
      <c r="B166" s="349" t="s">
        <v>16</v>
      </c>
      <c r="C166" s="350">
        <v>0</v>
      </c>
      <c r="D166" s="350">
        <v>0</v>
      </c>
      <c r="E166" s="350">
        <v>0</v>
      </c>
      <c r="F166" s="350">
        <v>0</v>
      </c>
      <c r="G166" s="350">
        <f t="shared" si="11"/>
        <v>0</v>
      </c>
      <c r="H166" s="350">
        <v>0</v>
      </c>
      <c r="I166" s="350">
        <v>0</v>
      </c>
      <c r="J166" s="350">
        <v>0</v>
      </c>
      <c r="K166" s="350">
        <v>0</v>
      </c>
      <c r="L166" s="303">
        <v>8.8598999999999997</v>
      </c>
      <c r="M166" s="303">
        <f t="shared" si="12"/>
        <v>8.8598999999999997</v>
      </c>
    </row>
    <row r="167" spans="2:13" ht="18" hidden="1">
      <c r="B167" s="353"/>
      <c r="C167" s="350"/>
      <c r="D167" s="350"/>
      <c r="E167" s="350"/>
      <c r="F167" s="350"/>
      <c r="G167" s="350"/>
      <c r="H167" s="350"/>
      <c r="I167" s="350"/>
      <c r="J167" s="350"/>
      <c r="K167" s="350"/>
      <c r="L167" s="303"/>
      <c r="M167" s="303"/>
    </row>
    <row r="168" spans="2:13" ht="18">
      <c r="B168" s="351">
        <v>2010</v>
      </c>
      <c r="C168" s="350"/>
      <c r="D168" s="350"/>
      <c r="E168" s="350"/>
      <c r="F168" s="350"/>
      <c r="G168" s="350"/>
      <c r="H168" s="350"/>
      <c r="I168" s="350"/>
      <c r="J168" s="350"/>
      <c r="K168" s="350"/>
      <c r="L168" s="303"/>
      <c r="M168" s="303"/>
    </row>
    <row r="169" spans="2:13" ht="18">
      <c r="B169" s="353"/>
      <c r="C169" s="350"/>
      <c r="D169" s="350"/>
      <c r="E169" s="350"/>
      <c r="F169" s="350"/>
      <c r="G169" s="350"/>
      <c r="H169" s="350"/>
      <c r="I169" s="350"/>
      <c r="J169" s="350"/>
      <c r="K169" s="350"/>
      <c r="L169" s="303"/>
      <c r="M169" s="303"/>
    </row>
    <row r="170" spans="2:13" ht="18">
      <c r="B170" s="349" t="s">
        <v>8</v>
      </c>
      <c r="C170" s="350">
        <v>0</v>
      </c>
      <c r="D170" s="350">
        <v>0</v>
      </c>
      <c r="E170" s="350">
        <v>0</v>
      </c>
      <c r="F170" s="350">
        <v>0</v>
      </c>
      <c r="G170" s="350">
        <v>0</v>
      </c>
      <c r="H170" s="350">
        <v>0</v>
      </c>
      <c r="I170" s="350">
        <v>0</v>
      </c>
      <c r="J170" s="350">
        <v>0</v>
      </c>
      <c r="K170" s="350">
        <v>0</v>
      </c>
      <c r="L170" s="303">
        <v>8.8949440000000006</v>
      </c>
      <c r="M170" s="303">
        <f t="shared" ref="M170:M181" si="13">(SUM(G170:L170))</f>
        <v>8.8949440000000006</v>
      </c>
    </row>
    <row r="171" spans="2:13" ht="18">
      <c r="B171" s="349" t="s">
        <v>9</v>
      </c>
      <c r="C171" s="350">
        <v>0</v>
      </c>
      <c r="D171" s="350">
        <v>0</v>
      </c>
      <c r="E171" s="350">
        <v>0</v>
      </c>
      <c r="F171" s="350">
        <v>0</v>
      </c>
      <c r="G171" s="350">
        <v>0</v>
      </c>
      <c r="H171" s="350">
        <v>0</v>
      </c>
      <c r="I171" s="350">
        <v>0</v>
      </c>
      <c r="J171" s="350">
        <v>0</v>
      </c>
      <c r="K171" s="350">
        <v>0</v>
      </c>
      <c r="L171" s="303">
        <v>8.9232499999999995</v>
      </c>
      <c r="M171" s="303">
        <f t="shared" si="13"/>
        <v>8.9232499999999995</v>
      </c>
    </row>
    <row r="172" spans="2:13" ht="18">
      <c r="B172" s="349" t="s">
        <v>10</v>
      </c>
      <c r="C172" s="350">
        <v>0</v>
      </c>
      <c r="D172" s="350">
        <v>0</v>
      </c>
      <c r="E172" s="350">
        <v>0</v>
      </c>
      <c r="F172" s="350">
        <v>0</v>
      </c>
      <c r="G172" s="350">
        <v>0</v>
      </c>
      <c r="H172" s="350">
        <v>0</v>
      </c>
      <c r="I172" s="350">
        <v>0</v>
      </c>
      <c r="J172" s="350">
        <v>0</v>
      </c>
      <c r="K172" s="350">
        <v>0</v>
      </c>
      <c r="L172" s="303">
        <v>8.9136220000000002</v>
      </c>
      <c r="M172" s="303">
        <f t="shared" si="13"/>
        <v>8.9136220000000002</v>
      </c>
    </row>
    <row r="173" spans="2:13" ht="18">
      <c r="B173" s="349" t="s">
        <v>11</v>
      </c>
      <c r="C173" s="350">
        <v>0</v>
      </c>
      <c r="D173" s="350">
        <v>0</v>
      </c>
      <c r="E173" s="350">
        <v>0</v>
      </c>
      <c r="F173" s="350">
        <v>0</v>
      </c>
      <c r="G173" s="350">
        <v>0</v>
      </c>
      <c r="H173" s="350">
        <v>0</v>
      </c>
      <c r="I173" s="350">
        <v>0</v>
      </c>
      <c r="J173" s="350">
        <v>0</v>
      </c>
      <c r="K173" s="350">
        <v>0</v>
      </c>
      <c r="L173" s="303">
        <v>8.9620850000000001</v>
      </c>
      <c r="M173" s="303">
        <f t="shared" si="13"/>
        <v>8.9620850000000001</v>
      </c>
    </row>
    <row r="174" spans="2:13" ht="18">
      <c r="B174" s="349" t="s">
        <v>337</v>
      </c>
      <c r="C174" s="350">
        <v>0</v>
      </c>
      <c r="D174" s="350">
        <v>0</v>
      </c>
      <c r="E174" s="350">
        <v>0</v>
      </c>
      <c r="F174" s="350">
        <v>0</v>
      </c>
      <c r="G174" s="350">
        <v>0</v>
      </c>
      <c r="H174" s="350">
        <v>0</v>
      </c>
      <c r="I174" s="350">
        <v>0</v>
      </c>
      <c r="J174" s="350">
        <v>0</v>
      </c>
      <c r="K174" s="350">
        <v>0</v>
      </c>
      <c r="L174" s="303">
        <v>8.986891</v>
      </c>
      <c r="M174" s="303">
        <f t="shared" si="13"/>
        <v>8.986891</v>
      </c>
    </row>
    <row r="175" spans="2:13" ht="18">
      <c r="B175" s="349" t="s">
        <v>346</v>
      </c>
      <c r="C175" s="350">
        <v>0</v>
      </c>
      <c r="D175" s="350">
        <v>0</v>
      </c>
      <c r="E175" s="350">
        <v>0</v>
      </c>
      <c r="F175" s="350">
        <v>0</v>
      </c>
      <c r="G175" s="350">
        <v>0</v>
      </c>
      <c r="H175" s="350">
        <v>0</v>
      </c>
      <c r="I175" s="350">
        <v>0</v>
      </c>
      <c r="J175" s="350">
        <v>0</v>
      </c>
      <c r="K175" s="350">
        <v>0</v>
      </c>
      <c r="L175" s="303">
        <v>1.4928999999999999</v>
      </c>
      <c r="M175" s="303">
        <f t="shared" si="13"/>
        <v>1.4928999999999999</v>
      </c>
    </row>
    <row r="176" spans="2:13" ht="18">
      <c r="B176" s="349" t="s">
        <v>347</v>
      </c>
      <c r="C176" s="350">
        <v>0</v>
      </c>
      <c r="D176" s="350">
        <v>0</v>
      </c>
      <c r="E176" s="350">
        <v>0</v>
      </c>
      <c r="F176" s="350">
        <v>0</v>
      </c>
      <c r="G176" s="350">
        <v>0</v>
      </c>
      <c r="H176" s="350">
        <v>0</v>
      </c>
      <c r="I176" s="350">
        <v>0</v>
      </c>
      <c r="J176" s="350">
        <v>0</v>
      </c>
      <c r="K176" s="350">
        <v>0</v>
      </c>
      <c r="L176" s="303">
        <v>1.5448999999999999</v>
      </c>
      <c r="M176" s="303">
        <f t="shared" si="13"/>
        <v>1.5448999999999999</v>
      </c>
    </row>
    <row r="177" spans="2:14" ht="18">
      <c r="B177" s="349" t="s">
        <v>12</v>
      </c>
      <c r="C177" s="350">
        <v>0</v>
      </c>
      <c r="D177" s="350">
        <v>0</v>
      </c>
      <c r="E177" s="350">
        <v>0</v>
      </c>
      <c r="F177" s="350">
        <v>0</v>
      </c>
      <c r="G177" s="350">
        <v>0</v>
      </c>
      <c r="H177" s="350">
        <v>0</v>
      </c>
      <c r="I177" s="350">
        <v>0</v>
      </c>
      <c r="J177" s="350">
        <v>0</v>
      </c>
      <c r="K177" s="350">
        <v>0</v>
      </c>
      <c r="L177" s="303">
        <v>8.6884999999999994</v>
      </c>
      <c r="M177" s="303">
        <f t="shared" si="13"/>
        <v>8.6884999999999994</v>
      </c>
    </row>
    <row r="178" spans="2:14" ht="18">
      <c r="B178" s="349" t="s">
        <v>13</v>
      </c>
      <c r="C178" s="350">
        <v>0</v>
      </c>
      <c r="D178" s="350">
        <v>0</v>
      </c>
      <c r="E178" s="350">
        <v>0</v>
      </c>
      <c r="F178" s="350">
        <v>0</v>
      </c>
      <c r="G178" s="350">
        <v>0</v>
      </c>
      <c r="H178" s="350">
        <v>0</v>
      </c>
      <c r="I178" s="350">
        <v>0</v>
      </c>
      <c r="J178" s="350">
        <v>0</v>
      </c>
      <c r="K178" s="350">
        <v>0</v>
      </c>
      <c r="L178" s="303">
        <v>8.7199000000000009</v>
      </c>
      <c r="M178" s="303">
        <f t="shared" si="13"/>
        <v>8.7199000000000009</v>
      </c>
    </row>
    <row r="179" spans="2:14" ht="18">
      <c r="B179" s="349" t="s">
        <v>14</v>
      </c>
      <c r="C179" s="350">
        <v>0</v>
      </c>
      <c r="D179" s="350">
        <v>0</v>
      </c>
      <c r="E179" s="350">
        <v>0</v>
      </c>
      <c r="F179" s="350">
        <v>0</v>
      </c>
      <c r="G179" s="350">
        <v>0</v>
      </c>
      <c r="H179" s="350">
        <v>0</v>
      </c>
      <c r="I179" s="350">
        <v>0</v>
      </c>
      <c r="J179" s="350">
        <v>0</v>
      </c>
      <c r="K179" s="350">
        <v>0</v>
      </c>
      <c r="L179" s="303">
        <v>8.8948999999999998</v>
      </c>
      <c r="M179" s="303">
        <f t="shared" si="13"/>
        <v>8.8948999999999998</v>
      </c>
    </row>
    <row r="180" spans="2:14" ht="18">
      <c r="B180" s="349" t="s">
        <v>15</v>
      </c>
      <c r="C180" s="350">
        <v>0</v>
      </c>
      <c r="D180" s="350">
        <v>0</v>
      </c>
      <c r="E180" s="350">
        <v>0</v>
      </c>
      <c r="F180" s="350">
        <v>0</v>
      </c>
      <c r="G180" s="350">
        <v>0</v>
      </c>
      <c r="H180" s="350">
        <v>0</v>
      </c>
      <c r="I180" s="350">
        <v>0</v>
      </c>
      <c r="J180" s="350">
        <v>0</v>
      </c>
      <c r="K180" s="350">
        <v>0</v>
      </c>
      <c r="L180" s="303">
        <v>8.6760000000000002</v>
      </c>
      <c r="M180" s="303">
        <f t="shared" si="13"/>
        <v>8.6760000000000002</v>
      </c>
    </row>
    <row r="181" spans="2:14" ht="18">
      <c r="B181" s="349" t="s">
        <v>16</v>
      </c>
      <c r="C181" s="350">
        <v>0</v>
      </c>
      <c r="D181" s="350">
        <v>0</v>
      </c>
      <c r="E181" s="350">
        <v>0</v>
      </c>
      <c r="F181" s="350">
        <v>0</v>
      </c>
      <c r="G181" s="350">
        <v>0</v>
      </c>
      <c r="H181" s="350">
        <v>0</v>
      </c>
      <c r="I181" s="350">
        <v>0</v>
      </c>
      <c r="J181" s="350">
        <v>0</v>
      </c>
      <c r="K181" s="350">
        <v>0</v>
      </c>
      <c r="L181" s="303">
        <v>8.8595000000000006</v>
      </c>
      <c r="M181" s="303">
        <f t="shared" si="13"/>
        <v>8.8595000000000006</v>
      </c>
    </row>
    <row r="182" spans="2:14" ht="16.2" thickBot="1">
      <c r="B182" s="354"/>
      <c r="C182" s="354"/>
      <c r="D182" s="354"/>
      <c r="E182" s="354"/>
      <c r="F182" s="354"/>
      <c r="G182" s="355"/>
      <c r="H182" s="354"/>
      <c r="I182" s="354"/>
      <c r="J182" s="354"/>
      <c r="K182" s="354"/>
      <c r="L182" s="354"/>
      <c r="M182" s="354"/>
      <c r="N182" s="284"/>
    </row>
    <row r="183" spans="2:14" ht="16.2" thickTop="1">
      <c r="B183" s="284"/>
      <c r="C183" s="284"/>
      <c r="D183" s="284"/>
      <c r="E183" s="284"/>
      <c r="F183" s="284"/>
      <c r="G183" s="284"/>
      <c r="H183" s="284"/>
      <c r="I183" s="284"/>
      <c r="J183" s="284"/>
      <c r="K183" s="284"/>
      <c r="L183" s="284"/>
      <c r="M183" s="284"/>
      <c r="N183" s="284"/>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60"/>
    <col min="2" max="2" width="9" style="160" bestFit="1" customWidth="1"/>
    <col min="3" max="3" width="9" style="160" customWidth="1"/>
    <col min="4" max="4" width="9" style="674" bestFit="1" customWidth="1"/>
    <col min="5" max="5" width="11.81640625" style="674" customWidth="1"/>
    <col min="6" max="6" width="16.6328125" style="674" bestFit="1" customWidth="1"/>
    <col min="7" max="7" width="12.453125" style="674" customWidth="1"/>
    <col min="8" max="8" width="15.453125" style="675" customWidth="1"/>
    <col min="9" max="16384" width="8.90625" style="160"/>
  </cols>
  <sheetData>
    <row r="3" spans="2:8">
      <c r="B3" s="1910" t="s">
        <v>1738</v>
      </c>
      <c r="C3" s="1910"/>
      <c r="D3" s="1910"/>
      <c r="E3" s="1910"/>
      <c r="F3" s="1910"/>
      <c r="G3" s="1910"/>
      <c r="H3" s="1910"/>
    </row>
    <row r="4" spans="2:8" ht="13.8" thickBot="1"/>
    <row r="5" spans="2:8" ht="14.4" thickTop="1" thickBot="1">
      <c r="B5" s="1527"/>
      <c r="C5" s="1527"/>
      <c r="D5" s="1908" t="s">
        <v>1119</v>
      </c>
      <c r="E5" s="1909"/>
      <c r="F5" s="1911"/>
      <c r="G5" s="1912"/>
      <c r="H5" s="1213" t="s">
        <v>1122</v>
      </c>
    </row>
    <row r="6" spans="2:8" ht="15.75" customHeight="1" thickBot="1">
      <c r="B6" s="1532" t="s">
        <v>263</v>
      </c>
      <c r="C6" s="1528"/>
      <c r="D6" s="1906" t="s">
        <v>1120</v>
      </c>
      <c r="E6" s="1906" t="s">
        <v>1121</v>
      </c>
      <c r="F6" s="1913" t="s">
        <v>1782</v>
      </c>
      <c r="G6" s="1906" t="s">
        <v>1318</v>
      </c>
      <c r="H6" s="1574"/>
    </row>
    <row r="7" spans="2:8" ht="15.75" customHeight="1" thickBot="1">
      <c r="B7" s="1561"/>
      <c r="C7" s="1567" t="s">
        <v>1765</v>
      </c>
      <c r="D7" s="1907"/>
      <c r="E7" s="1907"/>
      <c r="F7" s="1914"/>
      <c r="G7" s="1907"/>
      <c r="H7" s="1576" t="s">
        <v>1783</v>
      </c>
    </row>
    <row r="8" spans="2:8" ht="15.75" hidden="1" customHeight="1" thickTop="1" thickBot="1">
      <c r="B8" s="1529">
        <v>2009</v>
      </c>
      <c r="C8" s="1529"/>
      <c r="D8" s="1547"/>
      <c r="E8" s="1906"/>
      <c r="F8" s="1564"/>
      <c r="G8" s="1547"/>
      <c r="H8" s="1577"/>
    </row>
    <row r="9" spans="2:8" ht="15.75" hidden="1" customHeight="1" thickBot="1">
      <c r="B9" s="1530"/>
      <c r="C9" s="1530"/>
      <c r="D9" s="1548"/>
      <c r="E9" s="1907"/>
      <c r="F9" s="1565"/>
      <c r="G9" s="1548"/>
      <c r="H9" s="1528"/>
    </row>
    <row r="10" spans="2:8" ht="15.75" hidden="1" customHeight="1" thickTop="1" thickBot="1">
      <c r="B10" s="1531" t="s">
        <v>345</v>
      </c>
      <c r="C10" s="1531"/>
      <c r="D10" s="1549" t="s">
        <v>608</v>
      </c>
      <c r="E10" s="1906"/>
      <c r="F10" s="1566"/>
      <c r="G10" s="1549"/>
      <c r="H10" s="1549" t="s">
        <v>608</v>
      </c>
    </row>
    <row r="11" spans="2:8" ht="15.75" hidden="1" customHeight="1" thickBot="1">
      <c r="B11" s="1531" t="s">
        <v>334</v>
      </c>
      <c r="C11" s="1531"/>
      <c r="D11" s="1550">
        <v>58.56</v>
      </c>
      <c r="E11" s="1907"/>
      <c r="F11" s="1544"/>
      <c r="G11" s="1550"/>
      <c r="H11" s="1550">
        <v>1371.24</v>
      </c>
    </row>
    <row r="12" spans="2:8" ht="15.75" hidden="1" customHeight="1" thickTop="1" thickBot="1">
      <c r="B12" s="1531" t="s">
        <v>335</v>
      </c>
      <c r="C12" s="1531"/>
      <c r="D12" s="1550">
        <v>67.73</v>
      </c>
      <c r="E12" s="1906"/>
      <c r="F12" s="1544"/>
      <c r="G12" s="1550"/>
      <c r="H12" s="1550">
        <v>1666.28</v>
      </c>
    </row>
    <row r="13" spans="2:8" ht="15.75" hidden="1" customHeight="1" thickBot="1">
      <c r="B13" s="1531" t="s">
        <v>336</v>
      </c>
      <c r="C13" s="1531"/>
      <c r="D13" s="1550">
        <v>99.81</v>
      </c>
      <c r="E13" s="1907"/>
      <c r="F13" s="1544"/>
      <c r="G13" s="1550"/>
      <c r="H13" s="1550">
        <v>2996.17</v>
      </c>
    </row>
    <row r="14" spans="2:8" ht="15.75" hidden="1" customHeight="1" thickTop="1" thickBot="1">
      <c r="B14" s="1531" t="s">
        <v>337</v>
      </c>
      <c r="C14" s="1531"/>
      <c r="D14" s="1550">
        <v>139.53</v>
      </c>
      <c r="E14" s="1906"/>
      <c r="F14" s="1544"/>
      <c r="G14" s="1550"/>
      <c r="H14" s="1550">
        <v>3568.24</v>
      </c>
    </row>
    <row r="15" spans="2:8" ht="15.75" hidden="1" customHeight="1" thickBot="1">
      <c r="B15" s="1531" t="s">
        <v>338</v>
      </c>
      <c r="C15" s="1531"/>
      <c r="D15" s="1550">
        <v>154.41999999999999</v>
      </c>
      <c r="E15" s="1907"/>
      <c r="F15" s="1544"/>
      <c r="G15" s="1550"/>
      <c r="H15" s="1550">
        <v>3895.12</v>
      </c>
    </row>
    <row r="16" spans="2:8" ht="14.4" hidden="1" thickTop="1" thickBot="1">
      <c r="B16" s="1531" t="s">
        <v>339</v>
      </c>
      <c r="C16" s="1531"/>
      <c r="D16" s="1550">
        <v>148.47999999999999</v>
      </c>
      <c r="E16" s="1551">
        <v>222.55</v>
      </c>
      <c r="F16" s="1544"/>
      <c r="G16" s="1550"/>
      <c r="H16" s="1550">
        <v>3717.25</v>
      </c>
    </row>
    <row r="17" spans="2:8" ht="14.4" hidden="1" thickTop="1" thickBot="1">
      <c r="B17" s="1531" t="s">
        <v>340</v>
      </c>
      <c r="C17" s="1531"/>
      <c r="D17" s="1550">
        <v>137.06</v>
      </c>
      <c r="E17" s="1550">
        <v>192.8</v>
      </c>
      <c r="F17" s="1544"/>
      <c r="G17" s="1550"/>
      <c r="H17" s="1550">
        <v>3437.05</v>
      </c>
    </row>
    <row r="18" spans="2:8" ht="14.4" hidden="1" thickTop="1" thickBot="1">
      <c r="B18" s="1531" t="s">
        <v>341</v>
      </c>
      <c r="C18" s="1531"/>
      <c r="D18" s="1550">
        <v>158.07</v>
      </c>
      <c r="E18" s="1550">
        <v>215.23</v>
      </c>
      <c r="F18" s="1544"/>
      <c r="G18" s="1550"/>
      <c r="H18" s="1550">
        <v>3954.5</v>
      </c>
    </row>
    <row r="19" spans="2:8" ht="14.4" hidden="1" thickTop="1" thickBot="1">
      <c r="B19" s="1531" t="s">
        <v>342</v>
      </c>
      <c r="C19" s="1531"/>
      <c r="D19" s="1550">
        <v>149.03</v>
      </c>
      <c r="E19" s="1550">
        <v>182.15</v>
      </c>
      <c r="F19" s="1544"/>
      <c r="G19" s="1550"/>
      <c r="H19" s="1550">
        <v>3755.97</v>
      </c>
    </row>
    <row r="20" spans="2:8" ht="14.4" hidden="1" thickTop="1" thickBot="1">
      <c r="B20" s="1531" t="s">
        <v>343</v>
      </c>
      <c r="C20" s="1531"/>
      <c r="D20" s="1550">
        <v>149.47</v>
      </c>
      <c r="E20" s="1550">
        <v>189.51</v>
      </c>
      <c r="F20" s="1544"/>
      <c r="G20" s="1550"/>
      <c r="H20" s="1550">
        <v>3746.14</v>
      </c>
    </row>
    <row r="21" spans="2:8" ht="14.4" hidden="1" thickTop="1" thickBot="1">
      <c r="B21" s="1531" t="s">
        <v>344</v>
      </c>
      <c r="C21" s="1531"/>
      <c r="D21" s="1550">
        <v>151.99</v>
      </c>
      <c r="E21" s="1550">
        <v>185.5</v>
      </c>
      <c r="F21" s="1544"/>
      <c r="G21" s="1550"/>
      <c r="H21" s="1550">
        <v>3829.93</v>
      </c>
    </row>
    <row r="22" spans="2:8" ht="14.4" hidden="1" thickTop="1" thickBot="1">
      <c r="B22" s="1531"/>
      <c r="C22" s="1531"/>
      <c r="D22" s="1551"/>
      <c r="E22" s="1551"/>
      <c r="F22" s="1543"/>
      <c r="G22" s="1551"/>
      <c r="H22" s="1551"/>
    </row>
    <row r="23" spans="2:8" ht="14.4" hidden="1" thickTop="1" thickBot="1">
      <c r="B23" s="1562">
        <v>2010</v>
      </c>
      <c r="C23" s="1529"/>
      <c r="D23" s="1539"/>
      <c r="E23" s="1539"/>
      <c r="F23" s="1545"/>
      <c r="G23" s="1539"/>
      <c r="H23" s="1539"/>
    </row>
    <row r="24" spans="2:8" ht="14.4" hidden="1" thickTop="1" thickBot="1">
      <c r="B24" s="1532"/>
      <c r="C24" s="1532"/>
      <c r="D24" s="1539"/>
      <c r="E24" s="1539"/>
      <c r="F24" s="1545"/>
      <c r="G24" s="1539"/>
      <c r="H24" s="1539"/>
    </row>
    <row r="25" spans="2:8" ht="14.4" hidden="1" thickTop="1" thickBot="1">
      <c r="B25" s="1531" t="s">
        <v>345</v>
      </c>
      <c r="C25" s="1531"/>
      <c r="D25" s="1539">
        <v>157.36000000000001</v>
      </c>
      <c r="E25" s="1539">
        <v>212.27</v>
      </c>
      <c r="F25" s="1545"/>
      <c r="G25" s="1539"/>
      <c r="H25" s="1539">
        <v>3972.1133500000001</v>
      </c>
    </row>
    <row r="26" spans="2:8" ht="14.4" hidden="1" thickTop="1" thickBot="1">
      <c r="B26" s="1531" t="s">
        <v>334</v>
      </c>
      <c r="C26" s="1531"/>
      <c r="D26" s="1539">
        <v>140.37</v>
      </c>
      <c r="E26" s="1539">
        <v>175.08</v>
      </c>
      <c r="F26" s="1545"/>
      <c r="G26" s="1539"/>
      <c r="H26" s="1539">
        <v>3552.707793</v>
      </c>
    </row>
    <row r="27" spans="2:8" ht="14.4" hidden="1" thickTop="1" thickBot="1">
      <c r="B27" s="1531" t="s">
        <v>335</v>
      </c>
      <c r="C27" s="1531"/>
      <c r="D27" s="1539">
        <v>142.37</v>
      </c>
      <c r="E27" s="1539">
        <v>216.85</v>
      </c>
      <c r="F27" s="1545"/>
      <c r="G27" s="1539"/>
      <c r="H27" s="1539">
        <v>3636.1107510000002</v>
      </c>
    </row>
    <row r="28" spans="2:8" ht="14.4" hidden="1" thickTop="1" thickBot="1">
      <c r="B28" s="1531" t="s">
        <v>336</v>
      </c>
      <c r="C28" s="1531"/>
      <c r="D28" s="1539">
        <v>139.01</v>
      </c>
      <c r="E28" s="1539">
        <v>167.9</v>
      </c>
      <c r="F28" s="1545"/>
      <c r="G28" s="1539"/>
      <c r="H28" s="1539">
        <v>3490.2877680000001</v>
      </c>
    </row>
    <row r="29" spans="2:8" ht="14.4" hidden="1" thickTop="1" thickBot="1">
      <c r="B29" s="1531" t="s">
        <v>337</v>
      </c>
      <c r="C29" s="1531"/>
      <c r="D29" s="1539">
        <v>129.4</v>
      </c>
      <c r="E29" s="1539">
        <v>159.28</v>
      </c>
      <c r="F29" s="1545"/>
      <c r="G29" s="1539"/>
      <c r="H29" s="1539">
        <v>3251.4528439999999</v>
      </c>
    </row>
    <row r="30" spans="2:8" ht="14.4" hidden="1" thickTop="1" thickBot="1">
      <c r="B30" s="1531" t="s">
        <v>338</v>
      </c>
      <c r="C30" s="1531"/>
      <c r="D30" s="1539">
        <v>127.46</v>
      </c>
      <c r="E30" s="1539">
        <v>143.08000000000001</v>
      </c>
      <c r="F30" s="1545"/>
      <c r="G30" s="1539"/>
      <c r="H30" s="1539">
        <v>3187.046257</v>
      </c>
    </row>
    <row r="31" spans="2:8" ht="14.4" hidden="1" thickTop="1" thickBot="1">
      <c r="B31" s="1531" t="s">
        <v>339</v>
      </c>
      <c r="C31" s="1531"/>
      <c r="D31" s="1539">
        <v>130.91999999999999</v>
      </c>
      <c r="E31" s="1539">
        <v>134.87</v>
      </c>
      <c r="F31" s="1545"/>
      <c r="G31" s="1539"/>
      <c r="H31" s="1539">
        <v>3286.469317</v>
      </c>
    </row>
    <row r="32" spans="2:8" ht="14.4" hidden="1" thickTop="1" thickBot="1">
      <c r="B32" s="1531" t="s">
        <v>340</v>
      </c>
      <c r="C32" s="1531"/>
      <c r="D32" s="1539">
        <v>130.91999999999999</v>
      </c>
      <c r="E32" s="1539">
        <v>127.64</v>
      </c>
      <c r="F32" s="1545"/>
      <c r="G32" s="1539"/>
      <c r="H32" s="1539">
        <v>3299.802103</v>
      </c>
    </row>
    <row r="33" spans="2:10" ht="14.4" hidden="1" thickTop="1" thickBot="1">
      <c r="B33" s="1531" t="s">
        <v>341</v>
      </c>
      <c r="C33" s="1531"/>
      <c r="D33" s="1539">
        <v>137.04</v>
      </c>
      <c r="E33" s="1539">
        <v>145.65</v>
      </c>
      <c r="F33" s="1545"/>
      <c r="G33" s="1539"/>
      <c r="H33" s="1539">
        <v>3418.0391989999998</v>
      </c>
    </row>
    <row r="34" spans="2:10" ht="14.4" hidden="1" thickTop="1" thickBot="1">
      <c r="B34" s="1531" t="s">
        <v>342</v>
      </c>
      <c r="C34" s="1531"/>
      <c r="D34" s="1539">
        <v>157.71</v>
      </c>
      <c r="E34" s="1539">
        <v>217.07</v>
      </c>
      <c r="F34" s="1545"/>
      <c r="G34" s="1539"/>
      <c r="H34" s="1539">
        <v>3978.2882589999999</v>
      </c>
    </row>
    <row r="35" spans="2:10" ht="14.4" hidden="1" thickTop="1" thickBot="1">
      <c r="B35" s="1531" t="s">
        <v>343</v>
      </c>
      <c r="C35" s="1531"/>
      <c r="D35" s="1539">
        <v>154.6</v>
      </c>
      <c r="E35" s="1539">
        <v>230.61</v>
      </c>
      <c r="F35" s="1545"/>
      <c r="G35" s="1539"/>
      <c r="H35" s="1539">
        <v>3942.8541220000002</v>
      </c>
    </row>
    <row r="36" spans="2:10" ht="14.4" hidden="1" thickTop="1" thickBot="1">
      <c r="B36" s="1531" t="s">
        <v>344</v>
      </c>
      <c r="C36" s="1531"/>
      <c r="D36" s="1539">
        <v>151.27000000000001</v>
      </c>
      <c r="E36" s="1539">
        <v>200.4</v>
      </c>
      <c r="F36" s="1545"/>
      <c r="G36" s="1539"/>
      <c r="H36" s="1539">
        <v>3868.1405629999999</v>
      </c>
    </row>
    <row r="37" spans="2:10" ht="14.4" hidden="1" thickTop="1" thickBot="1">
      <c r="B37" s="1530"/>
      <c r="C37" s="1530"/>
      <c r="D37" s="1539"/>
      <c r="E37" s="1539"/>
      <c r="F37" s="1545"/>
      <c r="G37" s="1539"/>
      <c r="H37" s="1539"/>
    </row>
    <row r="38" spans="2:10" ht="14.4" hidden="1" thickTop="1" thickBot="1">
      <c r="B38" s="1529">
        <v>2011</v>
      </c>
      <c r="C38" s="1529"/>
      <c r="D38" s="1539"/>
      <c r="E38" s="1539"/>
      <c r="F38" s="1545"/>
      <c r="G38" s="1539"/>
      <c r="H38" s="1539"/>
    </row>
    <row r="39" spans="2:10" ht="14.4" hidden="1" thickTop="1" thickBot="1">
      <c r="B39" s="1532"/>
      <c r="C39" s="1532"/>
      <c r="D39" s="1539"/>
      <c r="E39" s="1539"/>
      <c r="F39" s="1545"/>
      <c r="G39" s="1539"/>
      <c r="H39" s="1539"/>
    </row>
    <row r="40" spans="2:10" ht="14.4" hidden="1" thickTop="1" thickBot="1">
      <c r="B40" s="1531" t="s">
        <v>345</v>
      </c>
      <c r="C40" s="1531"/>
      <c r="D40" s="1539">
        <v>161.1</v>
      </c>
      <c r="E40" s="1539">
        <v>216.82</v>
      </c>
      <c r="F40" s="1545"/>
      <c r="G40" s="1539"/>
      <c r="H40" s="1539">
        <v>4131.8185549999998</v>
      </c>
      <c r="J40" s="160">
        <v>1000000</v>
      </c>
    </row>
    <row r="41" spans="2:10" ht="14.4" hidden="1" thickTop="1" thickBot="1">
      <c r="B41" s="1531" t="s">
        <v>334</v>
      </c>
      <c r="C41" s="1531"/>
      <c r="D41" s="1539">
        <v>159.04</v>
      </c>
      <c r="E41" s="1539">
        <v>239.08</v>
      </c>
      <c r="F41" s="1545"/>
      <c r="G41" s="1539"/>
      <c r="H41" s="1539">
        <v>4100.3363749</v>
      </c>
    </row>
    <row r="42" spans="2:10" ht="14.4" hidden="1" thickTop="1" thickBot="1">
      <c r="B42" s="1531" t="s">
        <v>335</v>
      </c>
      <c r="C42" s="1531"/>
      <c r="D42" s="1539">
        <v>160.65</v>
      </c>
      <c r="E42" s="1539">
        <v>237.18</v>
      </c>
      <c r="F42" s="1545"/>
      <c r="G42" s="1539"/>
      <c r="H42" s="1539">
        <v>4156.3153629999997</v>
      </c>
    </row>
    <row r="43" spans="2:10" ht="14.4" hidden="1" thickTop="1" thickBot="1">
      <c r="B43" s="1531" t="s">
        <v>336</v>
      </c>
      <c r="C43" s="1531"/>
      <c r="D43" s="1539">
        <v>164.64</v>
      </c>
      <c r="E43" s="1539">
        <v>201.36</v>
      </c>
      <c r="F43" s="1545"/>
      <c r="G43" s="1539"/>
      <c r="H43" s="1539">
        <v>4223.24</v>
      </c>
    </row>
    <row r="44" spans="2:10" ht="14.4" hidden="1" thickTop="1" thickBot="1">
      <c r="B44" s="1531" t="s">
        <v>337</v>
      </c>
      <c r="C44" s="1531"/>
      <c r="D44" s="1539">
        <v>163.37</v>
      </c>
      <c r="E44" s="1539">
        <v>197.37</v>
      </c>
      <c r="F44" s="1545"/>
      <c r="G44" s="1539"/>
      <c r="H44" s="1539">
        <v>4191</v>
      </c>
    </row>
    <row r="45" spans="2:10" ht="14.4" hidden="1" thickTop="1" thickBot="1">
      <c r="B45" s="1531" t="s">
        <v>338</v>
      </c>
      <c r="C45" s="1531"/>
      <c r="D45" s="1539">
        <v>167.18</v>
      </c>
      <c r="E45" s="1539">
        <v>171.32</v>
      </c>
      <c r="F45" s="1545"/>
      <c r="G45" s="1539"/>
      <c r="H45" s="1539">
        <v>4267.1400000000003</v>
      </c>
    </row>
    <row r="46" spans="2:10" ht="14.4" hidden="1" thickTop="1" thickBot="1">
      <c r="B46" s="1531" t="s">
        <v>339</v>
      </c>
      <c r="C46" s="1531"/>
      <c r="D46" s="1539">
        <v>163.69</v>
      </c>
      <c r="E46" s="1539">
        <v>160.16999999999999</v>
      </c>
      <c r="F46" s="1545"/>
      <c r="G46" s="1539"/>
      <c r="H46" s="1539">
        <v>4172.7</v>
      </c>
    </row>
    <row r="47" spans="2:10" ht="14.4" hidden="1" thickTop="1" thickBot="1">
      <c r="B47" s="1531" t="s">
        <v>340</v>
      </c>
      <c r="C47" s="1531"/>
      <c r="D47" s="1539">
        <v>160.53</v>
      </c>
      <c r="E47" s="1539">
        <v>164.52</v>
      </c>
      <c r="F47" s="1545"/>
      <c r="G47" s="1539"/>
      <c r="H47" s="1539">
        <v>4145.3599999999997</v>
      </c>
    </row>
    <row r="48" spans="2:10" ht="14.4" hidden="1" thickTop="1" thickBot="1">
      <c r="B48" s="1531" t="s">
        <v>341</v>
      </c>
      <c r="C48" s="1531"/>
      <c r="D48" s="1539">
        <v>155.82</v>
      </c>
      <c r="E48" s="1539">
        <v>152.41999999999999</v>
      </c>
      <c r="F48" s="1545"/>
      <c r="G48" s="1539"/>
      <c r="H48" s="1539">
        <v>3984.47</v>
      </c>
    </row>
    <row r="49" spans="2:8" ht="14.4" hidden="1" thickTop="1" thickBot="1">
      <c r="B49" s="1531" t="s">
        <v>342</v>
      </c>
      <c r="C49" s="1531"/>
      <c r="D49" s="1539">
        <v>143.58000000000001</v>
      </c>
      <c r="E49" s="1539">
        <v>131.75</v>
      </c>
      <c r="F49" s="1545"/>
      <c r="G49" s="1539"/>
      <c r="H49" s="1539">
        <v>3656.6</v>
      </c>
    </row>
    <row r="50" spans="2:8" ht="14.4" hidden="1" thickTop="1" thickBot="1">
      <c r="B50" s="1531" t="s">
        <v>343</v>
      </c>
      <c r="C50" s="1531"/>
      <c r="D50" s="1539">
        <v>144.97999999999999</v>
      </c>
      <c r="E50" s="1539">
        <v>115.47</v>
      </c>
      <c r="F50" s="1545"/>
      <c r="G50" s="1539"/>
      <c r="H50" s="1539">
        <v>3677.6</v>
      </c>
    </row>
    <row r="51" spans="2:8" ht="14.4" hidden="1" thickTop="1" thickBot="1">
      <c r="B51" s="1531" t="s">
        <v>344</v>
      </c>
      <c r="C51" s="1531"/>
      <c r="D51" s="1539">
        <v>145.86000000000001</v>
      </c>
      <c r="E51" s="1539">
        <v>100.7</v>
      </c>
      <c r="F51" s="1545"/>
      <c r="G51" s="1539"/>
      <c r="H51" s="1539">
        <v>3689.7</v>
      </c>
    </row>
    <row r="52" spans="2:8" ht="14.4" hidden="1" thickTop="1" thickBot="1">
      <c r="B52" s="1531"/>
      <c r="C52" s="1531"/>
      <c r="D52" s="1539"/>
      <c r="E52" s="1539"/>
      <c r="F52" s="1545"/>
      <c r="G52" s="1539"/>
      <c r="H52" s="1539"/>
    </row>
    <row r="53" spans="2:8" ht="14.4" hidden="1" thickTop="1" thickBot="1">
      <c r="B53" s="1533">
        <v>2012</v>
      </c>
      <c r="C53" s="1533"/>
      <c r="D53" s="1552"/>
      <c r="E53" s="1552"/>
      <c r="F53" s="1546"/>
      <c r="G53" s="1552"/>
      <c r="H53" s="1539"/>
    </row>
    <row r="54" spans="2:8" ht="14.4" hidden="1" thickTop="1" thickBot="1">
      <c r="B54" s="1534"/>
      <c r="C54" s="1534"/>
      <c r="D54" s="1552"/>
      <c r="E54" s="1552"/>
      <c r="F54" s="1546"/>
      <c r="G54" s="1552"/>
      <c r="H54" s="1539"/>
    </row>
    <row r="55" spans="2:8" ht="14.4" hidden="1" thickTop="1" thickBot="1">
      <c r="B55" s="1535" t="s">
        <v>345</v>
      </c>
      <c r="C55" s="1535"/>
      <c r="D55" s="1552">
        <v>138.52000000000001</v>
      </c>
      <c r="E55" s="1552">
        <v>79.09</v>
      </c>
      <c r="F55" s="1546"/>
      <c r="G55" s="1552"/>
      <c r="H55" s="1552">
        <v>3422.2</v>
      </c>
    </row>
    <row r="56" spans="2:8" ht="14.4" hidden="1" thickTop="1" thickBot="1">
      <c r="B56" s="1535" t="s">
        <v>334</v>
      </c>
      <c r="C56" s="1535"/>
      <c r="D56" s="1552">
        <v>146.03</v>
      </c>
      <c r="E56" s="1552">
        <v>95.39</v>
      </c>
      <c r="F56" s="1546"/>
      <c r="G56" s="1552"/>
      <c r="H56" s="1552">
        <v>3696.6</v>
      </c>
    </row>
    <row r="57" spans="2:8" ht="14.4" hidden="1" thickTop="1" thickBot="1">
      <c r="B57" s="1535" t="s">
        <v>335</v>
      </c>
      <c r="C57" s="1535"/>
      <c r="D57" s="1552">
        <v>136.76</v>
      </c>
      <c r="E57" s="1552">
        <v>85.01</v>
      </c>
      <c r="F57" s="1546"/>
      <c r="G57" s="1552"/>
      <c r="H57" s="1552">
        <v>3458.1</v>
      </c>
    </row>
    <row r="58" spans="2:8" ht="14.4" hidden="1" thickTop="1" thickBot="1">
      <c r="B58" s="1535" t="s">
        <v>336</v>
      </c>
      <c r="C58" s="1535"/>
      <c r="D58" s="1552">
        <v>129.55000000000001</v>
      </c>
      <c r="E58" s="1552">
        <v>97.15</v>
      </c>
      <c r="F58" s="1546"/>
      <c r="G58" s="1552"/>
      <c r="H58" s="1552">
        <v>3303.4</v>
      </c>
    </row>
    <row r="59" spans="2:8" ht="14.4" hidden="1" thickTop="1" thickBot="1">
      <c r="B59" s="1535" t="s">
        <v>337</v>
      </c>
      <c r="C59" s="1535"/>
      <c r="D59" s="1552">
        <v>132.03</v>
      </c>
      <c r="E59" s="1552">
        <v>83.73</v>
      </c>
      <c r="F59" s="1546"/>
      <c r="G59" s="1552"/>
      <c r="H59" s="1552">
        <v>3351.2</v>
      </c>
    </row>
    <row r="60" spans="2:8" ht="14.4" hidden="1" thickTop="1" thickBot="1">
      <c r="B60" s="1535" t="s">
        <v>338</v>
      </c>
      <c r="C60" s="1535"/>
      <c r="D60" s="1552">
        <v>131.96</v>
      </c>
      <c r="E60" s="1552">
        <v>75.7</v>
      </c>
      <c r="F60" s="1546"/>
      <c r="G60" s="1552"/>
      <c r="H60" s="1552">
        <v>3341.46</v>
      </c>
    </row>
    <row r="61" spans="2:8" ht="14.4" hidden="1" thickTop="1" thickBot="1">
      <c r="B61" s="1535" t="s">
        <v>339</v>
      </c>
      <c r="C61" s="1535"/>
      <c r="D61" s="1552">
        <v>132.91999999999999</v>
      </c>
      <c r="E61" s="1552">
        <v>112.12</v>
      </c>
      <c r="F61" s="1546"/>
      <c r="G61" s="1552"/>
      <c r="H61" s="1552">
        <v>3445.93</v>
      </c>
    </row>
    <row r="62" spans="2:8" ht="14.4" hidden="1" thickTop="1" thickBot="1">
      <c r="B62" s="1535" t="s">
        <v>340</v>
      </c>
      <c r="C62" s="1535"/>
      <c r="D62" s="1552">
        <v>132.27000000000001</v>
      </c>
      <c r="E62" s="1552">
        <v>89.04</v>
      </c>
      <c r="F62" s="1546"/>
      <c r="G62" s="1552"/>
      <c r="H62" s="1552">
        <v>3434</v>
      </c>
    </row>
    <row r="63" spans="2:8" ht="14.4" hidden="1" thickTop="1" thickBot="1">
      <c r="B63" s="1535" t="s">
        <v>341</v>
      </c>
      <c r="C63" s="1535"/>
      <c r="D63" s="1552">
        <v>146</v>
      </c>
      <c r="E63" s="1552">
        <v>96</v>
      </c>
      <c r="F63" s="1546"/>
      <c r="G63" s="1552"/>
      <c r="H63" s="1552">
        <v>3822.8</v>
      </c>
    </row>
    <row r="64" spans="2:8" ht="14.4" hidden="1" thickTop="1" thickBot="1">
      <c r="B64" s="1535" t="s">
        <v>342</v>
      </c>
      <c r="C64" s="1535"/>
      <c r="D64" s="1552">
        <v>154.47</v>
      </c>
      <c r="E64" s="1552">
        <v>93.66</v>
      </c>
      <c r="F64" s="1546"/>
      <c r="G64" s="1552"/>
      <c r="H64" s="1552" t="s">
        <v>1266</v>
      </c>
    </row>
    <row r="65" spans="2:8" ht="14.4" hidden="1" thickTop="1" thickBot="1">
      <c r="B65" s="1535" t="s">
        <v>343</v>
      </c>
      <c r="C65" s="1535"/>
      <c r="D65" s="1552">
        <v>150.16</v>
      </c>
      <c r="E65" s="1552">
        <v>68.739999999999995</v>
      </c>
      <c r="F65" s="1546"/>
      <c r="G65" s="1552"/>
      <c r="H65" s="1552">
        <v>3890.9</v>
      </c>
    </row>
    <row r="66" spans="2:8" ht="14.4" hidden="1" thickTop="1" thickBot="1">
      <c r="B66" s="1535" t="s">
        <v>344</v>
      </c>
      <c r="C66" s="1535"/>
      <c r="D66" s="1552">
        <v>152.4</v>
      </c>
      <c r="E66" s="1552">
        <v>65.12</v>
      </c>
      <c r="F66" s="1546"/>
      <c r="G66" s="1552"/>
      <c r="H66" s="1552">
        <v>3963.5</v>
      </c>
    </row>
    <row r="67" spans="2:8" ht="14.4" hidden="1" thickTop="1" thickBot="1">
      <c r="B67" s="1535"/>
      <c r="C67" s="1535"/>
      <c r="D67" s="1552"/>
      <c r="E67" s="1552"/>
      <c r="F67" s="1546"/>
      <c r="G67" s="1552"/>
      <c r="H67" s="1552"/>
    </row>
    <row r="68" spans="2:8" ht="14.4" hidden="1" thickTop="1" thickBot="1">
      <c r="B68" s="1533">
        <v>2013</v>
      </c>
      <c r="C68" s="1533"/>
      <c r="D68" s="1552"/>
      <c r="E68" s="1552"/>
      <c r="F68" s="1546"/>
      <c r="G68" s="1552"/>
      <c r="H68" s="1552"/>
    </row>
    <row r="69" spans="2:8" ht="14.4" hidden="1" thickTop="1" thickBot="1">
      <c r="B69" s="1535"/>
      <c r="C69" s="1535"/>
      <c r="D69" s="1552"/>
      <c r="E69" s="1552"/>
      <c r="F69" s="1546"/>
      <c r="G69" s="1552"/>
      <c r="H69" s="1552"/>
    </row>
    <row r="70" spans="2:8" ht="14.4" hidden="1" thickTop="1" thickBot="1">
      <c r="B70" s="1535" t="s">
        <v>345</v>
      </c>
      <c r="C70" s="1535"/>
      <c r="D70" s="1552">
        <v>179.34</v>
      </c>
      <c r="E70" s="1552">
        <v>84.07</v>
      </c>
      <c r="F70" s="1546"/>
      <c r="G70" s="1552"/>
      <c r="H70" s="1552">
        <v>4700.33</v>
      </c>
    </row>
    <row r="71" spans="2:8" ht="14.4" hidden="1" thickTop="1" thickBot="1">
      <c r="B71" s="1535" t="s">
        <v>334</v>
      </c>
      <c r="C71" s="1535"/>
      <c r="D71" s="1552">
        <v>182.3</v>
      </c>
      <c r="E71" s="1552">
        <v>72.010000000000005</v>
      </c>
      <c r="F71" s="1546"/>
      <c r="G71" s="1552"/>
      <c r="H71" s="1552">
        <v>4748.24</v>
      </c>
    </row>
    <row r="72" spans="2:8" ht="14.4" hidden="1" thickTop="1" thickBot="1">
      <c r="B72" s="1535" t="s">
        <v>335</v>
      </c>
      <c r="C72" s="1535"/>
      <c r="D72" s="1552">
        <v>183.9</v>
      </c>
      <c r="E72" s="1552">
        <v>66.2</v>
      </c>
      <c r="F72" s="1546"/>
      <c r="G72" s="1552"/>
      <c r="H72" s="1552">
        <v>4726.34</v>
      </c>
    </row>
    <row r="73" spans="2:8" ht="14.4" hidden="1" thickTop="1" thickBot="1">
      <c r="B73" s="1535" t="s">
        <v>336</v>
      </c>
      <c r="C73" s="1535"/>
      <c r="D73" s="1552">
        <v>189.66</v>
      </c>
      <c r="E73" s="1552">
        <v>71.98</v>
      </c>
      <c r="F73" s="1546"/>
      <c r="G73" s="1552"/>
      <c r="H73" s="1556">
        <v>4894.6770960000003</v>
      </c>
    </row>
    <row r="74" spans="2:8" ht="14.4" hidden="1" thickTop="1" thickBot="1">
      <c r="B74" s="1536" t="s">
        <v>337</v>
      </c>
      <c r="C74" s="1536"/>
      <c r="D74" s="1552">
        <v>212.72</v>
      </c>
      <c r="E74" s="1552">
        <v>73.989999999999995</v>
      </c>
      <c r="F74" s="1546"/>
      <c r="G74" s="1552"/>
      <c r="H74" s="1552">
        <v>5471.22</v>
      </c>
    </row>
    <row r="75" spans="2:8" ht="14.4" hidden="1" thickTop="1" thickBot="1">
      <c r="B75" s="1536" t="s">
        <v>338</v>
      </c>
      <c r="C75" s="1536"/>
      <c r="D75" s="1552">
        <v>211.19</v>
      </c>
      <c r="E75" s="1552">
        <v>73.290000000000006</v>
      </c>
      <c r="F75" s="1546"/>
      <c r="G75" s="1552"/>
      <c r="H75" s="1552">
        <v>5436.57</v>
      </c>
    </row>
    <row r="76" spans="2:8" ht="14.4" hidden="1" thickTop="1" thickBot="1">
      <c r="B76" s="1536" t="s">
        <v>339</v>
      </c>
      <c r="C76" s="1536"/>
      <c r="D76" s="1552">
        <v>232.87</v>
      </c>
      <c r="E76" s="1552">
        <v>66.77</v>
      </c>
      <c r="F76" s="1546"/>
      <c r="G76" s="1552"/>
      <c r="H76" s="1552">
        <v>5936.78</v>
      </c>
    </row>
    <row r="77" spans="2:8" ht="14.4" hidden="1" thickTop="1" thickBot="1">
      <c r="B77" s="1536" t="s">
        <v>340</v>
      </c>
      <c r="C77" s="1536"/>
      <c r="D77" s="1552">
        <v>181.67</v>
      </c>
      <c r="E77" s="1552">
        <v>48.73</v>
      </c>
      <c r="F77" s="1546"/>
      <c r="G77" s="1552"/>
      <c r="H77" s="1552">
        <v>4682.2700000000004</v>
      </c>
    </row>
    <row r="78" spans="2:8" ht="14.4" hidden="1" thickTop="1" thickBot="1">
      <c r="B78" s="1536" t="s">
        <v>341</v>
      </c>
      <c r="C78" s="1536"/>
      <c r="D78" s="1552">
        <v>200.05</v>
      </c>
      <c r="E78" s="1552">
        <v>49.9</v>
      </c>
      <c r="F78" s="1546"/>
      <c r="G78" s="1552"/>
      <c r="H78" s="1552">
        <v>5157.2</v>
      </c>
    </row>
    <row r="79" spans="2:8" ht="14.4" hidden="1" thickTop="1" thickBot="1">
      <c r="B79" s="1536" t="s">
        <v>342</v>
      </c>
      <c r="C79" s="1536"/>
      <c r="D79" s="1552">
        <v>209.74</v>
      </c>
      <c r="E79" s="1552">
        <v>52.68</v>
      </c>
      <c r="F79" s="1546"/>
      <c r="G79" s="1552"/>
      <c r="H79" s="1552">
        <v>5407.42</v>
      </c>
    </row>
    <row r="80" spans="2:8" ht="14.4" hidden="1" thickTop="1" thickBot="1">
      <c r="B80" s="1536" t="s">
        <v>343</v>
      </c>
      <c r="C80" s="1536"/>
      <c r="D80" s="1552">
        <v>213.04</v>
      </c>
      <c r="E80" s="1552">
        <v>47.02</v>
      </c>
      <c r="F80" s="1546"/>
      <c r="G80" s="1552"/>
      <c r="H80" s="1552">
        <v>5482.03</v>
      </c>
    </row>
    <row r="81" spans="2:8" ht="14.4" hidden="1" thickTop="1" thickBot="1">
      <c r="B81" s="1536" t="s">
        <v>344</v>
      </c>
      <c r="C81" s="1536"/>
      <c r="D81" s="1552">
        <v>202.12</v>
      </c>
      <c r="E81" s="1552">
        <v>45.79</v>
      </c>
      <c r="F81" s="1546"/>
      <c r="G81" s="1552"/>
      <c r="H81" s="1552">
        <v>5203.13</v>
      </c>
    </row>
    <row r="82" spans="2:8" ht="14.4" thickTop="1" thickBot="1">
      <c r="B82" s="1536"/>
      <c r="C82" s="1536"/>
      <c r="D82" s="1553"/>
      <c r="E82" s="1553"/>
      <c r="F82" s="1572"/>
      <c r="G82" s="1553"/>
      <c r="H82" s="1553"/>
    </row>
    <row r="83" spans="2:8" ht="13.8" hidden="1" thickBot="1">
      <c r="B83" s="1537">
        <v>2014</v>
      </c>
      <c r="C83" s="1537"/>
      <c r="D83" s="1553"/>
      <c r="E83" s="1553"/>
      <c r="F83" s="1553"/>
      <c r="G83" s="1553"/>
      <c r="H83" s="1553"/>
    </row>
    <row r="84" spans="2:8" ht="13.8" hidden="1" thickBot="1">
      <c r="B84" s="1538"/>
      <c r="C84" s="1538"/>
      <c r="D84" s="1553"/>
      <c r="E84" s="1553"/>
      <c r="F84" s="1553"/>
      <c r="G84" s="1553"/>
      <c r="H84" s="1553"/>
    </row>
    <row r="85" spans="2:8" ht="13.8" hidden="1" thickBot="1">
      <c r="B85" s="1536" t="s">
        <v>345</v>
      </c>
      <c r="C85" s="1536"/>
      <c r="D85" s="1552">
        <v>189.25</v>
      </c>
      <c r="E85" s="1552">
        <v>35.4</v>
      </c>
      <c r="F85" s="1555">
        <v>63972387.030000001</v>
      </c>
      <c r="G85" s="1575">
        <v>170104078</v>
      </c>
      <c r="H85" s="1555">
        <v>4882.1099999999997</v>
      </c>
    </row>
    <row r="86" spans="2:8" ht="13.8" hidden="1" thickBot="1">
      <c r="B86" s="1536" t="s">
        <v>334</v>
      </c>
      <c r="C86" s="1536"/>
      <c r="D86" s="1552">
        <v>189.45</v>
      </c>
      <c r="E86" s="1552">
        <v>39.24</v>
      </c>
      <c r="F86" s="1555">
        <v>25811746.890000001</v>
      </c>
      <c r="G86" s="1575">
        <v>135455029</v>
      </c>
      <c r="H86" s="1555">
        <v>4906.9399999999996</v>
      </c>
    </row>
    <row r="87" spans="2:8" ht="13.8" hidden="1" thickBot="1">
      <c r="B87" s="1536" t="s">
        <v>335</v>
      </c>
      <c r="C87" s="1536"/>
      <c r="D87" s="1552">
        <v>176.32</v>
      </c>
      <c r="E87" s="1552">
        <v>29.51</v>
      </c>
      <c r="F87" s="1555">
        <v>28884400.23</v>
      </c>
      <c r="G87" s="1575">
        <v>381649234</v>
      </c>
      <c r="H87" s="1555">
        <v>4560.29</v>
      </c>
    </row>
    <row r="88" spans="2:8" ht="13.8" hidden="1" thickBot="1">
      <c r="B88" s="1536" t="s">
        <v>336</v>
      </c>
      <c r="C88" s="1536"/>
      <c r="D88" s="1552">
        <v>172.91</v>
      </c>
      <c r="E88" s="1552">
        <v>29.64</v>
      </c>
      <c r="F88" s="1555">
        <v>51346054.520000003</v>
      </c>
      <c r="G88" s="1575">
        <v>429085166</v>
      </c>
      <c r="H88" s="1555">
        <v>4473.51</v>
      </c>
    </row>
    <row r="89" spans="2:8" ht="13.8" hidden="1" thickBot="1">
      <c r="B89" s="1536" t="s">
        <v>337</v>
      </c>
      <c r="C89" s="1536"/>
      <c r="D89" s="1552">
        <v>174.89</v>
      </c>
      <c r="E89" s="1552">
        <v>35.450000000000003</v>
      </c>
      <c r="F89" s="1555">
        <v>35903574.770000003</v>
      </c>
      <c r="G89" s="1575">
        <v>235704129</v>
      </c>
      <c r="H89" s="1555">
        <v>4485.1099999999997</v>
      </c>
    </row>
    <row r="90" spans="2:8" ht="13.8" hidden="1" thickBot="1">
      <c r="B90" s="1536" t="s">
        <v>338</v>
      </c>
      <c r="C90" s="1536"/>
      <c r="D90" s="1552">
        <v>186.57</v>
      </c>
      <c r="E90" s="1552">
        <v>61.32</v>
      </c>
      <c r="F90" s="1555">
        <v>28544304.66</v>
      </c>
      <c r="G90" s="1575">
        <v>178469676</v>
      </c>
      <c r="H90" s="1555">
        <v>4873.3999999999996</v>
      </c>
    </row>
    <row r="91" spans="2:8" ht="13.8" hidden="1" thickBot="1">
      <c r="B91" s="1536" t="s">
        <v>347</v>
      </c>
      <c r="C91" s="1536"/>
      <c r="D91" s="1552">
        <v>188.07</v>
      </c>
      <c r="E91" s="1556">
        <v>95</v>
      </c>
      <c r="F91" s="1555">
        <v>25224550.43</v>
      </c>
      <c r="G91" s="1575">
        <v>322407141</v>
      </c>
      <c r="H91" s="1555">
        <v>4959.21</v>
      </c>
    </row>
    <row r="92" spans="2:8" ht="13.8" hidden="1" thickBot="1">
      <c r="B92" s="1536" t="s">
        <v>340</v>
      </c>
      <c r="C92" s="1536"/>
      <c r="D92" s="1552">
        <v>196.43</v>
      </c>
      <c r="E92" s="1552">
        <v>104.8</v>
      </c>
      <c r="F92" s="1555">
        <v>66399632.850000001</v>
      </c>
      <c r="G92" s="1575">
        <v>328161452</v>
      </c>
      <c r="H92" s="1555">
        <v>5186.63</v>
      </c>
    </row>
    <row r="93" spans="2:8" ht="13.8" hidden="1" thickBot="1">
      <c r="B93" s="1536" t="s">
        <v>341</v>
      </c>
      <c r="C93" s="1536"/>
      <c r="D93" s="1539">
        <v>195.25</v>
      </c>
      <c r="E93" s="1539">
        <v>92.75</v>
      </c>
      <c r="F93" s="1555">
        <v>34056010.689999998</v>
      </c>
      <c r="G93" s="1575">
        <v>210942393</v>
      </c>
      <c r="H93" s="1542">
        <v>5140.2</v>
      </c>
    </row>
    <row r="94" spans="2:8" ht="13.8" hidden="1" thickBot="1">
      <c r="B94" s="1536" t="s">
        <v>342</v>
      </c>
      <c r="C94" s="1536"/>
      <c r="D94" s="1539">
        <v>177.88</v>
      </c>
      <c r="E94" s="1539">
        <v>70.38</v>
      </c>
      <c r="F94" s="1555">
        <v>28256642.489999998</v>
      </c>
      <c r="G94" s="1575">
        <v>156444539</v>
      </c>
      <c r="H94" s="1542">
        <v>4664.7969999999996</v>
      </c>
    </row>
    <row r="95" spans="2:8" ht="13.8" hidden="1" thickBot="1">
      <c r="B95" s="1536" t="s">
        <v>343</v>
      </c>
      <c r="C95" s="1536"/>
      <c r="D95" s="1539">
        <v>171.45</v>
      </c>
      <c r="E95" s="1539">
        <v>64.39</v>
      </c>
      <c r="F95" s="1555">
        <v>34765242.770000003</v>
      </c>
      <c r="G95" s="1575">
        <v>155854066</v>
      </c>
      <c r="H95" s="1542">
        <v>4517.9260000000004</v>
      </c>
    </row>
    <row r="96" spans="2:8" ht="13.8" hidden="1" thickBot="1">
      <c r="B96" s="1536" t="s">
        <v>344</v>
      </c>
      <c r="C96" s="1536"/>
      <c r="D96" s="1539">
        <v>162.79</v>
      </c>
      <c r="E96" s="1539">
        <v>71.709999999999994</v>
      </c>
      <c r="F96" s="1555">
        <v>29701204.84</v>
      </c>
      <c r="G96" s="1575">
        <v>475024051</v>
      </c>
      <c r="H96" s="1542">
        <v>4327.01</v>
      </c>
    </row>
    <row r="97" spans="2:8" ht="13.8" hidden="1" thickBot="1">
      <c r="B97" s="1536"/>
      <c r="C97" s="1536"/>
      <c r="D97" s="1552"/>
      <c r="E97" s="1556"/>
      <c r="F97" s="1556"/>
      <c r="G97" s="1560"/>
      <c r="H97" s="1555"/>
    </row>
    <row r="98" spans="2:8" ht="13.8" hidden="1" thickBot="1">
      <c r="B98" s="1537">
        <v>2015</v>
      </c>
      <c r="C98" s="1537"/>
      <c r="D98" s="1552"/>
      <c r="E98" s="1552"/>
      <c r="F98" s="1552"/>
      <c r="G98" s="1560"/>
      <c r="H98" s="1555"/>
    </row>
    <row r="99" spans="2:8" ht="13.8" hidden="1" thickBot="1">
      <c r="B99" s="1536"/>
      <c r="C99" s="1536"/>
      <c r="D99" s="1539"/>
      <c r="E99" s="1539"/>
      <c r="F99" s="1539"/>
      <c r="G99" s="1575"/>
      <c r="H99" s="1542"/>
    </row>
    <row r="100" spans="2:8" ht="13.8" hidden="1" thickBot="1">
      <c r="B100" s="1536" t="s">
        <v>345</v>
      </c>
      <c r="C100" s="1536"/>
      <c r="D100" s="1539">
        <v>164.9</v>
      </c>
      <c r="E100" s="1540">
        <v>58.13</v>
      </c>
      <c r="F100" s="1555">
        <v>16.062740829999999</v>
      </c>
      <c r="G100" s="1575">
        <v>57390451</v>
      </c>
      <c r="H100" s="1542">
        <v>4365.1400000000003</v>
      </c>
    </row>
    <row r="101" spans="2:8" ht="13.8" hidden="1" thickBot="1">
      <c r="B101" s="1536" t="s">
        <v>334</v>
      </c>
      <c r="C101" s="1536"/>
      <c r="D101" s="1540">
        <v>167.16</v>
      </c>
      <c r="E101" s="1540">
        <v>55.38</v>
      </c>
      <c r="F101" s="1555">
        <v>34.775616240000005</v>
      </c>
      <c r="G101" s="1575">
        <v>119324114</v>
      </c>
      <c r="H101" s="1542">
        <v>4353.38</v>
      </c>
    </row>
    <row r="102" spans="2:8" ht="13.8" hidden="1" thickBot="1">
      <c r="B102" s="1536" t="s">
        <v>335</v>
      </c>
      <c r="C102" s="1536"/>
      <c r="D102" s="1540">
        <v>158.22</v>
      </c>
      <c r="E102" s="1540">
        <v>43.92</v>
      </c>
      <c r="F102" s="1555">
        <v>18.903880999999998</v>
      </c>
      <c r="G102" s="1575">
        <v>405884918</v>
      </c>
      <c r="H102" s="1542">
        <v>4117.08</v>
      </c>
    </row>
    <row r="103" spans="2:8" ht="13.8" hidden="1" thickBot="1">
      <c r="B103" s="1536" t="s">
        <v>336</v>
      </c>
      <c r="C103" s="1536"/>
      <c r="D103" s="1540">
        <v>156.22999999999999</v>
      </c>
      <c r="E103" s="1540">
        <v>42.93</v>
      </c>
      <c r="F103" s="1555">
        <v>29.188562000000001</v>
      </c>
      <c r="G103" s="1575">
        <v>563833853</v>
      </c>
      <c r="H103" s="1542">
        <v>4066.07</v>
      </c>
    </row>
    <row r="104" spans="2:8" ht="13.8" hidden="1" thickBot="1">
      <c r="B104" s="1536" t="s">
        <v>337</v>
      </c>
      <c r="C104" s="1536"/>
      <c r="D104" s="1540">
        <v>152.96</v>
      </c>
      <c r="E104" s="1540">
        <v>44.45</v>
      </c>
      <c r="F104" s="1555">
        <v>23.280422200000004</v>
      </c>
      <c r="G104" s="1575">
        <v>290320685</v>
      </c>
      <c r="H104" s="1542">
        <v>3978.0623580000001</v>
      </c>
    </row>
    <row r="105" spans="2:8" ht="13.8" hidden="1" thickBot="1">
      <c r="B105" s="1536" t="s">
        <v>338</v>
      </c>
      <c r="C105" s="1536"/>
      <c r="D105" s="1540">
        <v>148.4</v>
      </c>
      <c r="E105" s="1540">
        <v>44.3</v>
      </c>
      <c r="F105" s="1555">
        <v>14.514678999999999</v>
      </c>
      <c r="G105" s="1575">
        <v>80441278</v>
      </c>
      <c r="H105" s="1542">
        <v>3803.8</v>
      </c>
    </row>
    <row r="106" spans="2:8" ht="13.8" hidden="1" thickBot="1">
      <c r="B106" s="1536" t="s">
        <v>339</v>
      </c>
      <c r="C106" s="1536"/>
      <c r="D106" s="1540">
        <v>145.35</v>
      </c>
      <c r="E106" s="1540">
        <v>39.36</v>
      </c>
      <c r="F106" s="1555">
        <v>20.419108000000001</v>
      </c>
      <c r="G106" s="1575">
        <v>157184218</v>
      </c>
      <c r="H106" s="1542">
        <v>3812.65</v>
      </c>
    </row>
    <row r="107" spans="2:8" ht="13.8" hidden="1" thickBot="1">
      <c r="B107" s="1536" t="s">
        <v>340</v>
      </c>
      <c r="C107" s="1536"/>
      <c r="D107" s="1540">
        <v>135.43</v>
      </c>
      <c r="E107" s="1540">
        <v>35.340000000000003</v>
      </c>
      <c r="F107" s="1555">
        <v>15.344249</v>
      </c>
      <c r="G107" s="1575">
        <v>76187436</v>
      </c>
      <c r="H107" s="1542">
        <v>3552.02</v>
      </c>
    </row>
    <row r="108" spans="2:8" ht="13.8" hidden="1" thickBot="1">
      <c r="B108" s="1536" t="s">
        <v>341</v>
      </c>
      <c r="C108" s="1536"/>
      <c r="D108" s="1540">
        <v>131.93</v>
      </c>
      <c r="E108" s="1540">
        <v>24.36</v>
      </c>
      <c r="F108" s="1555">
        <v>18.202231999999999</v>
      </c>
      <c r="G108" s="1575">
        <v>105678504</v>
      </c>
      <c r="H108" s="1542">
        <v>3444.5</v>
      </c>
    </row>
    <row r="109" spans="2:8" ht="13.8" hidden="1" thickBot="1">
      <c r="B109" s="1536" t="s">
        <v>342</v>
      </c>
      <c r="C109" s="1536"/>
      <c r="D109" s="1540">
        <v>130.83000000000001</v>
      </c>
      <c r="E109" s="1540">
        <v>23.57</v>
      </c>
      <c r="F109" s="1555">
        <v>12.864086</v>
      </c>
      <c r="G109" s="1575">
        <v>63758585</v>
      </c>
      <c r="H109" s="1542">
        <v>3416.105219</v>
      </c>
    </row>
    <row r="110" spans="2:8" ht="13.8" hidden="1" thickBot="1">
      <c r="B110" s="1536" t="s">
        <v>343</v>
      </c>
      <c r="C110" s="1536"/>
      <c r="D110" s="1540">
        <v>117.55</v>
      </c>
      <c r="E110" s="1540">
        <v>22.33</v>
      </c>
      <c r="F110" s="1555">
        <v>8.9475859999999994</v>
      </c>
      <c r="G110" s="1575">
        <v>90417554</v>
      </c>
      <c r="H110" s="1542">
        <v>3141.6847910000001</v>
      </c>
    </row>
    <row r="111" spans="2:8" ht="13.8" hidden="1" thickBot="1">
      <c r="B111" s="1536" t="s">
        <v>344</v>
      </c>
      <c r="C111" s="1536"/>
      <c r="D111" s="1540">
        <v>114.85</v>
      </c>
      <c r="E111" s="1540">
        <v>23.72</v>
      </c>
      <c r="F111" s="1555">
        <v>16.360451587</v>
      </c>
      <c r="G111" s="1575">
        <v>183792940</v>
      </c>
      <c r="H111" s="1542">
        <v>3073.4079999999999</v>
      </c>
    </row>
    <row r="112" spans="2:8" ht="13.8" hidden="1" thickBot="1">
      <c r="B112" s="1536"/>
      <c r="C112" s="1536"/>
      <c r="D112" s="1540"/>
      <c r="E112" s="1540"/>
      <c r="F112" s="1555"/>
      <c r="G112" s="1575"/>
      <c r="H112" s="1542"/>
    </row>
    <row r="113" spans="2:10" ht="13.8" hidden="1" thickBot="1">
      <c r="B113" s="1537">
        <v>2016</v>
      </c>
      <c r="C113" s="1537"/>
      <c r="D113" s="1540"/>
      <c r="E113" s="1540"/>
      <c r="F113" s="1555"/>
      <c r="G113" s="1575"/>
      <c r="H113" s="1542"/>
    </row>
    <row r="114" spans="2:10" ht="13.8" hidden="1" thickBot="1">
      <c r="B114" s="1536"/>
      <c r="C114" s="1536"/>
      <c r="D114" s="1540"/>
      <c r="E114" s="1540"/>
      <c r="F114" s="1555"/>
      <c r="G114" s="1575"/>
      <c r="H114" s="1542"/>
    </row>
    <row r="115" spans="2:10" ht="13.8" hidden="1" thickBot="1">
      <c r="B115" s="1536" t="s">
        <v>345</v>
      </c>
      <c r="C115" s="1536"/>
      <c r="D115" s="1540">
        <v>103.04</v>
      </c>
      <c r="E115" s="1540">
        <v>19.53</v>
      </c>
      <c r="F115" s="1555">
        <v>10.399903999999999</v>
      </c>
      <c r="G115" s="1575">
        <v>61882757</v>
      </c>
      <c r="H115" s="1542">
        <v>2790.4</v>
      </c>
    </row>
    <row r="116" spans="2:10" ht="13.8" hidden="1" thickBot="1">
      <c r="B116" s="1539" t="s">
        <v>334</v>
      </c>
      <c r="C116" s="1539"/>
      <c r="D116" s="1540">
        <v>99.4</v>
      </c>
      <c r="E116" s="1540">
        <v>19.14</v>
      </c>
      <c r="F116" s="1555">
        <v>15.556983000000001</v>
      </c>
      <c r="G116" s="1575">
        <v>95020938</v>
      </c>
      <c r="H116" s="1542">
        <v>2692.3043809999999</v>
      </c>
    </row>
    <row r="117" spans="2:10" ht="13.8" hidden="1" thickBot="1">
      <c r="B117" s="1539" t="s">
        <v>335</v>
      </c>
      <c r="C117" s="1539"/>
      <c r="D117" s="1540">
        <v>97.61</v>
      </c>
      <c r="E117" s="1540">
        <v>19.350000000000001</v>
      </c>
      <c r="F117" s="1555">
        <v>16.428571000000002</v>
      </c>
      <c r="G117" s="1575">
        <v>97601725</v>
      </c>
      <c r="H117" s="1542">
        <v>2645.0574080000001</v>
      </c>
    </row>
    <row r="118" spans="2:10" ht="13.8" hidden="1" thickBot="1">
      <c r="B118" s="1539" t="s">
        <v>336</v>
      </c>
      <c r="C118" s="1539"/>
      <c r="D118" s="1540">
        <v>105.79</v>
      </c>
      <c r="E118" s="1540">
        <v>20.16</v>
      </c>
      <c r="F118" s="1555">
        <v>14.026916999999999</v>
      </c>
      <c r="G118" s="1575">
        <v>187848946</v>
      </c>
      <c r="H118" s="1542">
        <v>2862.6118620000002</v>
      </c>
    </row>
    <row r="119" spans="2:10" ht="13.8" hidden="1" thickBot="1">
      <c r="B119" s="1539" t="s">
        <v>337</v>
      </c>
      <c r="C119" s="1539"/>
      <c r="D119" s="1540">
        <v>104.7</v>
      </c>
      <c r="E119" s="1540">
        <v>25.54</v>
      </c>
      <c r="F119" s="1555">
        <v>13.868486000000001</v>
      </c>
      <c r="G119" s="1575">
        <v>99055230</v>
      </c>
      <c r="H119" s="1542">
        <v>2881.3447980000001</v>
      </c>
    </row>
    <row r="120" spans="2:10" ht="13.8" hidden="1" thickBot="1">
      <c r="B120" s="1536" t="s">
        <v>338</v>
      </c>
      <c r="C120" s="1536"/>
      <c r="D120" s="1540">
        <v>101.04</v>
      </c>
      <c r="E120" s="1540">
        <v>24.7</v>
      </c>
      <c r="F120" s="1555">
        <v>18.064623999999998</v>
      </c>
      <c r="G120" s="1560">
        <v>88525472</v>
      </c>
      <c r="H120" s="1542">
        <v>2780.9</v>
      </c>
      <c r="J120" s="1017"/>
    </row>
    <row r="121" spans="2:10" ht="13.8" hidden="1" thickBot="1">
      <c r="B121" s="1539" t="s">
        <v>339</v>
      </c>
      <c r="C121" s="1539"/>
      <c r="D121" s="1540">
        <v>98.84</v>
      </c>
      <c r="E121" s="1540">
        <v>25.72</v>
      </c>
      <c r="F121" s="1555">
        <v>11.838626</v>
      </c>
      <c r="G121" s="1560">
        <v>57222624</v>
      </c>
      <c r="H121" s="1542">
        <v>2772.0446390000002</v>
      </c>
    </row>
    <row r="122" spans="2:10" ht="13.8" hidden="1" thickBot="1">
      <c r="B122" s="1539" t="s">
        <v>340</v>
      </c>
      <c r="C122" s="1539"/>
      <c r="D122" s="1540">
        <v>99.47</v>
      </c>
      <c r="E122" s="1540">
        <v>26.32</v>
      </c>
      <c r="F122" s="1555">
        <v>7.0757620000000001</v>
      </c>
      <c r="G122" s="1560">
        <v>41264438</v>
      </c>
      <c r="H122" s="1542">
        <v>2734.327076</v>
      </c>
    </row>
    <row r="123" spans="2:10" ht="13.8" hidden="1" thickBot="1">
      <c r="B123" s="1539" t="s">
        <v>341</v>
      </c>
      <c r="C123" s="1539"/>
      <c r="D123" s="1540">
        <v>98.96</v>
      </c>
      <c r="E123" s="1540">
        <v>26.61</v>
      </c>
      <c r="F123" s="1555">
        <v>1.3049387800000001</v>
      </c>
      <c r="G123" s="1560">
        <v>68329516</v>
      </c>
      <c r="H123" s="1542">
        <v>2725.133069</v>
      </c>
    </row>
    <row r="124" spans="2:10" ht="13.8" hidden="1" thickBot="1">
      <c r="B124" s="1539" t="s">
        <v>341</v>
      </c>
      <c r="C124" s="1539"/>
      <c r="D124" s="1540">
        <v>98.9</v>
      </c>
      <c r="E124" s="1540">
        <v>26.6</v>
      </c>
      <c r="F124" s="1555">
        <v>13.049388788999998</v>
      </c>
      <c r="G124" s="1560">
        <v>68329516</v>
      </c>
      <c r="H124" s="1542">
        <v>2725.1</v>
      </c>
    </row>
    <row r="125" spans="2:10" ht="13.8" hidden="1" thickBot="1">
      <c r="B125" s="1539" t="s">
        <v>342</v>
      </c>
      <c r="C125" s="1539"/>
      <c r="D125" s="1540">
        <v>120.8</v>
      </c>
      <c r="E125" s="1540">
        <v>33.799999999999997</v>
      </c>
      <c r="F125" s="1555">
        <v>22.6491522</v>
      </c>
      <c r="G125" s="1560">
        <v>177384684</v>
      </c>
      <c r="H125" s="1542">
        <v>3328.3</v>
      </c>
    </row>
    <row r="126" spans="2:10" ht="13.8" hidden="1" thickBot="1">
      <c r="B126" s="1539" t="s">
        <v>343</v>
      </c>
      <c r="C126" s="1539"/>
      <c r="D126" s="1540">
        <v>137.08000000000001</v>
      </c>
      <c r="E126" s="1540">
        <v>57.38</v>
      </c>
      <c r="F126" s="1555">
        <v>23.460016</v>
      </c>
      <c r="G126" s="1560">
        <v>233749377</v>
      </c>
      <c r="H126" s="1542">
        <v>3804.6</v>
      </c>
    </row>
    <row r="127" spans="2:10" ht="13.8"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60"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7">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7"/>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8" thickBot="1">
      <c r="B166" s="1563" t="s">
        <v>341</v>
      </c>
      <c r="C166" s="1568">
        <v>232.52</v>
      </c>
      <c r="D166" s="1569">
        <v>774.55</v>
      </c>
      <c r="E166" s="1571">
        <v>317.75</v>
      </c>
      <c r="F166" s="1573">
        <v>166.56</v>
      </c>
      <c r="G166" s="1558">
        <v>335373041</v>
      </c>
      <c r="H166" s="1497">
        <v>30527.182911699299</v>
      </c>
    </row>
    <row r="168" spans="2:8" ht="15.6">
      <c r="B168" s="1422" t="s">
        <v>1774</v>
      </c>
      <c r="C168" s="1217"/>
    </row>
    <row r="169" spans="2:8">
      <c r="B169" s="160" t="s">
        <v>1766</v>
      </c>
    </row>
    <row r="173" spans="2:8">
      <c r="G173" s="674"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5"/>
    <col min="3" max="3" width="13.1796875" style="145" customWidth="1"/>
    <col min="4" max="4" width="16.90625" style="145" customWidth="1"/>
    <col min="5" max="5" width="14" style="145" customWidth="1"/>
    <col min="6" max="6" width="13" style="145" customWidth="1"/>
    <col min="7" max="7" width="11.453125" style="145" customWidth="1"/>
    <col min="8" max="8" width="14.81640625" style="145" customWidth="1"/>
    <col min="9" max="9" width="12.453125" style="145" customWidth="1"/>
    <col min="10" max="10" width="12" style="145" bestFit="1" customWidth="1"/>
    <col min="11" max="11" width="12.90625" style="145" bestFit="1" customWidth="1"/>
    <col min="12" max="12" width="8.90625" style="145"/>
    <col min="13" max="13" width="23.54296875" style="145" customWidth="1"/>
    <col min="14" max="14" width="15.1796875" style="145" bestFit="1" customWidth="1"/>
    <col min="15" max="15" width="14.90625" style="145" bestFit="1" customWidth="1"/>
    <col min="16" max="17" width="9" style="145" bestFit="1" customWidth="1"/>
    <col min="18" max="16384" width="8.90625" style="145"/>
  </cols>
  <sheetData>
    <row r="2" spans="2:10" ht="26.25" hidden="1" customHeight="1">
      <c r="C2" s="1915" t="s">
        <v>1193</v>
      </c>
      <c r="D2" s="1915"/>
      <c r="E2" s="1915"/>
      <c r="F2" s="1915"/>
      <c r="G2" s="1915"/>
      <c r="H2" s="146"/>
      <c r="I2" s="146"/>
      <c r="J2" s="146"/>
    </row>
    <row r="3" spans="2:10" ht="26.25" hidden="1" customHeight="1">
      <c r="C3" s="148"/>
      <c r="D3" s="146"/>
      <c r="E3" s="147"/>
      <c r="F3" s="146"/>
      <c r="G3" s="146"/>
      <c r="H3" s="146"/>
      <c r="I3" s="146"/>
      <c r="J3" s="146"/>
    </row>
    <row r="4" spans="2:10" ht="26.25" hidden="1" customHeight="1">
      <c r="C4" s="1916" t="s">
        <v>1039</v>
      </c>
      <c r="D4" s="1916"/>
      <c r="E4" s="1916"/>
      <c r="F4" s="1916"/>
      <c r="G4" s="1916"/>
      <c r="H4" s="146"/>
      <c r="I4" s="146"/>
      <c r="J4" s="146"/>
    </row>
    <row r="5" spans="2:10" ht="26.25" hidden="1" customHeight="1" thickBot="1">
      <c r="C5" s="149"/>
      <c r="D5" s="159"/>
      <c r="E5" s="151"/>
      <c r="F5" s="150"/>
      <c r="G5" s="150"/>
      <c r="H5" s="146"/>
      <c r="I5" s="146"/>
      <c r="J5" s="146"/>
    </row>
    <row r="6" spans="2:10" ht="27.6" hidden="1" thickTop="1" thickBot="1">
      <c r="B6" s="152"/>
      <c r="C6" s="493" t="s">
        <v>765</v>
      </c>
      <c r="D6" s="493" t="s">
        <v>1130</v>
      </c>
      <c r="E6" s="493" t="s">
        <v>1131</v>
      </c>
      <c r="F6" s="493" t="s">
        <v>1132</v>
      </c>
      <c r="G6" s="493" t="s">
        <v>1118</v>
      </c>
    </row>
    <row r="7" spans="2:10" ht="26.25" hidden="1" customHeight="1" thickTop="1">
      <c r="B7" s="152"/>
      <c r="C7" s="492">
        <v>2010</v>
      </c>
      <c r="D7" s="153"/>
      <c r="E7" s="153"/>
      <c r="F7" s="153"/>
      <c r="G7" s="154"/>
    </row>
    <row r="8" spans="2:10" ht="26.25" hidden="1" customHeight="1">
      <c r="C8" s="155" t="s">
        <v>345</v>
      </c>
      <c r="D8" s="489">
        <v>1034.24625386</v>
      </c>
      <c r="E8" s="489">
        <v>1.8439950900000002</v>
      </c>
      <c r="F8" s="489">
        <v>3.66830999</v>
      </c>
      <c r="G8" s="489">
        <v>4.8369860899999999</v>
      </c>
    </row>
    <row r="9" spans="2:10" ht="26.25" hidden="1" customHeight="1">
      <c r="C9" s="155" t="s">
        <v>334</v>
      </c>
      <c r="D9" s="489">
        <v>1112.4206959400001</v>
      </c>
      <c r="E9" s="489">
        <v>2.3483414500000004</v>
      </c>
      <c r="F9" s="489">
        <v>13.68571433</v>
      </c>
      <c r="G9" s="489">
        <v>10.711198479999998</v>
      </c>
    </row>
    <row r="10" spans="2:10" ht="26.25" hidden="1" customHeight="1">
      <c r="C10" s="155" t="s">
        <v>335</v>
      </c>
      <c r="D10" s="489">
        <v>1595.3997383599997</v>
      </c>
      <c r="E10" s="489">
        <v>3.0016652700000002</v>
      </c>
      <c r="F10" s="489">
        <v>14.736150500000001</v>
      </c>
      <c r="G10" s="489">
        <v>14.08385142</v>
      </c>
    </row>
    <row r="11" spans="2:10" ht="26.25" hidden="1" customHeight="1">
      <c r="C11" s="155" t="s">
        <v>336</v>
      </c>
      <c r="D11" s="489">
        <v>1666.2262297699997</v>
      </c>
      <c r="E11" s="489">
        <v>2.7166471000000003</v>
      </c>
      <c r="F11" s="489">
        <v>21.504818499999999</v>
      </c>
      <c r="G11" s="489">
        <v>13.115489160000003</v>
      </c>
    </row>
    <row r="12" spans="2:10" ht="26.25" hidden="1" customHeight="1">
      <c r="C12" s="155" t="s">
        <v>337</v>
      </c>
      <c r="D12" s="489">
        <v>1674.4361187500001</v>
      </c>
      <c r="E12" s="489">
        <v>3.23842323</v>
      </c>
      <c r="F12" s="489">
        <v>24.013133</v>
      </c>
      <c r="G12" s="489">
        <v>15.296589319999999</v>
      </c>
    </row>
    <row r="13" spans="2:10" ht="26.25" hidden="1" customHeight="1">
      <c r="C13" s="156" t="s">
        <v>338</v>
      </c>
      <c r="D13" s="489">
        <v>1815.3130799</v>
      </c>
      <c r="E13" s="489">
        <v>3.66562783</v>
      </c>
      <c r="F13" s="489">
        <v>22.62382642</v>
      </c>
      <c r="G13" s="489">
        <v>31.854381960000001</v>
      </c>
    </row>
    <row r="14" spans="2:10" ht="26.25" hidden="1" customHeight="1">
      <c r="C14" s="156" t="s">
        <v>339</v>
      </c>
      <c r="D14" s="489">
        <v>1846.5881107999999</v>
      </c>
      <c r="E14" s="489">
        <v>4.0378604600000001</v>
      </c>
      <c r="F14" s="489">
        <v>32.85448272</v>
      </c>
      <c r="G14" s="489">
        <v>36.692399180000002</v>
      </c>
    </row>
    <row r="15" spans="2:10" ht="26.25" hidden="1" customHeight="1">
      <c r="C15" s="156" t="s">
        <v>340</v>
      </c>
      <c r="D15" s="489">
        <v>1816.5916642300001</v>
      </c>
      <c r="E15" s="489">
        <v>3.7900683500408094</v>
      </c>
      <c r="F15" s="489">
        <v>30.15819638</v>
      </c>
      <c r="G15" s="489">
        <v>19.30884863</v>
      </c>
    </row>
    <row r="16" spans="2:10" ht="26.25" hidden="1" customHeight="1">
      <c r="C16" s="156" t="s">
        <v>348</v>
      </c>
      <c r="D16" s="489">
        <v>2149.68795</v>
      </c>
      <c r="E16" s="489">
        <v>4.4845545700000002</v>
      </c>
      <c r="F16" s="489">
        <v>46.38817487</v>
      </c>
      <c r="G16" s="489">
        <v>18.704299679999995</v>
      </c>
    </row>
    <row r="17" spans="3:7" ht="26.25" hidden="1" customHeight="1">
      <c r="C17" s="156" t="s">
        <v>342</v>
      </c>
      <c r="D17" s="489">
        <v>1984.8126464000002</v>
      </c>
      <c r="E17" s="489">
        <v>4.4808489299999996</v>
      </c>
      <c r="F17" s="489">
        <v>42.020768170000004</v>
      </c>
      <c r="G17" s="489">
        <v>19.643766429999996</v>
      </c>
    </row>
    <row r="18" spans="3:7" ht="26.25" hidden="1" customHeight="1">
      <c r="C18" s="156" t="s">
        <v>343</v>
      </c>
      <c r="D18" s="489">
        <v>2380.5509893900003</v>
      </c>
      <c r="E18" s="489">
        <v>4.5794676600000015</v>
      </c>
      <c r="F18" s="489">
        <v>51.933691400000001</v>
      </c>
      <c r="G18" s="489">
        <v>24.439639820000004</v>
      </c>
    </row>
    <row r="19" spans="3:7" ht="26.25" hidden="1" customHeight="1">
      <c r="C19" s="156" t="s">
        <v>344</v>
      </c>
      <c r="D19" s="489">
        <v>2658.29567189</v>
      </c>
      <c r="E19" s="489">
        <v>4.2205464109999991</v>
      </c>
      <c r="F19" s="489">
        <v>63.264977439999996</v>
      </c>
      <c r="G19" s="489">
        <v>22.102855119999997</v>
      </c>
    </row>
    <row r="20" spans="3:7" ht="26.25" hidden="1" customHeight="1">
      <c r="C20" s="156"/>
      <c r="D20" s="489"/>
      <c r="E20" s="489"/>
      <c r="F20" s="489"/>
      <c r="G20" s="489"/>
    </row>
    <row r="21" spans="3:7" ht="26.25" hidden="1" customHeight="1">
      <c r="C21" s="491" t="s">
        <v>1150</v>
      </c>
      <c r="D21" s="490">
        <f>SUM(D8:D20)</f>
        <v>21734.56914929</v>
      </c>
      <c r="E21" s="490">
        <f>SUM(E8:E20)</f>
        <v>42.408046351040809</v>
      </c>
      <c r="F21" s="490">
        <f>SUM(F8:F20)</f>
        <v>366.85224371999999</v>
      </c>
      <c r="G21" s="490">
        <f>SUM(G8:G20)</f>
        <v>230.79030528999996</v>
      </c>
    </row>
    <row r="22" spans="3:7" ht="26.25" hidden="1" customHeight="1">
      <c r="C22" s="491"/>
      <c r="D22" s="490"/>
      <c r="E22" s="490"/>
      <c r="F22" s="490"/>
      <c r="G22" s="490"/>
    </row>
    <row r="23" spans="3:7" ht="26.25" hidden="1" customHeight="1">
      <c r="C23" s="491">
        <v>2011</v>
      </c>
      <c r="D23" s="490"/>
      <c r="E23" s="490"/>
      <c r="F23" s="490"/>
      <c r="G23" s="490"/>
    </row>
    <row r="24" spans="3:7" ht="26.25" hidden="1" customHeight="1">
      <c r="C24" s="491"/>
      <c r="D24" s="490"/>
      <c r="E24" s="490"/>
      <c r="F24" s="490"/>
      <c r="G24" s="490"/>
    </row>
    <row r="25" spans="3:7" ht="26.25" hidden="1" customHeight="1">
      <c r="C25" s="155" t="s">
        <v>345</v>
      </c>
      <c r="D25" s="490">
        <v>2193.0275486999999</v>
      </c>
      <c r="E25" s="490">
        <v>4.1750608300000005</v>
      </c>
      <c r="F25" s="490">
        <f>(8166429.23+47674919)/1000000</f>
        <v>55.841348230000001</v>
      </c>
      <c r="G25" s="490">
        <f>(148491.05+23388646.55)/1000000</f>
        <v>23.537137600000001</v>
      </c>
    </row>
    <row r="26" spans="3:7" ht="26.25" hidden="1" customHeight="1">
      <c r="C26" s="155" t="s">
        <v>334</v>
      </c>
      <c r="D26" s="490">
        <v>1978.71801611</v>
      </c>
      <c r="E26" s="490">
        <v>4.37489404</v>
      </c>
      <c r="F26" s="490">
        <v>59.067092680000002</v>
      </c>
      <c r="G26" s="490">
        <v>29.096125269999998</v>
      </c>
    </row>
    <row r="27" spans="3:7" ht="26.25" hidden="1" customHeight="1">
      <c r="C27" s="537" t="s">
        <v>335</v>
      </c>
      <c r="D27" s="538">
        <v>2716.5</v>
      </c>
      <c r="E27" s="538">
        <v>5.617</v>
      </c>
      <c r="F27" s="538">
        <v>71.003</v>
      </c>
      <c r="G27" s="538">
        <v>37.53</v>
      </c>
    </row>
    <row r="28" spans="3:7" ht="26.25" hidden="1" customHeight="1">
      <c r="C28" s="155" t="s">
        <v>336</v>
      </c>
      <c r="D28" s="542">
        <v>2282.6999999999998</v>
      </c>
      <c r="E28" s="543">
        <v>4.5</v>
      </c>
      <c r="F28" s="543">
        <v>87.3</v>
      </c>
      <c r="G28" s="543">
        <v>35.4</v>
      </c>
    </row>
    <row r="29" spans="3:7" ht="26.25" hidden="1" customHeight="1">
      <c r="C29" s="155" t="s">
        <v>337</v>
      </c>
      <c r="D29" s="542">
        <f>+D30*(1-0.14)</f>
        <v>2446.1840000000002</v>
      </c>
      <c r="E29" s="543">
        <f>+E30*(1-0.15)</f>
        <v>5.0999999999999996</v>
      </c>
      <c r="F29" s="544">
        <v>87.78</v>
      </c>
      <c r="G29" s="543">
        <v>43.73</v>
      </c>
    </row>
    <row r="30" spans="3:7" ht="26.25" hidden="1" customHeight="1">
      <c r="C30" s="155" t="s">
        <v>338</v>
      </c>
      <c r="D30" s="546">
        <v>2844.4</v>
      </c>
      <c r="E30" s="547">
        <v>6</v>
      </c>
      <c r="F30" s="548">
        <f>15.6+62.7</f>
        <v>78.3</v>
      </c>
      <c r="G30" s="548">
        <f>0.27+35.6</f>
        <v>35.870000000000005</v>
      </c>
    </row>
    <row r="31" spans="3:7" ht="26.25" hidden="1" customHeight="1">
      <c r="C31" s="155" t="s">
        <v>339</v>
      </c>
      <c r="D31" s="545">
        <v>2830.1</v>
      </c>
      <c r="E31" s="547">
        <v>5.5979999999999999</v>
      </c>
      <c r="F31" s="548">
        <v>97</v>
      </c>
      <c r="G31" s="548">
        <v>43.9</v>
      </c>
    </row>
    <row r="32" spans="3:7" ht="26.25" hidden="1" customHeight="1">
      <c r="C32" s="155" t="s">
        <v>340</v>
      </c>
      <c r="D32" s="566">
        <v>2948.01</v>
      </c>
      <c r="E32" s="566">
        <v>5.7</v>
      </c>
      <c r="F32" s="566">
        <v>104.2</v>
      </c>
      <c r="G32" s="566">
        <v>49.7</v>
      </c>
    </row>
    <row r="33" spans="1:58" s="155" customFormat="1" ht="26.25" hidden="1" customHeight="1">
      <c r="A33" s="563"/>
      <c r="B33" s="565"/>
      <c r="C33" s="155" t="s">
        <v>341</v>
      </c>
      <c r="D33" s="566">
        <v>2984.49</v>
      </c>
      <c r="E33" s="566">
        <v>5.96</v>
      </c>
      <c r="F33" s="566">
        <v>99.27</v>
      </c>
      <c r="G33" s="566">
        <v>55.519999999999996</v>
      </c>
      <c r="H33" s="564"/>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3"/>
      <c r="AZ33" s="563"/>
      <c r="BA33" s="563"/>
      <c r="BB33" s="563"/>
      <c r="BC33" s="563"/>
      <c r="BD33" s="563"/>
      <c r="BE33" s="563"/>
      <c r="BF33" s="563"/>
    </row>
    <row r="34" spans="1:58" s="155" customFormat="1" ht="26.25" hidden="1" customHeight="1">
      <c r="A34" s="563"/>
      <c r="B34" s="565"/>
      <c r="C34" s="155" t="s">
        <v>342</v>
      </c>
      <c r="D34" s="571">
        <v>3078</v>
      </c>
      <c r="E34" s="562">
        <v>6.12</v>
      </c>
      <c r="F34" s="562">
        <v>113.2</v>
      </c>
      <c r="G34" s="562">
        <v>57.7</v>
      </c>
      <c r="H34" s="564"/>
      <c r="I34" s="563"/>
      <c r="J34" s="563"/>
      <c r="K34" s="563"/>
      <c r="L34" s="563"/>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3"/>
      <c r="AN34" s="563"/>
      <c r="AO34" s="563"/>
      <c r="AP34" s="563"/>
      <c r="AQ34" s="563"/>
      <c r="AR34" s="563"/>
      <c r="AS34" s="563"/>
      <c r="AT34" s="563"/>
      <c r="AU34" s="563"/>
      <c r="AV34" s="563"/>
      <c r="AW34" s="563"/>
      <c r="AX34" s="563"/>
      <c r="AY34" s="563"/>
      <c r="AZ34" s="563"/>
      <c r="BA34" s="563"/>
      <c r="BB34" s="563"/>
      <c r="BC34" s="563"/>
      <c r="BD34" s="563"/>
      <c r="BE34" s="563"/>
      <c r="BF34" s="563"/>
    </row>
    <row r="35" spans="1:58" s="155" customFormat="1" ht="26.25" hidden="1" customHeight="1">
      <c r="A35" s="563"/>
      <c r="B35" s="565"/>
      <c r="C35" s="155" t="s">
        <v>343</v>
      </c>
      <c r="D35" s="571">
        <v>3160.85</v>
      </c>
      <c r="E35" s="562">
        <v>5.94</v>
      </c>
      <c r="F35" s="562">
        <v>122</v>
      </c>
      <c r="G35" s="562">
        <v>60.6</v>
      </c>
      <c r="H35" s="564"/>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3"/>
      <c r="AZ35" s="563"/>
      <c r="BA35" s="563"/>
      <c r="BB35" s="563"/>
      <c r="BC35" s="563"/>
      <c r="BD35" s="563"/>
      <c r="BE35" s="563"/>
      <c r="BF35" s="563"/>
    </row>
    <row r="36" spans="1:58" s="155" customFormat="1" ht="26.25" hidden="1" customHeight="1">
      <c r="A36" s="563"/>
      <c r="B36" s="565"/>
      <c r="C36" s="155" t="s">
        <v>344</v>
      </c>
      <c r="D36" s="581">
        <v>2892.23</v>
      </c>
      <c r="E36" s="582">
        <v>4.99</v>
      </c>
      <c r="F36" s="582">
        <f>47.26+117.06</f>
        <v>164.32</v>
      </c>
      <c r="G36" s="582">
        <f>1.93+56.61</f>
        <v>58.54</v>
      </c>
      <c r="H36" s="564"/>
      <c r="I36" s="563"/>
      <c r="J36" s="563"/>
      <c r="K36" s="563"/>
      <c r="L36" s="563"/>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3"/>
      <c r="AN36" s="563"/>
      <c r="AO36" s="563"/>
      <c r="AP36" s="563"/>
      <c r="AQ36" s="563"/>
      <c r="AR36" s="563"/>
      <c r="AS36" s="563"/>
      <c r="AT36" s="563"/>
      <c r="AU36" s="563"/>
      <c r="AV36" s="563"/>
      <c r="AW36" s="563"/>
      <c r="AX36" s="563"/>
      <c r="AY36" s="563"/>
      <c r="AZ36" s="563"/>
      <c r="BA36" s="563"/>
      <c r="BB36" s="563"/>
      <c r="BC36" s="563"/>
      <c r="BD36" s="563"/>
      <c r="BE36" s="563"/>
      <c r="BF36" s="563"/>
    </row>
    <row r="37" spans="1:58" s="155" customFormat="1" ht="26.25" hidden="1" customHeight="1">
      <c r="A37" s="563"/>
      <c r="B37" s="565"/>
      <c r="D37" s="581"/>
      <c r="E37" s="582"/>
      <c r="F37" s="582"/>
      <c r="G37" s="582"/>
      <c r="H37" s="564"/>
      <c r="I37" s="563"/>
      <c r="J37" s="563"/>
      <c r="K37" s="563"/>
      <c r="L37" s="563"/>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3"/>
      <c r="AZ37" s="563"/>
      <c r="BA37" s="563"/>
      <c r="BB37" s="563"/>
      <c r="BC37" s="563"/>
      <c r="BD37" s="563"/>
      <c r="BE37" s="563"/>
      <c r="BF37" s="563"/>
    </row>
    <row r="38" spans="1:58" s="155" customFormat="1" ht="26.25" hidden="1" customHeight="1">
      <c r="A38" s="563"/>
      <c r="B38" s="565"/>
      <c r="D38" s="581"/>
      <c r="E38" s="582"/>
      <c r="F38" s="582"/>
      <c r="G38" s="582"/>
      <c r="H38" s="564"/>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3"/>
      <c r="AN38" s="563"/>
      <c r="AO38" s="563"/>
      <c r="AP38" s="563"/>
      <c r="AQ38" s="563"/>
      <c r="AR38" s="563"/>
      <c r="AS38" s="563"/>
      <c r="AT38" s="563"/>
      <c r="AU38" s="563"/>
      <c r="AV38" s="563"/>
      <c r="AW38" s="563"/>
      <c r="AX38" s="563"/>
      <c r="AY38" s="563"/>
      <c r="AZ38" s="563"/>
      <c r="BA38" s="563"/>
      <c r="BB38" s="563"/>
      <c r="BC38" s="563"/>
      <c r="BD38" s="563"/>
      <c r="BE38" s="563"/>
      <c r="BF38" s="563"/>
    </row>
    <row r="39" spans="1:58" s="155" customFormat="1" ht="26.25" hidden="1" customHeight="1">
      <c r="A39" s="563"/>
      <c r="B39" s="565"/>
      <c r="C39" s="727">
        <v>2012</v>
      </c>
      <c r="D39" s="562"/>
      <c r="E39" s="562"/>
      <c r="F39" s="562"/>
      <c r="G39" s="562"/>
      <c r="H39" s="564"/>
      <c r="I39" s="563"/>
      <c r="J39" s="563"/>
      <c r="K39" s="563"/>
      <c r="L39" s="563"/>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3"/>
      <c r="AZ39" s="563"/>
      <c r="BA39" s="563"/>
      <c r="BB39" s="563"/>
      <c r="BC39" s="563"/>
      <c r="BD39" s="563"/>
      <c r="BE39" s="563"/>
      <c r="BF39" s="563"/>
    </row>
    <row r="40" spans="1:58" s="155" customFormat="1" ht="26.25" hidden="1" customHeight="1">
      <c r="A40" s="563"/>
      <c r="B40" s="565"/>
      <c r="C40" s="583" t="s">
        <v>345</v>
      </c>
      <c r="D40" s="619">
        <v>2439.6999999999998</v>
      </c>
      <c r="E40" s="619">
        <v>5.3</v>
      </c>
      <c r="F40" s="619">
        <v>137.19999999999999</v>
      </c>
      <c r="G40" s="619">
        <v>60.8</v>
      </c>
      <c r="H40" s="564"/>
      <c r="I40" s="563"/>
      <c r="J40" s="563"/>
      <c r="K40" s="563"/>
      <c r="L40" s="563"/>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563"/>
      <c r="AO40" s="563"/>
      <c r="AP40" s="563"/>
      <c r="AQ40" s="563"/>
      <c r="AR40" s="563"/>
      <c r="AS40" s="563"/>
      <c r="AT40" s="563"/>
      <c r="AU40" s="563"/>
      <c r="AV40" s="563"/>
      <c r="AW40" s="563"/>
      <c r="AX40" s="563"/>
      <c r="AY40" s="563"/>
      <c r="AZ40" s="563"/>
      <c r="BA40" s="563"/>
      <c r="BB40" s="563"/>
      <c r="BC40" s="563"/>
      <c r="BD40" s="563"/>
      <c r="BE40" s="563"/>
      <c r="BF40" s="563"/>
    </row>
    <row r="41" spans="1:58" s="155" customFormat="1" ht="13.2" hidden="1">
      <c r="A41" s="563"/>
      <c r="B41" s="565"/>
      <c r="C41" s="583" t="s">
        <v>334</v>
      </c>
      <c r="D41" s="619">
        <v>2920.1</v>
      </c>
      <c r="E41" s="619">
        <v>6.1</v>
      </c>
      <c r="F41" s="619">
        <v>137.1</v>
      </c>
      <c r="G41" s="619">
        <v>77.2</v>
      </c>
      <c r="H41" s="564"/>
      <c r="I41" s="563"/>
      <c r="J41" s="572"/>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row>
    <row r="42" spans="1:58" hidden="1">
      <c r="C42" s="583" t="s">
        <v>335</v>
      </c>
      <c r="D42" s="619">
        <v>3242.8</v>
      </c>
      <c r="E42" s="619">
        <v>6.8</v>
      </c>
      <c r="F42" s="619">
        <v>156.4</v>
      </c>
      <c r="G42" s="619">
        <v>104.1</v>
      </c>
    </row>
    <row r="43" spans="1:58" hidden="1">
      <c r="C43" s="583" t="s">
        <v>336</v>
      </c>
      <c r="D43" s="619">
        <v>2948.5</v>
      </c>
      <c r="E43" s="619">
        <v>5.5</v>
      </c>
      <c r="F43" s="619">
        <v>160.5</v>
      </c>
      <c r="G43" s="619">
        <v>68.599999999999994</v>
      </c>
    </row>
    <row r="44" spans="1:58" hidden="1">
      <c r="C44" s="583" t="s">
        <v>337</v>
      </c>
      <c r="D44" s="619">
        <v>3237.4</v>
      </c>
      <c r="E44" s="619">
        <v>5</v>
      </c>
      <c r="F44" s="619">
        <v>189.6</v>
      </c>
      <c r="G44" s="619">
        <v>82</v>
      </c>
    </row>
    <row r="45" spans="1:58" hidden="1">
      <c r="C45" s="583" t="s">
        <v>338</v>
      </c>
      <c r="D45" s="619">
        <v>3407.3</v>
      </c>
      <c r="E45" s="619">
        <v>6.5</v>
      </c>
      <c r="F45" s="619">
        <v>177.7</v>
      </c>
      <c r="G45" s="619">
        <v>93.5</v>
      </c>
    </row>
    <row r="46" spans="1:58" hidden="1">
      <c r="C46" s="583" t="s">
        <v>339</v>
      </c>
      <c r="D46" s="619">
        <v>3321</v>
      </c>
      <c r="E46" s="619">
        <v>6.7</v>
      </c>
      <c r="F46" s="619">
        <v>169.1</v>
      </c>
      <c r="G46" s="619">
        <v>135.6</v>
      </c>
    </row>
    <row r="47" spans="1:58" hidden="1">
      <c r="C47" s="583" t="s">
        <v>340</v>
      </c>
      <c r="D47" s="619">
        <v>3417.3</v>
      </c>
      <c r="E47" s="619">
        <v>6.1</v>
      </c>
      <c r="F47" s="619">
        <v>218.4</v>
      </c>
      <c r="G47" s="619">
        <v>98.3</v>
      </c>
    </row>
    <row r="48" spans="1:58" hidden="1">
      <c r="C48" s="583" t="s">
        <v>341</v>
      </c>
      <c r="D48" s="619">
        <v>3043.2</v>
      </c>
      <c r="E48" s="621">
        <v>5.6</v>
      </c>
      <c r="F48" s="619">
        <v>235.5</v>
      </c>
      <c r="G48" s="619">
        <v>149.19999999999999</v>
      </c>
    </row>
    <row r="49" spans="3:13" hidden="1">
      <c r="C49" s="583" t="s">
        <v>342</v>
      </c>
      <c r="D49" s="619">
        <v>3630.7</v>
      </c>
      <c r="E49" s="621">
        <v>6.6</v>
      </c>
      <c r="F49" s="619">
        <v>232.9</v>
      </c>
      <c r="G49" s="619">
        <v>196.9</v>
      </c>
    </row>
    <row r="50" spans="3:13" hidden="1">
      <c r="C50" s="583" t="s">
        <v>343</v>
      </c>
      <c r="D50" s="621">
        <v>3526</v>
      </c>
      <c r="E50" s="619">
        <v>5.9</v>
      </c>
      <c r="F50" s="619">
        <v>240.8</v>
      </c>
      <c r="G50" s="619">
        <v>197.3</v>
      </c>
    </row>
    <row r="51" spans="3:13" hidden="1">
      <c r="C51" s="583" t="s">
        <v>344</v>
      </c>
      <c r="D51" s="621">
        <v>3584.7</v>
      </c>
      <c r="E51" s="621">
        <v>5</v>
      </c>
      <c r="F51" s="621">
        <f>98.9+209.998</f>
        <v>308.89800000000002</v>
      </c>
      <c r="G51" s="621">
        <f>108.9+111.4</f>
        <v>220.3</v>
      </c>
    </row>
    <row r="52" spans="3:13" ht="15.6" hidden="1" thickBot="1">
      <c r="C52" s="728" t="s">
        <v>1150</v>
      </c>
      <c r="D52" s="620">
        <f>SUM(D40:D51)</f>
        <v>38718.699999999997</v>
      </c>
      <c r="E52" s="620">
        <f>SUM(E40:E51)</f>
        <v>71.100000000000009</v>
      </c>
      <c r="F52" s="620">
        <f>SUM(F40:F51)</f>
        <v>2364.0980000000004</v>
      </c>
      <c r="G52" s="620">
        <f>SUM(G40:G51)</f>
        <v>1483.8</v>
      </c>
    </row>
    <row r="53" spans="3:13" ht="15.6" hidden="1" thickTop="1">
      <c r="C53" s="622"/>
      <c r="G53" s="494"/>
    </row>
    <row r="54" spans="3:13" hidden="1"/>
    <row r="56" spans="3:13" ht="17.399999999999999">
      <c r="C56" s="1917" t="s">
        <v>1739</v>
      </c>
      <c r="D56" s="1917"/>
      <c r="E56" s="1917"/>
      <c r="F56" s="1917"/>
      <c r="G56" s="1917"/>
      <c r="H56" s="1917"/>
      <c r="I56" s="1917"/>
    </row>
    <row r="57" spans="3:13" ht="16.5" customHeight="1" thickBot="1">
      <c r="C57" s="1918" t="s">
        <v>1785</v>
      </c>
      <c r="D57" s="1919"/>
      <c r="E57" s="1919"/>
      <c r="F57" s="1919"/>
      <c r="G57" s="1919"/>
      <c r="H57" s="1919"/>
      <c r="I57" s="1919"/>
      <c r="M57" s="906"/>
    </row>
    <row r="58" spans="3:13" ht="34.5" customHeight="1" thickTop="1" thickBot="1">
      <c r="C58" s="1624" t="s">
        <v>263</v>
      </c>
      <c r="D58" s="1631" t="s">
        <v>1304</v>
      </c>
      <c r="E58" s="1631" t="s">
        <v>1305</v>
      </c>
      <c r="F58" s="1631" t="s">
        <v>1306</v>
      </c>
      <c r="G58" s="1631" t="s">
        <v>1307</v>
      </c>
      <c r="H58" s="1631" t="s">
        <v>1308</v>
      </c>
      <c r="I58" s="1631" t="s">
        <v>1309</v>
      </c>
    </row>
    <row r="59" spans="3:13" ht="18.600000000000001" hidden="1" thickTop="1">
      <c r="C59" s="1625"/>
      <c r="D59" s="1632"/>
      <c r="E59" s="1632"/>
      <c r="F59" s="1632"/>
      <c r="G59" s="1632"/>
      <c r="H59" s="1632"/>
      <c r="I59" s="1632"/>
    </row>
    <row r="60" spans="3:13" ht="18.600000000000001" hidden="1" thickTop="1">
      <c r="C60" s="1626"/>
      <c r="D60" s="1633"/>
      <c r="E60" s="1633"/>
      <c r="F60" s="1633"/>
      <c r="G60" s="1633"/>
      <c r="H60" s="1633"/>
      <c r="I60" s="1633"/>
    </row>
    <row r="61" spans="3:13" ht="18.600000000000001" hidden="1" thickTop="1">
      <c r="C61" s="1627">
        <v>2013</v>
      </c>
      <c r="D61" s="1633"/>
      <c r="E61" s="1633"/>
      <c r="F61" s="1633"/>
      <c r="G61" s="1633"/>
      <c r="H61" s="1633"/>
      <c r="I61" s="1633"/>
    </row>
    <row r="62" spans="3:13" ht="18.600000000000001" hidden="1" thickTop="1">
      <c r="C62" s="1628" t="s">
        <v>345</v>
      </c>
      <c r="D62" s="1634">
        <v>3563.84</v>
      </c>
      <c r="E62" s="1634">
        <v>5.24</v>
      </c>
      <c r="F62" s="1634">
        <v>80.72</v>
      </c>
      <c r="G62" s="1634">
        <v>173.71</v>
      </c>
      <c r="H62" s="1634">
        <v>115.53</v>
      </c>
      <c r="I62" s="1634">
        <v>89.67</v>
      </c>
    </row>
    <row r="63" spans="3:13" ht="18.600000000000001" hidden="1" thickTop="1">
      <c r="C63" s="1628" t="s">
        <v>334</v>
      </c>
      <c r="D63" s="1634">
        <v>2968.02</v>
      </c>
      <c r="E63" s="1634">
        <v>5.52</v>
      </c>
      <c r="F63" s="1634">
        <v>103.88</v>
      </c>
      <c r="G63" s="1634">
        <v>156.66</v>
      </c>
      <c r="H63" s="1634">
        <v>118.7</v>
      </c>
      <c r="I63" s="1634">
        <v>80.56</v>
      </c>
    </row>
    <row r="64" spans="3:13" ht="18.600000000000001" hidden="1" thickTop="1">
      <c r="C64" s="1628" t="s">
        <v>335</v>
      </c>
      <c r="D64" s="1634">
        <v>3339.98</v>
      </c>
      <c r="E64" s="1634">
        <v>15.21</v>
      </c>
      <c r="F64" s="1634">
        <v>134.33000000000001</v>
      </c>
      <c r="G64" s="1634">
        <v>178.08</v>
      </c>
      <c r="H64" s="1634">
        <v>118.47</v>
      </c>
      <c r="I64" s="1634">
        <v>102.05</v>
      </c>
    </row>
    <row r="65" spans="3:9" ht="18.600000000000001" hidden="1" thickTop="1">
      <c r="C65" s="1628" t="s">
        <v>336</v>
      </c>
      <c r="D65" s="1634">
        <v>3535.58</v>
      </c>
      <c r="E65" s="1634">
        <v>16.579999999999998</v>
      </c>
      <c r="F65" s="1634">
        <v>140.28</v>
      </c>
      <c r="G65" s="1634">
        <v>187.85</v>
      </c>
      <c r="H65" s="1634">
        <v>160.61000000000001</v>
      </c>
      <c r="I65" s="1634">
        <v>123.03</v>
      </c>
    </row>
    <row r="66" spans="3:9" ht="18.600000000000001" hidden="1" thickTop="1">
      <c r="C66" s="1628" t="s">
        <v>337</v>
      </c>
      <c r="D66" s="1634">
        <v>3915.31</v>
      </c>
      <c r="E66" s="1634">
        <v>15.42</v>
      </c>
      <c r="F66" s="1634">
        <v>129.19999999999999</v>
      </c>
      <c r="G66" s="1634">
        <v>203.37</v>
      </c>
      <c r="H66" s="1634">
        <v>211.75</v>
      </c>
      <c r="I66" s="1634">
        <v>152.24</v>
      </c>
    </row>
    <row r="67" spans="3:9" ht="18.600000000000001" hidden="1" thickTop="1">
      <c r="C67" s="1628" t="s">
        <v>338</v>
      </c>
      <c r="D67" s="1634">
        <v>3544.35</v>
      </c>
      <c r="E67" s="1634">
        <v>13.65</v>
      </c>
      <c r="F67" s="1634">
        <v>117.11</v>
      </c>
      <c r="G67" s="1634">
        <v>181.35</v>
      </c>
      <c r="H67" s="1634">
        <v>146.63999999999999</v>
      </c>
      <c r="I67" s="1634">
        <v>121.98</v>
      </c>
    </row>
    <row r="68" spans="3:9" ht="18.600000000000001" hidden="1" thickTop="1">
      <c r="C68" s="1628" t="s">
        <v>339</v>
      </c>
      <c r="D68" s="1634">
        <v>3955.45</v>
      </c>
      <c r="E68" s="1634">
        <v>12.31</v>
      </c>
      <c r="F68" s="1634">
        <v>132.61000000000001</v>
      </c>
      <c r="G68" s="1634">
        <v>205.37</v>
      </c>
      <c r="H68" s="1634">
        <v>164.08</v>
      </c>
      <c r="I68" s="1634">
        <v>139.13</v>
      </c>
    </row>
    <row r="69" spans="3:9" ht="18.600000000000001" hidden="1" thickTop="1">
      <c r="C69" s="1628" t="s">
        <v>340</v>
      </c>
      <c r="D69" s="1634">
        <v>3351.13</v>
      </c>
      <c r="E69" s="1634">
        <v>10.45</v>
      </c>
      <c r="F69" s="1634">
        <v>138.05000000000001</v>
      </c>
      <c r="G69" s="1634">
        <v>203.41</v>
      </c>
      <c r="H69" s="1634">
        <v>189.48</v>
      </c>
      <c r="I69" s="1634">
        <v>128.68</v>
      </c>
    </row>
    <row r="70" spans="3:9" ht="18.600000000000001" hidden="1" thickTop="1">
      <c r="C70" s="1628" t="s">
        <v>341</v>
      </c>
      <c r="D70" s="1634">
        <v>3409.17</v>
      </c>
      <c r="E70" s="1634">
        <v>13.34</v>
      </c>
      <c r="F70" s="1634">
        <v>120.41</v>
      </c>
      <c r="G70" s="1634">
        <v>190.44</v>
      </c>
      <c r="H70" s="1634">
        <v>173.13</v>
      </c>
      <c r="I70" s="1634">
        <v>142.32</v>
      </c>
    </row>
    <row r="71" spans="3:9" ht="18.600000000000001" hidden="1" thickTop="1">
      <c r="C71" s="1628" t="s">
        <v>342</v>
      </c>
      <c r="D71" s="1634">
        <v>3641.98</v>
      </c>
      <c r="E71" s="1634">
        <v>13.75</v>
      </c>
      <c r="F71" s="1634">
        <v>121.55</v>
      </c>
      <c r="G71" s="1634">
        <v>206.51</v>
      </c>
      <c r="H71" s="1634">
        <v>201.51</v>
      </c>
      <c r="I71" s="1634">
        <v>156.26</v>
      </c>
    </row>
    <row r="72" spans="3:9" ht="18.600000000000001" hidden="1" thickTop="1">
      <c r="C72" s="1628" t="s">
        <v>343</v>
      </c>
      <c r="D72" s="1634">
        <v>3134.35</v>
      </c>
      <c r="E72" s="1634">
        <v>11.4</v>
      </c>
      <c r="F72" s="1634">
        <v>102.19</v>
      </c>
      <c r="G72" s="1634">
        <v>229.52</v>
      </c>
      <c r="H72" s="1634">
        <v>222.18</v>
      </c>
      <c r="I72" s="1634">
        <v>57.34</v>
      </c>
    </row>
    <row r="73" spans="3:9" ht="18.600000000000001" hidden="1" thickTop="1">
      <c r="C73" s="1628" t="s">
        <v>344</v>
      </c>
      <c r="D73" s="1634">
        <v>3438.08</v>
      </c>
      <c r="E73" s="1634">
        <v>4.04</v>
      </c>
      <c r="F73" s="1634">
        <v>130.15</v>
      </c>
      <c r="G73" s="1634">
        <v>265.8</v>
      </c>
      <c r="H73" s="1634">
        <v>268.94</v>
      </c>
      <c r="I73" s="1634">
        <v>68.58</v>
      </c>
    </row>
    <row r="74" spans="3:9" ht="18.600000000000001" hidden="1" thickTop="1">
      <c r="C74" s="1628"/>
      <c r="D74" s="1634"/>
      <c r="E74" s="1634"/>
      <c r="F74" s="1634"/>
      <c r="G74" s="1634"/>
      <c r="H74" s="1634"/>
      <c r="I74" s="1634"/>
    </row>
    <row r="75" spans="3:9" ht="18.600000000000001" hidden="1" thickTop="1" thickBot="1">
      <c r="C75" s="1629" t="s">
        <v>1150</v>
      </c>
      <c r="D75" s="1635">
        <v>41797.24</v>
      </c>
      <c r="E75" s="1635">
        <v>136.91</v>
      </c>
      <c r="F75" s="1635">
        <v>1450.48</v>
      </c>
      <c r="G75" s="1635">
        <v>2382.0700000000002</v>
      </c>
      <c r="H75" s="1635">
        <v>2091.02</v>
      </c>
      <c r="I75" s="1635">
        <v>1361.84</v>
      </c>
    </row>
    <row r="76" spans="3:9" ht="18.600000000000001" thickTop="1">
      <c r="C76" s="1628"/>
      <c r="D76" s="1634"/>
      <c r="E76" s="1634"/>
      <c r="F76" s="1634"/>
      <c r="G76" s="1634"/>
      <c r="H76" s="1634"/>
      <c r="I76" s="1634"/>
    </row>
    <row r="77" spans="3:9" ht="18" hidden="1">
      <c r="C77" s="1627">
        <v>2014</v>
      </c>
      <c r="D77" s="1634"/>
      <c r="E77" s="1634"/>
      <c r="F77" s="1634"/>
      <c r="G77" s="1634"/>
      <c r="H77" s="1634"/>
      <c r="I77" s="1634"/>
    </row>
    <row r="78" spans="3:9" ht="18" hidden="1">
      <c r="C78" s="1628" t="s">
        <v>345</v>
      </c>
      <c r="D78" s="1634">
        <v>3093.01</v>
      </c>
      <c r="E78" s="1634">
        <v>5.24</v>
      </c>
      <c r="F78" s="1634">
        <v>102.26</v>
      </c>
      <c r="G78" s="1634">
        <v>233.1</v>
      </c>
      <c r="H78" s="1634">
        <v>228.25</v>
      </c>
      <c r="I78" s="1634">
        <v>68.31</v>
      </c>
    </row>
    <row r="79" spans="3:9" ht="18" hidden="1">
      <c r="C79" s="1628" t="s">
        <v>334</v>
      </c>
      <c r="D79" s="1634">
        <v>2954.93</v>
      </c>
      <c r="E79" s="1634">
        <v>10.73</v>
      </c>
      <c r="F79" s="1634">
        <v>96.27</v>
      </c>
      <c r="G79" s="1634">
        <v>193.9</v>
      </c>
      <c r="H79" s="1634">
        <v>217.14</v>
      </c>
      <c r="I79" s="1634">
        <v>64.42</v>
      </c>
    </row>
    <row r="80" spans="3:9" ht="18" hidden="1">
      <c r="C80" s="1628" t="s">
        <v>335</v>
      </c>
      <c r="D80" s="1634">
        <v>3332.79</v>
      </c>
      <c r="E80" s="1634">
        <v>10.4</v>
      </c>
      <c r="F80" s="1634">
        <v>103.58</v>
      </c>
      <c r="G80" s="1634">
        <v>232.94</v>
      </c>
      <c r="H80" s="1634">
        <v>255.32</v>
      </c>
      <c r="I80" s="1634">
        <v>87.94</v>
      </c>
    </row>
    <row r="81" spans="3:9" ht="18" hidden="1">
      <c r="C81" s="1628" t="s">
        <v>336</v>
      </c>
      <c r="D81" s="1634">
        <v>3439.33</v>
      </c>
      <c r="E81" s="1634">
        <v>9.66</v>
      </c>
      <c r="F81" s="1634">
        <v>126.26</v>
      </c>
      <c r="G81" s="1634">
        <v>253.16</v>
      </c>
      <c r="H81" s="1634">
        <v>264.38</v>
      </c>
      <c r="I81" s="1634">
        <v>96.29</v>
      </c>
    </row>
    <row r="82" spans="3:9" ht="18" hidden="1">
      <c r="C82" s="1628" t="s">
        <v>337</v>
      </c>
      <c r="D82" s="1634">
        <v>3915.31</v>
      </c>
      <c r="E82" s="1634">
        <v>13.65</v>
      </c>
      <c r="F82" s="1634">
        <v>117.11</v>
      </c>
      <c r="G82" s="1634">
        <v>181.35</v>
      </c>
      <c r="H82" s="1634">
        <v>146.63999999999999</v>
      </c>
      <c r="I82" s="1634">
        <v>121.98</v>
      </c>
    </row>
    <row r="83" spans="3:9" ht="18" hidden="1">
      <c r="C83" s="1628" t="s">
        <v>338</v>
      </c>
      <c r="D83" s="1634">
        <v>3657.44</v>
      </c>
      <c r="E83" s="1634">
        <v>12.42</v>
      </c>
      <c r="F83" s="1634">
        <v>110.38</v>
      </c>
      <c r="G83" s="1634">
        <v>250.87</v>
      </c>
      <c r="H83" s="1634">
        <v>284.18</v>
      </c>
      <c r="I83" s="1634">
        <v>104.28</v>
      </c>
    </row>
    <row r="84" spans="3:9" ht="18" hidden="1">
      <c r="C84" s="1628" t="s">
        <v>339</v>
      </c>
      <c r="D84" s="1634">
        <v>3955.45</v>
      </c>
      <c r="E84" s="1634">
        <v>11.72</v>
      </c>
      <c r="F84" s="1634">
        <v>125.81</v>
      </c>
      <c r="G84" s="1634">
        <v>267</v>
      </c>
      <c r="H84" s="1634">
        <v>312.35000000000002</v>
      </c>
      <c r="I84" s="1634">
        <v>101.75</v>
      </c>
    </row>
    <row r="85" spans="3:9" ht="18" hidden="1">
      <c r="C85" s="1628" t="s">
        <v>340</v>
      </c>
      <c r="D85" s="1634">
        <v>3467.34</v>
      </c>
      <c r="E85" s="1634">
        <v>9.36</v>
      </c>
      <c r="F85" s="1634">
        <v>135.9</v>
      </c>
      <c r="G85" s="1634">
        <v>273.39</v>
      </c>
      <c r="H85" s="1634">
        <v>320.36</v>
      </c>
      <c r="I85" s="1634">
        <v>103.26</v>
      </c>
    </row>
    <row r="86" spans="3:9" ht="18" hidden="1">
      <c r="C86" s="1628" t="s">
        <v>341</v>
      </c>
      <c r="D86" s="1634">
        <v>4037.98</v>
      </c>
      <c r="E86" s="1634">
        <v>11.16</v>
      </c>
      <c r="F86" s="1634">
        <v>138.09</v>
      </c>
      <c r="G86" s="1634">
        <v>280.8</v>
      </c>
      <c r="H86" s="1634">
        <v>341.23</v>
      </c>
      <c r="I86" s="1634">
        <v>115.94</v>
      </c>
    </row>
    <row r="87" spans="3:9" ht="18" hidden="1">
      <c r="C87" s="1628" t="s">
        <v>342</v>
      </c>
      <c r="D87" s="1636">
        <v>3843.84</v>
      </c>
      <c r="E87" s="1636">
        <v>13.58</v>
      </c>
      <c r="F87" s="1636">
        <v>150.09</v>
      </c>
      <c r="G87" s="1636">
        <v>291.68</v>
      </c>
      <c r="H87" s="1636">
        <v>362.3</v>
      </c>
      <c r="I87" s="1636">
        <v>117.4</v>
      </c>
    </row>
    <row r="88" spans="3:9" ht="18" hidden="1">
      <c r="C88" s="1628" t="s">
        <v>343</v>
      </c>
      <c r="D88" s="1636">
        <v>4104.33</v>
      </c>
      <c r="E88" s="1636">
        <v>9.33</v>
      </c>
      <c r="F88" s="1636">
        <v>160.39599999999999</v>
      </c>
      <c r="G88" s="1636">
        <v>299.93900000000002</v>
      </c>
      <c r="H88" s="1636">
        <v>358.75900000000001</v>
      </c>
      <c r="I88" s="1636">
        <v>103.75700000000001</v>
      </c>
    </row>
    <row r="89" spans="3:9" ht="18" hidden="1">
      <c r="C89" s="1628" t="s">
        <v>344</v>
      </c>
      <c r="D89" s="1634">
        <v>4615.04</v>
      </c>
      <c r="E89" s="1634">
        <v>11.53</v>
      </c>
      <c r="F89" s="1634">
        <v>148.5</v>
      </c>
      <c r="G89" s="1634">
        <v>336.65</v>
      </c>
      <c r="H89" s="1634">
        <v>395.93</v>
      </c>
      <c r="I89" s="1634">
        <v>124.33</v>
      </c>
    </row>
    <row r="90" spans="3:9" ht="18" hidden="1">
      <c r="C90" s="1628"/>
      <c r="D90" s="1634"/>
      <c r="E90" s="1634"/>
      <c r="F90" s="1634"/>
      <c r="G90" s="1634"/>
      <c r="H90" s="1634"/>
      <c r="I90" s="1634"/>
    </row>
    <row r="91" spans="3:9" ht="18.600000000000001"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 hidden="1">
      <c r="C92" s="1628"/>
      <c r="D92" s="1634"/>
      <c r="E92" s="1634"/>
      <c r="F92" s="1634"/>
      <c r="G92" s="1634"/>
      <c r="H92" s="1634"/>
      <c r="I92" s="1634"/>
    </row>
    <row r="93" spans="3:9" ht="18"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 hidden="1">
      <c r="C95" s="1630" t="s">
        <v>334</v>
      </c>
      <c r="D95" s="1638">
        <v>3221.13</v>
      </c>
      <c r="E95" s="1643">
        <v>13.69</v>
      </c>
      <c r="F95" s="1643">
        <v>141.79</v>
      </c>
      <c r="G95" s="1643">
        <v>275.8</v>
      </c>
      <c r="H95" s="1643">
        <v>334.62</v>
      </c>
      <c r="I95" s="1643">
        <v>104.62</v>
      </c>
    </row>
    <row r="96" spans="3:9" ht="18" hidden="1">
      <c r="C96" s="1630" t="s">
        <v>335</v>
      </c>
      <c r="D96" s="1638">
        <v>3801.9580000000001</v>
      </c>
      <c r="E96" s="1643">
        <v>11.11</v>
      </c>
      <c r="F96" s="1643">
        <v>131.97</v>
      </c>
      <c r="G96" s="1643">
        <v>298.298</v>
      </c>
      <c r="H96" s="1643">
        <v>364.68700000000001</v>
      </c>
      <c r="I96" s="1643">
        <v>111.697</v>
      </c>
    </row>
    <row r="97" spans="3:9" ht="18" hidden="1">
      <c r="C97" s="1628" t="s">
        <v>336</v>
      </c>
      <c r="D97" s="1638">
        <v>3919.47</v>
      </c>
      <c r="E97" s="1643">
        <v>10.81</v>
      </c>
      <c r="F97" s="1643">
        <v>133.99</v>
      </c>
      <c r="G97" s="1643">
        <v>299.67</v>
      </c>
      <c r="H97" s="1643">
        <v>341.22</v>
      </c>
      <c r="I97" s="1643">
        <v>112.38</v>
      </c>
    </row>
    <row r="98" spans="3:9" ht="18" hidden="1">
      <c r="C98" s="1630" t="s">
        <v>337</v>
      </c>
      <c r="D98" s="1638">
        <v>3467.1</v>
      </c>
      <c r="E98" s="1643">
        <v>13.08</v>
      </c>
      <c r="F98" s="1643">
        <v>128.76</v>
      </c>
      <c r="G98" s="1643">
        <v>316.66000000000003</v>
      </c>
      <c r="H98" s="1643">
        <v>389.97</v>
      </c>
      <c r="I98" s="1643">
        <v>124.5</v>
      </c>
    </row>
    <row r="99" spans="3:9" ht="18" hidden="1">
      <c r="C99" s="1630" t="s">
        <v>338</v>
      </c>
      <c r="D99" s="1638">
        <v>3014.73</v>
      </c>
      <c r="E99" s="1643">
        <v>15.35</v>
      </c>
      <c r="F99" s="1643">
        <v>123.53</v>
      </c>
      <c r="G99" s="1643">
        <v>333.65</v>
      </c>
      <c r="H99" s="1643">
        <v>438.72</v>
      </c>
      <c r="I99" s="1643">
        <v>136.62</v>
      </c>
    </row>
    <row r="100" spans="3:9" ht="18" hidden="1">
      <c r="C100" s="1630" t="s">
        <v>339</v>
      </c>
      <c r="D100" s="1638">
        <v>4010.26</v>
      </c>
      <c r="E100" s="1643">
        <v>12.64</v>
      </c>
      <c r="F100" s="1643">
        <v>154.61000000000001</v>
      </c>
      <c r="G100" s="1643">
        <v>332.37</v>
      </c>
      <c r="H100" s="1643">
        <v>391.036</v>
      </c>
      <c r="I100" s="1643">
        <v>128.61000000000001</v>
      </c>
    </row>
    <row r="101" spans="3:9" ht="18" hidden="1">
      <c r="C101" s="1630" t="s">
        <v>340</v>
      </c>
      <c r="D101" s="1638">
        <v>3299.06</v>
      </c>
      <c r="E101" s="1643">
        <v>11.39</v>
      </c>
      <c r="F101" s="1643">
        <v>193.36</v>
      </c>
      <c r="G101" s="1643">
        <v>313.18</v>
      </c>
      <c r="H101" s="1643">
        <v>391.19</v>
      </c>
      <c r="I101" s="1643">
        <v>133.55000000000001</v>
      </c>
    </row>
    <row r="102" spans="3:9" ht="18" hidden="1">
      <c r="C102" s="1630" t="s">
        <v>341</v>
      </c>
      <c r="D102" s="1639">
        <v>3762.7368994799999</v>
      </c>
      <c r="E102" s="1643">
        <v>12.925797749999999</v>
      </c>
      <c r="F102" s="1646">
        <v>131.8904756</v>
      </c>
      <c r="G102" s="1646">
        <v>318.75237705000001</v>
      </c>
      <c r="H102" s="1646">
        <v>396.27860636999998</v>
      </c>
      <c r="I102" s="1646">
        <v>396.27860636999998</v>
      </c>
    </row>
    <row r="103" spans="3:9" ht="18" hidden="1">
      <c r="C103" s="1630" t="s">
        <v>342</v>
      </c>
      <c r="D103" s="1638">
        <v>3964.53</v>
      </c>
      <c r="E103" s="1643">
        <v>11.84</v>
      </c>
      <c r="F103" s="1643">
        <v>149.41</v>
      </c>
      <c r="G103" s="1643">
        <v>334.93</v>
      </c>
      <c r="H103" s="1643">
        <v>434.71</v>
      </c>
      <c r="I103" s="1643">
        <v>151.02000000000001</v>
      </c>
    </row>
    <row r="104" spans="3:9" ht="18" hidden="1">
      <c r="C104" s="1630" t="s">
        <v>343</v>
      </c>
      <c r="D104" s="1638">
        <v>3551.4</v>
      </c>
      <c r="E104" s="1643">
        <v>12.02</v>
      </c>
      <c r="F104" s="1643">
        <v>130.19999999999999</v>
      </c>
      <c r="G104" s="1643">
        <v>347.68</v>
      </c>
      <c r="H104" s="1643">
        <v>416.95</v>
      </c>
      <c r="I104" s="1643">
        <v>154.38</v>
      </c>
    </row>
    <row r="105" spans="3:9" ht="18"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6" customFormat="1" ht="18" hidden="1">
      <c r="C107" s="1628"/>
      <c r="D107" s="1638"/>
      <c r="E107" s="1643"/>
      <c r="F107" s="1643"/>
      <c r="G107" s="1643"/>
      <c r="H107" s="1643"/>
      <c r="I107" s="1643"/>
    </row>
    <row r="108" spans="3:9" s="906" customFormat="1" ht="18" hidden="1">
      <c r="C108" s="1627">
        <v>2016</v>
      </c>
      <c r="D108" s="1638"/>
      <c r="E108" s="1643"/>
      <c r="F108" s="1643"/>
      <c r="G108" s="1643"/>
      <c r="H108" s="1643"/>
      <c r="I108" s="1643"/>
    </row>
    <row r="109" spans="3:9" s="906"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6" customFormat="1" ht="18" hidden="1">
      <c r="C110" s="1628" t="s">
        <v>334</v>
      </c>
      <c r="D110" s="1638">
        <v>3448.15</v>
      </c>
      <c r="E110" s="1643">
        <v>11.86</v>
      </c>
      <c r="F110" s="1643">
        <v>138.75</v>
      </c>
      <c r="G110" s="1643">
        <v>312.12</v>
      </c>
      <c r="H110" s="1643">
        <v>389.26</v>
      </c>
      <c r="I110" s="1643">
        <v>167.93</v>
      </c>
    </row>
    <row r="111" spans="3:9" s="906" customFormat="1" ht="18" hidden="1">
      <c r="C111" s="1628" t="s">
        <v>335</v>
      </c>
      <c r="D111" s="1638">
        <v>3460.2232530199999</v>
      </c>
      <c r="E111" s="1643">
        <v>11.25554988</v>
      </c>
      <c r="F111" s="1643">
        <v>142.07820183999999</v>
      </c>
      <c r="G111" s="1643">
        <v>288.82297029</v>
      </c>
      <c r="H111" s="1643">
        <v>417.12511833999997</v>
      </c>
      <c r="I111" s="1643">
        <v>255.93050350999999</v>
      </c>
    </row>
    <row r="112" spans="3:9" s="906" customFormat="1" ht="18" hidden="1">
      <c r="C112" s="1628" t="s">
        <v>336</v>
      </c>
      <c r="D112" s="1638">
        <v>3564.3157062600003</v>
      </c>
      <c r="E112" s="1643">
        <v>9.6547368000000002</v>
      </c>
      <c r="F112" s="1643">
        <v>180.12077844999999</v>
      </c>
      <c r="G112" s="1643">
        <v>247.604308</v>
      </c>
      <c r="H112" s="1643">
        <v>427.29040591</v>
      </c>
      <c r="I112" s="1643">
        <v>168.30533638999998</v>
      </c>
    </row>
    <row r="113" spans="3:9" s="906" customFormat="1" ht="18" hidden="1">
      <c r="C113" s="1628" t="s">
        <v>337</v>
      </c>
      <c r="D113" s="1638">
        <v>3869.1942115799998</v>
      </c>
      <c r="E113" s="1643">
        <v>10.825818060000001</v>
      </c>
      <c r="F113" s="1643">
        <v>214.79106353999998</v>
      </c>
      <c r="G113" s="1643">
        <v>203.25222890000001</v>
      </c>
      <c r="H113" s="1643">
        <v>479.93242400999998</v>
      </c>
      <c r="I113" s="1643">
        <v>217.90811081999999</v>
      </c>
    </row>
    <row r="114" spans="3:9" s="906" customFormat="1" ht="18" hidden="1">
      <c r="C114" s="1628" t="s">
        <v>338</v>
      </c>
      <c r="D114" s="1638">
        <v>4522.2</v>
      </c>
      <c r="E114" s="1643">
        <v>10.27</v>
      </c>
      <c r="F114" s="1643">
        <v>203.9</v>
      </c>
      <c r="G114" s="1643">
        <v>131.4</v>
      </c>
      <c r="H114" s="1643">
        <v>465.1</v>
      </c>
      <c r="I114" s="1643">
        <v>174.1</v>
      </c>
    </row>
    <row r="115" spans="3:9" s="906" customFormat="1" ht="18" hidden="1">
      <c r="C115" s="1628" t="s">
        <v>339</v>
      </c>
      <c r="D115" s="1638">
        <v>3911.78</v>
      </c>
      <c r="E115" s="1643">
        <v>9.19</v>
      </c>
      <c r="F115" s="1643">
        <v>240.04</v>
      </c>
      <c r="G115" s="1643">
        <v>166.3</v>
      </c>
      <c r="H115" s="1643">
        <v>491.22</v>
      </c>
      <c r="I115" s="1643">
        <v>218.03899999999999</v>
      </c>
    </row>
    <row r="116" spans="3:9" s="906"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6" customFormat="1" ht="18" hidden="1">
      <c r="C117" s="1628" t="s">
        <v>341</v>
      </c>
      <c r="D117" s="1638">
        <v>4382.93283367</v>
      </c>
      <c r="E117" s="1643">
        <v>10.5</v>
      </c>
      <c r="F117" s="1643">
        <v>237.25412853</v>
      </c>
      <c r="G117" s="1643">
        <v>167.65711741999999</v>
      </c>
      <c r="H117" s="1643">
        <v>533.91030544</v>
      </c>
      <c r="I117" s="1643">
        <v>215.92377542</v>
      </c>
    </row>
    <row r="118" spans="3:9" s="906" customFormat="1" ht="18" hidden="1">
      <c r="C118" s="1628" t="s">
        <v>342</v>
      </c>
      <c r="D118" s="1638">
        <v>4127.6392848899995</v>
      </c>
      <c r="E118" s="1643">
        <v>7.9908732599999999</v>
      </c>
      <c r="F118" s="1643">
        <v>322.78813445999998</v>
      </c>
      <c r="G118" s="1643">
        <v>112.49103587</v>
      </c>
      <c r="H118" s="1643">
        <v>524.45753092000007</v>
      </c>
      <c r="I118" s="1643">
        <v>216.04580587999999</v>
      </c>
    </row>
    <row r="119" spans="3:9" s="906" customFormat="1" ht="24" hidden="1" customHeight="1">
      <c r="C119" s="1628" t="s">
        <v>343</v>
      </c>
      <c r="D119" s="1638">
        <v>4624.7</v>
      </c>
      <c r="E119" s="1643">
        <v>6.9</v>
      </c>
      <c r="F119" s="1643">
        <v>363.4</v>
      </c>
      <c r="G119" s="1643">
        <v>84.5</v>
      </c>
      <c r="H119" s="1643">
        <v>537.20000000000005</v>
      </c>
      <c r="I119" s="1643">
        <v>229.9</v>
      </c>
    </row>
    <row r="120" spans="3:9" s="906" customFormat="1" ht="19.5" hidden="1" customHeight="1">
      <c r="C120" s="1628" t="s">
        <v>344</v>
      </c>
      <c r="D120" s="1638">
        <v>4882.6072103300003</v>
      </c>
      <c r="E120" s="1643">
        <v>5.62</v>
      </c>
      <c r="F120" s="1643">
        <v>479.86</v>
      </c>
      <c r="G120" s="1643">
        <v>71.92</v>
      </c>
      <c r="H120" s="1643">
        <v>626.08000000000004</v>
      </c>
      <c r="I120" s="1643">
        <v>265.12</v>
      </c>
    </row>
    <row r="121" spans="3:9" s="906" customFormat="1" ht="18">
      <c r="C121" s="1628"/>
      <c r="D121" s="1638"/>
      <c r="E121" s="1643"/>
      <c r="F121" s="1643"/>
      <c r="G121" s="1643"/>
      <c r="H121" s="1643"/>
      <c r="I121" s="1643"/>
    </row>
    <row r="122" spans="3:9" s="906" customFormat="1" ht="18">
      <c r="C122" s="1627">
        <v>2017</v>
      </c>
      <c r="D122" s="1638"/>
      <c r="E122" s="1643"/>
      <c r="F122" s="1643"/>
      <c r="G122" s="1643"/>
      <c r="H122" s="1643"/>
      <c r="I122" s="1643"/>
    </row>
    <row r="123" spans="3:9" s="906" customFormat="1" ht="18">
      <c r="C123" s="1628" t="s">
        <v>345</v>
      </c>
      <c r="D123" s="1638">
        <v>4052.7115862800001</v>
      </c>
      <c r="E123" s="1643">
        <v>7.48</v>
      </c>
      <c r="F123" s="1643">
        <v>368.71</v>
      </c>
      <c r="G123" s="1643">
        <v>70.42</v>
      </c>
      <c r="H123" s="1647">
        <v>495.55</v>
      </c>
      <c r="I123" s="1643">
        <v>318.91000000000003</v>
      </c>
    </row>
    <row r="124" spans="3:9" s="906" customFormat="1" ht="18">
      <c r="C124" s="1628" t="s">
        <v>334</v>
      </c>
      <c r="D124" s="1638">
        <v>4246.6000000000004</v>
      </c>
      <c r="E124" s="1643">
        <v>7</v>
      </c>
      <c r="F124" s="1643">
        <v>327.3</v>
      </c>
      <c r="G124" s="1643">
        <v>58.4</v>
      </c>
      <c r="H124" s="1647">
        <v>472.3</v>
      </c>
      <c r="I124" s="1643">
        <v>324.10000000000002</v>
      </c>
    </row>
    <row r="125" spans="3:9" s="906" customFormat="1" ht="18">
      <c r="C125" s="1628" t="s">
        <v>335</v>
      </c>
      <c r="D125" s="1638">
        <v>4629.8</v>
      </c>
      <c r="E125" s="1643">
        <v>7.4</v>
      </c>
      <c r="F125" s="1643">
        <v>392.2</v>
      </c>
      <c r="G125" s="1643">
        <v>58.8</v>
      </c>
      <c r="H125" s="1647">
        <v>671.6</v>
      </c>
      <c r="I125" s="1643">
        <v>399.7</v>
      </c>
    </row>
    <row r="126" spans="3:9" s="906" customFormat="1" ht="19.5" customHeight="1">
      <c r="C126" s="1628" t="s">
        <v>336</v>
      </c>
      <c r="D126" s="1638">
        <v>4178.8</v>
      </c>
      <c r="E126" s="1643">
        <v>4.8</v>
      </c>
      <c r="F126" s="1643">
        <v>466.9</v>
      </c>
      <c r="G126" s="1643">
        <v>39.299999999999997</v>
      </c>
      <c r="H126" s="1647">
        <v>792.5</v>
      </c>
      <c r="I126" s="1643">
        <v>337.6</v>
      </c>
    </row>
    <row r="127" spans="3:9" s="906" customFormat="1" ht="18">
      <c r="C127" s="1628" t="s">
        <v>337</v>
      </c>
      <c r="D127" s="1638">
        <v>4974</v>
      </c>
      <c r="E127" s="1643">
        <v>6.5</v>
      </c>
      <c r="F127" s="1643">
        <v>557.79999999999995</v>
      </c>
      <c r="G127" s="1643">
        <v>44.7</v>
      </c>
      <c r="H127" s="1647">
        <v>939.9</v>
      </c>
      <c r="I127" s="1643">
        <v>618.70000000000005</v>
      </c>
    </row>
    <row r="128" spans="3:9" s="906" customFormat="1" ht="18">
      <c r="C128" s="1628" t="s">
        <v>338</v>
      </c>
      <c r="D128" s="1638">
        <v>5346.4462001899992</v>
      </c>
      <c r="E128" s="1643">
        <v>6.2836405599999994</v>
      </c>
      <c r="F128" s="1643">
        <v>558.84800765</v>
      </c>
      <c r="G128" s="1643">
        <v>34.630371270000005</v>
      </c>
      <c r="H128" s="1647">
        <v>1095.5490581099998</v>
      </c>
      <c r="I128" s="1643">
        <v>500.27683366000002</v>
      </c>
    </row>
    <row r="129" spans="3:9" s="906" customFormat="1" ht="18">
      <c r="C129" s="1628" t="s">
        <v>339</v>
      </c>
      <c r="D129" s="1638">
        <v>4805.0923402799999</v>
      </c>
      <c r="E129" s="1643">
        <v>5.73</v>
      </c>
      <c r="F129" s="1643">
        <v>588.38</v>
      </c>
      <c r="G129" s="1643">
        <v>29.39</v>
      </c>
      <c r="H129" s="1647">
        <v>1601.38</v>
      </c>
      <c r="I129" s="1643">
        <v>586.41999999999996</v>
      </c>
    </row>
    <row r="130" spans="3:9" s="906" customFormat="1" ht="18">
      <c r="C130" s="1628" t="s">
        <v>340</v>
      </c>
      <c r="D130" s="1638">
        <v>5325.13806578</v>
      </c>
      <c r="E130" s="1643">
        <v>5.1814679400000001</v>
      </c>
      <c r="F130" s="1643">
        <v>590.06875104000005</v>
      </c>
      <c r="G130" s="1643">
        <v>24.675551680000002</v>
      </c>
      <c r="H130" s="1647">
        <v>1776.4425487000001</v>
      </c>
      <c r="I130" s="1643">
        <v>583.27685752999992</v>
      </c>
    </row>
    <row r="131" spans="3:9" s="906" customFormat="1" ht="18">
      <c r="C131" s="1628" t="s">
        <v>341</v>
      </c>
      <c r="D131" s="1638">
        <v>6031.37</v>
      </c>
      <c r="E131" s="1643">
        <v>5.19</v>
      </c>
      <c r="F131" s="1643">
        <v>651.11</v>
      </c>
      <c r="G131" s="1643">
        <v>16.11</v>
      </c>
      <c r="H131" s="1647">
        <v>2159.2600000000002</v>
      </c>
      <c r="I131" s="1643">
        <v>731.93</v>
      </c>
    </row>
    <row r="132" spans="3:9" s="906"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6" customFormat="1" ht="18">
      <c r="C133" s="1628" t="s">
        <v>343</v>
      </c>
      <c r="D133" s="1638">
        <v>6259.74457566</v>
      </c>
      <c r="E133" s="1643">
        <v>4.8797962899999998</v>
      </c>
      <c r="F133" s="1643">
        <v>666.45603041000004</v>
      </c>
      <c r="G133" s="1643">
        <v>15.875778820000001</v>
      </c>
      <c r="H133" s="1647">
        <v>2561.8427594599998</v>
      </c>
      <c r="I133" s="1643">
        <v>798.32626419999997</v>
      </c>
    </row>
    <row r="134" spans="3:9" s="906" customFormat="1" ht="18">
      <c r="C134" s="1628" t="s">
        <v>344</v>
      </c>
      <c r="D134" s="1638">
        <v>5877.24194739</v>
      </c>
      <c r="E134" s="1643">
        <v>3.5902881</v>
      </c>
      <c r="F134" s="1643">
        <v>778.41347459999997</v>
      </c>
      <c r="G134" s="1643">
        <v>16.33081052</v>
      </c>
      <c r="H134" s="1647">
        <v>3052.7215016100004</v>
      </c>
      <c r="I134" s="1643">
        <v>1043.2505727299999</v>
      </c>
    </row>
    <row r="135" spans="3:9" s="906" customFormat="1" ht="18">
      <c r="C135" s="1628"/>
      <c r="D135" s="1638"/>
      <c r="E135" s="1643"/>
      <c r="F135" s="1643"/>
      <c r="G135" s="1643"/>
      <c r="H135" s="1647"/>
      <c r="I135" s="1647"/>
    </row>
    <row r="136" spans="3:9" s="906" customFormat="1" ht="18">
      <c r="C136" s="1627">
        <v>2018</v>
      </c>
      <c r="D136" s="1638"/>
      <c r="E136" s="1643"/>
      <c r="F136" s="1643"/>
      <c r="G136" s="1643"/>
      <c r="H136" s="1643"/>
      <c r="I136" s="1647"/>
    </row>
    <row r="137" spans="3:9" s="906" customFormat="1" ht="18">
      <c r="C137" s="1628" t="s">
        <v>345</v>
      </c>
      <c r="D137" s="1638">
        <v>5548.0506075800004</v>
      </c>
      <c r="E137" s="1643">
        <v>4.8939512300000008</v>
      </c>
      <c r="F137" s="1643">
        <v>663.45273716999998</v>
      </c>
      <c r="G137" s="1643">
        <v>21.286083000000001</v>
      </c>
      <c r="H137" s="1647">
        <v>2318.7987921899999</v>
      </c>
      <c r="I137" s="1647">
        <v>1006.05091365</v>
      </c>
    </row>
    <row r="138" spans="3:9" s="906" customFormat="1" ht="18">
      <c r="C138" s="1628" t="s">
        <v>334</v>
      </c>
      <c r="D138" s="1638">
        <v>4706.6000000000004</v>
      </c>
      <c r="E138" s="1643">
        <v>4.5</v>
      </c>
      <c r="F138" s="1643">
        <v>594</v>
      </c>
      <c r="G138" s="1643">
        <v>13.9</v>
      </c>
      <c r="H138" s="1647">
        <v>2015.11469691</v>
      </c>
      <c r="I138" s="1647">
        <v>831.04585373999998</v>
      </c>
    </row>
    <row r="139" spans="3:9" s="906" customFormat="1" ht="18">
      <c r="C139" s="1628" t="s">
        <v>335</v>
      </c>
      <c r="D139" s="1638">
        <v>6300.4</v>
      </c>
      <c r="E139" s="1643">
        <v>4.5</v>
      </c>
      <c r="F139" s="1643">
        <v>654.20000000000005</v>
      </c>
      <c r="G139" s="1643">
        <v>12.5</v>
      </c>
      <c r="H139" s="1647">
        <v>2657.1042725500001</v>
      </c>
      <c r="I139" s="1647">
        <v>864.83275957000001</v>
      </c>
    </row>
    <row r="140" spans="3:9" s="906" customFormat="1" ht="18">
      <c r="C140" s="1628" t="s">
        <v>336</v>
      </c>
      <c r="D140" s="1638">
        <v>5786.75</v>
      </c>
      <c r="E140" s="1643">
        <v>3.28</v>
      </c>
      <c r="F140" s="1643">
        <v>640.94000000000005</v>
      </c>
      <c r="G140" s="1643">
        <v>11.46</v>
      </c>
      <c r="H140" s="1647">
        <v>3002.63</v>
      </c>
      <c r="I140" s="1647">
        <v>822.58</v>
      </c>
    </row>
    <row r="141" spans="3:9" s="906"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6" customFormat="1" ht="19.5" customHeight="1">
      <c r="C142" s="1628" t="s">
        <v>338</v>
      </c>
      <c r="D142" s="1638">
        <v>7997.28</v>
      </c>
      <c r="E142" s="1643">
        <v>4.7</v>
      </c>
      <c r="F142" s="1643">
        <v>779.37</v>
      </c>
      <c r="G142" s="1643">
        <v>8.2899999999999991</v>
      </c>
      <c r="H142" s="1647">
        <v>3724.31</v>
      </c>
      <c r="I142" s="1647">
        <v>1135.49</v>
      </c>
    </row>
    <row r="143" spans="3:9" s="906" customFormat="1" ht="19.5" customHeight="1">
      <c r="C143" s="1628" t="s">
        <v>339</v>
      </c>
      <c r="D143" s="1638">
        <v>8290</v>
      </c>
      <c r="E143" s="1643">
        <v>3.96</v>
      </c>
      <c r="F143" s="1643">
        <v>790</v>
      </c>
      <c r="G143" s="1643">
        <v>9.39</v>
      </c>
      <c r="H143" s="1647">
        <v>4446.68</v>
      </c>
      <c r="I143" s="1647">
        <v>1262.53</v>
      </c>
    </row>
    <row r="144" spans="3:9" s="906"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6"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6" customFormat="1" ht="19.5" customHeight="1">
      <c r="C146" s="1628" t="s">
        <v>342</v>
      </c>
      <c r="D146" s="1638">
        <v>8230.5</v>
      </c>
      <c r="E146" s="1643">
        <v>4.2</v>
      </c>
      <c r="F146" s="1643">
        <v>821.3</v>
      </c>
      <c r="G146" s="1643">
        <v>17.899999999999999</v>
      </c>
      <c r="H146" s="1647">
        <v>4607.38</v>
      </c>
      <c r="I146" s="1647">
        <v>1428.2</v>
      </c>
    </row>
    <row r="147" spans="3:13" s="906" customFormat="1" ht="19.5" customHeight="1">
      <c r="C147" s="1628" t="s">
        <v>343</v>
      </c>
      <c r="D147" s="1638">
        <v>7922.5</v>
      </c>
      <c r="E147" s="1643">
        <v>3.7</v>
      </c>
      <c r="F147" s="1643">
        <v>657.5</v>
      </c>
      <c r="G147" s="1643">
        <v>19.899999999999999</v>
      </c>
      <c r="H147" s="1647">
        <v>3964.78</v>
      </c>
      <c r="I147" s="1647">
        <v>1026.7</v>
      </c>
      <c r="M147" s="906">
        <v>1000000</v>
      </c>
    </row>
    <row r="148" spans="3:13" s="906" customFormat="1" ht="19.5" customHeight="1">
      <c r="C148" s="1628" t="s">
        <v>344</v>
      </c>
      <c r="D148" s="1638">
        <v>8355.2000000000007</v>
      </c>
      <c r="E148" s="1643">
        <v>2.8</v>
      </c>
      <c r="F148" s="1643">
        <v>917.2</v>
      </c>
      <c r="G148" s="1643">
        <v>14.6</v>
      </c>
      <c r="H148" s="1647">
        <v>4833.8</v>
      </c>
      <c r="I148" s="1647">
        <v>1102.9000000000001</v>
      </c>
    </row>
    <row r="149" spans="3:13" s="906" customFormat="1" ht="19.5" customHeight="1">
      <c r="C149" s="1628"/>
      <c r="D149" s="1638"/>
      <c r="E149" s="1643"/>
      <c r="F149" s="1643"/>
      <c r="G149" s="1643"/>
      <c r="H149" s="1647"/>
      <c r="I149" s="1647"/>
    </row>
    <row r="150" spans="3:13" s="906" customFormat="1" ht="19.5" customHeight="1">
      <c r="C150" s="1627">
        <v>2019</v>
      </c>
      <c r="D150" s="1638"/>
      <c r="E150" s="1643"/>
      <c r="F150" s="1643"/>
      <c r="G150" s="1643"/>
      <c r="H150" s="1647"/>
      <c r="I150" s="1647"/>
    </row>
    <row r="151" spans="3:13" s="906"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6"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6"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6"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6"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6"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6"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6" customFormat="1" ht="18">
      <c r="C158" s="1627" t="s">
        <v>340</v>
      </c>
      <c r="D158" s="1638">
        <v>23596.622530929999</v>
      </c>
      <c r="E158" s="1643">
        <v>2.3707479900000004</v>
      </c>
      <c r="F158" s="1647">
        <v>2181.5599409499996</v>
      </c>
      <c r="G158" s="1643">
        <v>38.467251240000003</v>
      </c>
      <c r="H158" s="1647">
        <v>11077.64696735</v>
      </c>
      <c r="I158" s="1647">
        <v>3493.5596679099999</v>
      </c>
    </row>
    <row r="159" spans="3:13" s="906" customFormat="1" ht="18.600000000000001" thickBot="1">
      <c r="C159" s="1627" t="s">
        <v>341</v>
      </c>
      <c r="D159" s="1641">
        <v>30328.125752430002</v>
      </c>
      <c r="E159" s="1645">
        <v>3.7969891200000001</v>
      </c>
      <c r="F159" s="1648">
        <v>3029.8683406999999</v>
      </c>
      <c r="G159" s="1645">
        <v>51.939396799999997</v>
      </c>
      <c r="H159" s="1648">
        <v>15112.0025116</v>
      </c>
      <c r="I159" s="1648">
        <v>5337.7106632900004</v>
      </c>
    </row>
    <row r="160" spans="3:13" s="906" customFormat="1" ht="15.6" thickTop="1">
      <c r="C160" s="1082"/>
      <c r="D160" s="1496"/>
      <c r="E160" s="1642"/>
      <c r="F160" s="1642"/>
      <c r="G160" s="1642"/>
      <c r="H160" s="1642"/>
      <c r="I160" s="1642"/>
    </row>
    <row r="161" spans="3:11" s="906" customFormat="1" ht="17.399999999999999">
      <c r="C161" s="1421" t="s">
        <v>1775</v>
      </c>
      <c r="D161" s="1214"/>
      <c r="E161" s="1214"/>
      <c r="F161" s="1214"/>
      <c r="G161" s="1214"/>
      <c r="H161" s="1214"/>
      <c r="I161" s="1214"/>
    </row>
    <row r="162" spans="3:11" ht="17.399999999999999">
      <c r="C162" s="1215"/>
      <c r="D162" s="1215"/>
      <c r="E162" s="1215"/>
      <c r="F162" s="1215"/>
      <c r="G162" s="1215"/>
      <c r="H162" s="1215"/>
      <c r="I162" s="1215"/>
      <c r="K162" s="906"/>
    </row>
    <row r="330" spans="8:9">
      <c r="H330" s="145">
        <f>4920100299/1000</f>
        <v>4920100.2989999996</v>
      </c>
      <c r="I330" s="145">
        <v>725</v>
      </c>
    </row>
    <row r="331" spans="8:9">
      <c r="H331" s="145">
        <f>4698281252/1000</f>
        <v>4698281.2520000003</v>
      </c>
      <c r="I331" s="145">
        <v>20</v>
      </c>
    </row>
    <row r="332" spans="8:9" hidden="1">
      <c r="H332" s="145">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8"/>
    <col min="3" max="3" width="10.08984375" style="248" customWidth="1"/>
    <col min="4" max="4" width="18.81640625" style="248" customWidth="1"/>
    <col min="5" max="5" width="9" style="248" bestFit="1" customWidth="1"/>
    <col min="6" max="6" width="21.6328125" style="248" customWidth="1"/>
    <col min="7" max="7" width="20.1796875" style="248" customWidth="1"/>
    <col min="8" max="8" width="20" style="248" hidden="1" customWidth="1"/>
    <col min="9" max="9" width="9" style="248" hidden="1" customWidth="1"/>
    <col min="10" max="10" width="18.90625" style="248" hidden="1" customWidth="1"/>
    <col min="11" max="11" width="9" style="248" hidden="1" customWidth="1"/>
    <col min="12" max="16384" width="8.90625" style="248"/>
  </cols>
  <sheetData>
    <row r="4" spans="2:12" ht="15.6">
      <c r="B4" s="1920" t="s">
        <v>1148</v>
      </c>
      <c r="C4" s="1920"/>
      <c r="D4" s="1920"/>
      <c r="E4" s="1920"/>
      <c r="F4" s="1920"/>
      <c r="G4" s="1920"/>
      <c r="H4" s="1920"/>
      <c r="I4" s="1920"/>
      <c r="J4" s="1920"/>
      <c r="K4" s="1920"/>
      <c r="L4" s="1920"/>
    </row>
    <row r="5" spans="2:12" ht="15.6">
      <c r="C5" s="249"/>
      <c r="D5" s="250"/>
      <c r="E5" s="250"/>
      <c r="F5" s="250"/>
      <c r="G5" s="250"/>
      <c r="H5" s="250"/>
      <c r="I5" s="250"/>
      <c r="J5" s="250"/>
      <c r="K5" s="250"/>
      <c r="L5" s="250"/>
    </row>
    <row r="6" spans="2:12" ht="15.6">
      <c r="C6" s="1923" t="s">
        <v>1039</v>
      </c>
      <c r="D6" s="1923"/>
      <c r="E6" s="1923"/>
      <c r="F6" s="1923"/>
      <c r="G6" s="1923"/>
      <c r="H6" s="1923"/>
      <c r="I6" s="1923"/>
      <c r="J6" s="250"/>
      <c r="K6" s="250"/>
      <c r="L6" s="250"/>
    </row>
    <row r="7" spans="2:12" ht="16.2" thickBot="1">
      <c r="C7" s="250"/>
      <c r="D7" s="250"/>
      <c r="E7" s="250"/>
      <c r="F7" s="250"/>
      <c r="G7" s="250"/>
      <c r="H7" s="250"/>
      <c r="I7" s="250"/>
      <c r="J7" s="250"/>
      <c r="K7" s="250"/>
      <c r="L7" s="250"/>
    </row>
    <row r="8" spans="2:12" ht="16.2" thickTop="1">
      <c r="C8" s="251"/>
      <c r="D8" s="252"/>
      <c r="E8" s="253"/>
      <c r="F8" s="252"/>
      <c r="G8" s="253"/>
      <c r="H8" s="252"/>
      <c r="I8" s="253"/>
      <c r="J8" s="252"/>
      <c r="K8" s="253"/>
      <c r="L8" s="250"/>
    </row>
    <row r="9" spans="2:12" ht="15.6">
      <c r="C9" s="254"/>
      <c r="D9" s="1921" t="s">
        <v>88</v>
      </c>
      <c r="E9" s="1922"/>
      <c r="F9" s="1921" t="s">
        <v>96</v>
      </c>
      <c r="G9" s="1922"/>
      <c r="H9" s="1921" t="s">
        <v>97</v>
      </c>
      <c r="I9" s="1922"/>
      <c r="J9" s="1921" t="s">
        <v>98</v>
      </c>
      <c r="K9" s="1922"/>
      <c r="L9" s="250"/>
    </row>
    <row r="10" spans="2:12" ht="16.2" thickBot="1">
      <c r="C10" s="254"/>
      <c r="D10" s="255"/>
      <c r="E10" s="256"/>
      <c r="F10" s="255"/>
      <c r="G10" s="256"/>
      <c r="H10" s="255"/>
      <c r="I10" s="256"/>
      <c r="J10" s="255"/>
      <c r="K10" s="256"/>
      <c r="L10" s="250"/>
    </row>
    <row r="11" spans="2:12" ht="16.2" thickTop="1">
      <c r="C11" s="254"/>
      <c r="D11" s="251"/>
      <c r="E11" s="251"/>
      <c r="F11" s="251"/>
      <c r="G11" s="251"/>
      <c r="H11" s="251"/>
      <c r="I11" s="251"/>
      <c r="J11" s="251"/>
      <c r="K11" s="251"/>
      <c r="L11" s="250"/>
    </row>
    <row r="12" spans="2:12" ht="15.6">
      <c r="C12" s="254"/>
      <c r="D12" s="257" t="s">
        <v>74</v>
      </c>
      <c r="E12" s="257" t="s">
        <v>89</v>
      </c>
      <c r="F12" s="257" t="s">
        <v>74</v>
      </c>
      <c r="G12" s="257" t="s">
        <v>89</v>
      </c>
      <c r="H12" s="257" t="s">
        <v>74</v>
      </c>
      <c r="I12" s="257" t="s">
        <v>89</v>
      </c>
      <c r="J12" s="257" t="s">
        <v>74</v>
      </c>
      <c r="K12" s="257" t="s">
        <v>89</v>
      </c>
      <c r="L12" s="250"/>
    </row>
    <row r="13" spans="2:12" ht="15.6">
      <c r="C13" s="254"/>
      <c r="D13" s="257" t="s">
        <v>80</v>
      </c>
      <c r="E13" s="257" t="s">
        <v>99</v>
      </c>
      <c r="F13" s="257" t="s">
        <v>80</v>
      </c>
      <c r="G13" s="257" t="s">
        <v>99</v>
      </c>
      <c r="H13" s="257" t="s">
        <v>80</v>
      </c>
      <c r="I13" s="257" t="s">
        <v>99</v>
      </c>
      <c r="J13" s="257" t="s">
        <v>80</v>
      </c>
      <c r="K13" s="257" t="s">
        <v>99</v>
      </c>
      <c r="L13" s="250"/>
    </row>
    <row r="14" spans="2:12" ht="15.6">
      <c r="C14" s="254"/>
      <c r="D14" s="257" t="s">
        <v>100</v>
      </c>
      <c r="E14" s="257" t="s">
        <v>101</v>
      </c>
      <c r="F14" s="257" t="s">
        <v>100</v>
      </c>
      <c r="G14" s="257" t="s">
        <v>101</v>
      </c>
      <c r="H14" s="257" t="s">
        <v>100</v>
      </c>
      <c r="I14" s="257" t="s">
        <v>101</v>
      </c>
      <c r="J14" s="257" t="s">
        <v>100</v>
      </c>
      <c r="K14" s="257" t="s">
        <v>101</v>
      </c>
      <c r="L14" s="250"/>
    </row>
    <row r="15" spans="2:12" ht="15.6">
      <c r="C15" s="254" t="s">
        <v>32</v>
      </c>
      <c r="D15" s="257" t="s">
        <v>1039</v>
      </c>
      <c r="E15" s="257" t="s">
        <v>770</v>
      </c>
      <c r="F15" s="257" t="s">
        <v>1039</v>
      </c>
      <c r="G15" s="257" t="s">
        <v>770</v>
      </c>
      <c r="H15" s="257" t="s">
        <v>374</v>
      </c>
      <c r="I15" s="257" t="s">
        <v>770</v>
      </c>
      <c r="J15" s="257" t="s">
        <v>374</v>
      </c>
      <c r="K15" s="257" t="s">
        <v>770</v>
      </c>
      <c r="L15" s="250"/>
    </row>
    <row r="16" spans="2:12" ht="16.2" thickBot="1">
      <c r="C16" s="258"/>
      <c r="D16" s="259"/>
      <c r="E16" s="259"/>
      <c r="F16" s="259"/>
      <c r="G16" s="259"/>
      <c r="H16" s="259"/>
      <c r="I16" s="259"/>
      <c r="J16" s="259"/>
      <c r="K16" s="259"/>
      <c r="L16" s="250"/>
    </row>
    <row r="17" spans="3:12" ht="16.2" hidden="1" thickTop="1">
      <c r="C17" s="254"/>
      <c r="D17" s="254"/>
      <c r="E17" s="257"/>
      <c r="F17" s="254"/>
      <c r="G17" s="257"/>
      <c r="H17" s="254"/>
      <c r="I17" s="257"/>
      <c r="J17" s="254"/>
      <c r="K17" s="257"/>
      <c r="L17" s="250"/>
    </row>
    <row r="18" spans="3:12" ht="15.6" hidden="1">
      <c r="C18" s="260" t="s">
        <v>333</v>
      </c>
      <c r="D18" s="254"/>
      <c r="E18" s="257"/>
      <c r="F18" s="254"/>
      <c r="G18" s="257"/>
      <c r="H18" s="254"/>
      <c r="I18" s="257"/>
      <c r="J18" s="254"/>
      <c r="K18" s="257"/>
      <c r="L18" s="250"/>
    </row>
    <row r="19" spans="3:12" ht="15.6" hidden="1">
      <c r="C19" s="254"/>
      <c r="D19" s="254"/>
      <c r="E19" s="254"/>
      <c r="F19" s="254"/>
      <c r="G19" s="257"/>
      <c r="H19" s="254"/>
      <c r="I19" s="254"/>
      <c r="J19" s="254"/>
      <c r="K19" s="257"/>
      <c r="L19" s="250"/>
    </row>
    <row r="20" spans="3:12" ht="15.6" hidden="1">
      <c r="C20" s="254" t="s">
        <v>8</v>
      </c>
      <c r="D20" s="257">
        <v>26620.5</v>
      </c>
      <c r="E20" s="257" t="s">
        <v>102</v>
      </c>
      <c r="F20" s="257">
        <v>4252.2</v>
      </c>
      <c r="G20" s="257" t="s">
        <v>103</v>
      </c>
      <c r="H20" s="257">
        <v>5290.1</v>
      </c>
      <c r="I20" s="257" t="s">
        <v>104</v>
      </c>
      <c r="J20" s="257">
        <v>16489.099999999999</v>
      </c>
      <c r="K20" s="257" t="s">
        <v>105</v>
      </c>
      <c r="L20" s="250"/>
    </row>
    <row r="21" spans="3:12" ht="15.6" hidden="1">
      <c r="C21" s="254" t="s">
        <v>9</v>
      </c>
      <c r="D21" s="257">
        <v>24237.599999999999</v>
      </c>
      <c r="E21" s="257" t="s">
        <v>106</v>
      </c>
      <c r="F21" s="257">
        <v>2945.9</v>
      </c>
      <c r="G21" s="257" t="s">
        <v>107</v>
      </c>
      <c r="H21" s="257">
        <v>5597.2</v>
      </c>
      <c r="I21" s="257" t="s">
        <v>108</v>
      </c>
      <c r="J21" s="257">
        <v>16832.900000000001</v>
      </c>
      <c r="K21" s="257" t="s">
        <v>109</v>
      </c>
      <c r="L21" s="250"/>
    </row>
    <row r="22" spans="3:12" ht="15.6" hidden="1">
      <c r="C22" s="254" t="s">
        <v>10</v>
      </c>
      <c r="D22" s="257">
        <v>24723.599999999999</v>
      </c>
      <c r="E22" s="257" t="s">
        <v>110</v>
      </c>
      <c r="F22" s="257">
        <v>3015.5</v>
      </c>
      <c r="G22" s="257" t="s">
        <v>111</v>
      </c>
      <c r="H22" s="257">
        <v>5614.4</v>
      </c>
      <c r="I22" s="257" t="s">
        <v>108</v>
      </c>
      <c r="J22" s="257">
        <v>17203.3</v>
      </c>
      <c r="K22" s="257" t="s">
        <v>109</v>
      </c>
      <c r="L22" s="250"/>
    </row>
    <row r="23" spans="3:12" ht="15.6" hidden="1">
      <c r="C23" s="254" t="s">
        <v>11</v>
      </c>
      <c r="D23" s="257">
        <v>26677.3</v>
      </c>
      <c r="E23" s="257" t="s">
        <v>112</v>
      </c>
      <c r="F23" s="257">
        <v>2361</v>
      </c>
      <c r="G23" s="257" t="s">
        <v>113</v>
      </c>
      <c r="H23" s="257">
        <v>5263.2</v>
      </c>
      <c r="I23" s="257" t="s">
        <v>116</v>
      </c>
      <c r="J23" s="257">
        <v>16998.5</v>
      </c>
      <c r="K23" s="257" t="s">
        <v>117</v>
      </c>
      <c r="L23" s="250"/>
    </row>
    <row r="24" spans="3:12" ht="15.6" hidden="1">
      <c r="C24" s="254" t="s">
        <v>337</v>
      </c>
      <c r="D24" s="257">
        <v>29067.200000000001</v>
      </c>
      <c r="E24" s="257" t="s">
        <v>118</v>
      </c>
      <c r="F24" s="257">
        <v>3644.4</v>
      </c>
      <c r="G24" s="257" t="s">
        <v>103</v>
      </c>
      <c r="H24" s="257">
        <v>5055.3</v>
      </c>
      <c r="I24" s="257" t="s">
        <v>116</v>
      </c>
      <c r="J24" s="257">
        <v>17567.099999999999</v>
      </c>
      <c r="K24" s="257" t="s">
        <v>122</v>
      </c>
      <c r="L24" s="250"/>
    </row>
    <row r="25" spans="3:12" ht="15.6" hidden="1">
      <c r="C25" s="254" t="s">
        <v>346</v>
      </c>
      <c r="D25" s="257">
        <v>32403</v>
      </c>
      <c r="E25" s="257" t="s">
        <v>123</v>
      </c>
      <c r="F25" s="257">
        <v>4302.8</v>
      </c>
      <c r="G25" s="257" t="s">
        <v>109</v>
      </c>
      <c r="H25" s="257">
        <v>5152.6000000000004</v>
      </c>
      <c r="I25" s="257" t="s">
        <v>124</v>
      </c>
      <c r="J25" s="257">
        <v>18072</v>
      </c>
      <c r="K25" s="257" t="s">
        <v>103</v>
      </c>
      <c r="L25" s="250"/>
    </row>
    <row r="26" spans="3:12" ht="15.6" hidden="1">
      <c r="C26" s="254" t="s">
        <v>347</v>
      </c>
      <c r="D26" s="257">
        <v>34121.699999999997</v>
      </c>
      <c r="E26" s="257" t="s">
        <v>123</v>
      </c>
      <c r="F26" s="257">
        <v>4714.3</v>
      </c>
      <c r="G26" s="257" t="s">
        <v>125</v>
      </c>
      <c r="H26" s="257">
        <v>4381.3</v>
      </c>
      <c r="I26" s="257" t="s">
        <v>126</v>
      </c>
      <c r="J26" s="257">
        <v>19465.8</v>
      </c>
      <c r="K26" s="257" t="s">
        <v>127</v>
      </c>
      <c r="L26" s="250"/>
    </row>
    <row r="27" spans="3:12" ht="15.6" hidden="1">
      <c r="C27" s="254" t="s">
        <v>12</v>
      </c>
      <c r="D27" s="257">
        <v>34644.6</v>
      </c>
      <c r="E27" s="257" t="s">
        <v>128</v>
      </c>
      <c r="F27" s="257">
        <v>4404.8</v>
      </c>
      <c r="G27" s="257" t="s">
        <v>129</v>
      </c>
      <c r="H27" s="257">
        <v>5181</v>
      </c>
      <c r="I27" s="257" t="s">
        <v>126</v>
      </c>
      <c r="J27" s="257">
        <v>19582.2</v>
      </c>
      <c r="K27" s="257" t="s">
        <v>130</v>
      </c>
      <c r="L27" s="250"/>
    </row>
    <row r="28" spans="3:12" ht="15.6" hidden="1">
      <c r="C28" s="254" t="s">
        <v>13</v>
      </c>
      <c r="D28" s="257">
        <v>36874.199999999997</v>
      </c>
      <c r="E28" s="257" t="s">
        <v>131</v>
      </c>
      <c r="F28" s="257">
        <v>4185.5</v>
      </c>
      <c r="G28" s="257" t="s">
        <v>105</v>
      </c>
      <c r="H28" s="257">
        <v>4799.8999999999996</v>
      </c>
      <c r="I28" s="257" t="s">
        <v>104</v>
      </c>
      <c r="J28" s="257">
        <v>20116.7</v>
      </c>
      <c r="K28" s="257" t="s">
        <v>132</v>
      </c>
      <c r="L28" s="250"/>
    </row>
    <row r="29" spans="3:12" ht="15.6" hidden="1">
      <c r="C29" s="254" t="s">
        <v>14</v>
      </c>
      <c r="D29" s="257">
        <v>37274.300000000003</v>
      </c>
      <c r="E29" s="257" t="s">
        <v>133</v>
      </c>
      <c r="F29" s="257">
        <v>4753.3999999999996</v>
      </c>
      <c r="G29" s="257" t="s">
        <v>130</v>
      </c>
      <c r="H29" s="257">
        <v>4405.2</v>
      </c>
      <c r="I29" s="257" t="s">
        <v>134</v>
      </c>
      <c r="J29" s="257">
        <v>20629.099999999999</v>
      </c>
      <c r="K29" s="257" t="s">
        <v>135</v>
      </c>
      <c r="L29" s="250"/>
    </row>
    <row r="30" spans="3:12" ht="15.6" hidden="1">
      <c r="C30" s="254" t="s">
        <v>15</v>
      </c>
      <c r="D30" s="257">
        <v>37504.6</v>
      </c>
      <c r="E30" s="257" t="s">
        <v>136</v>
      </c>
      <c r="F30" s="257">
        <v>3566.6</v>
      </c>
      <c r="G30" s="257" t="s">
        <v>137</v>
      </c>
      <c r="H30" s="257">
        <v>3718.3</v>
      </c>
      <c r="I30" s="257" t="s">
        <v>126</v>
      </c>
      <c r="J30" s="257">
        <v>19930.2</v>
      </c>
      <c r="K30" s="257" t="s">
        <v>130</v>
      </c>
      <c r="L30" s="250"/>
    </row>
    <row r="31" spans="3:12" ht="15.6" hidden="1">
      <c r="C31" s="254" t="s">
        <v>16</v>
      </c>
      <c r="D31" s="257">
        <v>41234.400000000001</v>
      </c>
      <c r="E31" s="257" t="s">
        <v>138</v>
      </c>
      <c r="F31" s="257">
        <v>3620.3</v>
      </c>
      <c r="G31" s="257" t="s">
        <v>139</v>
      </c>
      <c r="H31" s="257">
        <v>4318.6000000000004</v>
      </c>
      <c r="I31" s="257" t="s">
        <v>110</v>
      </c>
      <c r="J31" s="257">
        <v>20478.3</v>
      </c>
      <c r="K31" s="257" t="s">
        <v>140</v>
      </c>
      <c r="L31" s="250"/>
    </row>
    <row r="32" spans="3:12" ht="15.6" hidden="1">
      <c r="C32" s="254"/>
      <c r="D32" s="257"/>
      <c r="E32" s="257"/>
      <c r="F32" s="257"/>
      <c r="G32" s="257"/>
      <c r="H32" s="257"/>
      <c r="I32" s="257"/>
      <c r="J32" s="257"/>
      <c r="K32" s="257"/>
      <c r="L32" s="250"/>
    </row>
    <row r="33" spans="3:12" ht="15.6" hidden="1">
      <c r="C33" s="260" t="s">
        <v>710</v>
      </c>
      <c r="D33" s="257"/>
      <c r="E33" s="257"/>
      <c r="F33" s="257"/>
      <c r="G33" s="257"/>
      <c r="H33" s="257"/>
      <c r="I33" s="257"/>
      <c r="J33" s="257"/>
      <c r="K33" s="257"/>
      <c r="L33" s="250"/>
    </row>
    <row r="34" spans="3:12" ht="15.6" hidden="1">
      <c r="C34" s="260"/>
      <c r="D34" s="257"/>
      <c r="E34" s="257"/>
      <c r="F34" s="257"/>
      <c r="G34" s="257"/>
      <c r="H34" s="257"/>
      <c r="I34" s="257"/>
      <c r="J34" s="257"/>
      <c r="K34" s="257"/>
      <c r="L34" s="250"/>
    </row>
    <row r="35" spans="3:12" ht="15.6" hidden="1">
      <c r="C35" s="254" t="s">
        <v>8</v>
      </c>
      <c r="D35" s="257">
        <v>44495.5</v>
      </c>
      <c r="E35" s="257" t="s">
        <v>133</v>
      </c>
      <c r="F35" s="257">
        <v>2398.9</v>
      </c>
      <c r="G35" s="257" t="s">
        <v>141</v>
      </c>
      <c r="H35" s="257">
        <v>4613.8999999999996</v>
      </c>
      <c r="I35" s="257" t="s">
        <v>134</v>
      </c>
      <c r="J35" s="257">
        <v>21491.5</v>
      </c>
      <c r="K35" s="257" t="s">
        <v>142</v>
      </c>
      <c r="L35" s="250"/>
    </row>
    <row r="36" spans="3:12" ht="15.6" hidden="1">
      <c r="C36" s="254" t="s">
        <v>9</v>
      </c>
      <c r="D36" s="257">
        <v>36671.300000000003</v>
      </c>
      <c r="E36" s="257" t="s">
        <v>136</v>
      </c>
      <c r="F36" s="257">
        <v>3717.6</v>
      </c>
      <c r="G36" s="257" t="s">
        <v>144</v>
      </c>
      <c r="H36" s="257">
        <v>4550.7</v>
      </c>
      <c r="I36" s="257" t="s">
        <v>108</v>
      </c>
      <c r="J36" s="257">
        <v>23147</v>
      </c>
      <c r="K36" s="257" t="s">
        <v>145</v>
      </c>
      <c r="L36" s="250"/>
    </row>
    <row r="37" spans="3:12" ht="15.6" hidden="1">
      <c r="C37" s="254" t="s">
        <v>10</v>
      </c>
      <c r="D37" s="257">
        <v>41306.400000000001</v>
      </c>
      <c r="E37" s="257" t="s">
        <v>146</v>
      </c>
      <c r="F37" s="257">
        <v>4292.7</v>
      </c>
      <c r="G37" s="257" t="s">
        <v>147</v>
      </c>
      <c r="H37" s="257">
        <v>4874.3999999999996</v>
      </c>
      <c r="I37" s="257" t="s">
        <v>134</v>
      </c>
      <c r="J37" s="257">
        <v>24980.5</v>
      </c>
      <c r="K37" s="257" t="s">
        <v>148</v>
      </c>
      <c r="L37" s="250"/>
    </row>
    <row r="38" spans="3:12" ht="15.6" hidden="1">
      <c r="C38" s="254" t="s">
        <v>11</v>
      </c>
      <c r="D38" s="257">
        <v>47552.9</v>
      </c>
      <c r="E38" s="257" t="s">
        <v>149</v>
      </c>
      <c r="F38" s="257">
        <v>3041.6</v>
      </c>
      <c r="G38" s="257" t="s">
        <v>150</v>
      </c>
      <c r="H38" s="257">
        <v>4766.8</v>
      </c>
      <c r="I38" s="257" t="s">
        <v>126</v>
      </c>
      <c r="J38" s="257">
        <v>26513.8</v>
      </c>
      <c r="K38" s="257" t="s">
        <v>151</v>
      </c>
      <c r="L38" s="250"/>
    </row>
    <row r="39" spans="3:12" ht="15.6" hidden="1">
      <c r="C39" s="254" t="s">
        <v>337</v>
      </c>
      <c r="D39" s="257">
        <v>50935.7</v>
      </c>
      <c r="E39" s="257" t="s">
        <v>112</v>
      </c>
      <c r="F39" s="257">
        <v>3914.1</v>
      </c>
      <c r="G39" s="257" t="s">
        <v>152</v>
      </c>
      <c r="H39" s="257">
        <v>4526.3999999999996</v>
      </c>
      <c r="I39" s="257" t="s">
        <v>104</v>
      </c>
      <c r="J39" s="257">
        <v>27415.3</v>
      </c>
      <c r="K39" s="257" t="s">
        <v>107</v>
      </c>
      <c r="L39" s="250"/>
    </row>
    <row r="40" spans="3:12" ht="15.6" hidden="1">
      <c r="C40" s="254" t="s">
        <v>346</v>
      </c>
      <c r="D40" s="257">
        <v>53460.5</v>
      </c>
      <c r="E40" s="257" t="s">
        <v>153</v>
      </c>
      <c r="F40" s="257">
        <v>4430.2</v>
      </c>
      <c r="G40" s="257" t="s">
        <v>145</v>
      </c>
      <c r="H40" s="257">
        <v>4958.8</v>
      </c>
      <c r="I40" s="257" t="s">
        <v>124</v>
      </c>
      <c r="J40" s="257">
        <v>30379</v>
      </c>
      <c r="K40" s="257" t="s">
        <v>154</v>
      </c>
      <c r="L40" s="250"/>
    </row>
    <row r="41" spans="3:12" ht="15.6" hidden="1">
      <c r="C41" s="254" t="s">
        <v>347</v>
      </c>
      <c r="D41" s="257">
        <v>53739.8</v>
      </c>
      <c r="E41" s="257" t="s">
        <v>118</v>
      </c>
      <c r="F41" s="257">
        <v>4182</v>
      </c>
      <c r="G41" s="257" t="s">
        <v>155</v>
      </c>
      <c r="H41" s="257">
        <v>3980.9</v>
      </c>
      <c r="I41" s="257" t="s">
        <v>104</v>
      </c>
      <c r="J41" s="257">
        <v>31681.599999999999</v>
      </c>
      <c r="K41" s="257" t="s">
        <v>156</v>
      </c>
      <c r="L41" s="250"/>
    </row>
    <row r="42" spans="3:12" ht="15.6" hidden="1">
      <c r="C42" s="254" t="s">
        <v>12</v>
      </c>
      <c r="D42" s="257">
        <v>64544.2</v>
      </c>
      <c r="E42" s="257" t="s">
        <v>133</v>
      </c>
      <c r="F42" s="257">
        <v>5251.2</v>
      </c>
      <c r="G42" s="257" t="s">
        <v>157</v>
      </c>
      <c r="H42" s="257">
        <v>4001.9</v>
      </c>
      <c r="I42" s="261">
        <v>16</v>
      </c>
      <c r="J42" s="257">
        <v>32355.7</v>
      </c>
      <c r="K42" s="261">
        <v>78</v>
      </c>
      <c r="L42" s="250"/>
    </row>
    <row r="43" spans="3:12" ht="15.6" hidden="1">
      <c r="C43" s="254" t="s">
        <v>13</v>
      </c>
      <c r="D43" s="257">
        <v>63447.1</v>
      </c>
      <c r="E43" s="257" t="s">
        <v>149</v>
      </c>
      <c r="F43" s="257">
        <v>5074.8999999999996</v>
      </c>
      <c r="G43" s="257" t="s">
        <v>158</v>
      </c>
      <c r="H43" s="257">
        <v>4081.4</v>
      </c>
      <c r="I43" s="261">
        <v>19</v>
      </c>
      <c r="J43" s="257">
        <v>33443.699999999997</v>
      </c>
      <c r="K43" s="261">
        <v>79</v>
      </c>
      <c r="L43" s="250"/>
    </row>
    <row r="44" spans="3:12" ht="15.6" hidden="1">
      <c r="C44" s="254" t="s">
        <v>14</v>
      </c>
      <c r="D44" s="257">
        <v>69547.8</v>
      </c>
      <c r="E44" s="257" t="s">
        <v>159</v>
      </c>
      <c r="F44" s="257">
        <v>6080</v>
      </c>
      <c r="G44" s="257" t="s">
        <v>160</v>
      </c>
      <c r="H44" s="257">
        <v>2914.5</v>
      </c>
      <c r="I44" s="261" t="s">
        <v>108</v>
      </c>
      <c r="J44" s="257">
        <v>32859.800000000003</v>
      </c>
      <c r="K44" s="261">
        <v>79</v>
      </c>
      <c r="L44" s="250"/>
    </row>
    <row r="45" spans="3:12" ht="15.6" hidden="1">
      <c r="C45" s="254" t="s">
        <v>15</v>
      </c>
      <c r="D45" s="257">
        <v>76215.100000000006</v>
      </c>
      <c r="E45" s="262">
        <v>36</v>
      </c>
      <c r="F45" s="257">
        <v>5937</v>
      </c>
      <c r="G45" s="257" t="s">
        <v>184</v>
      </c>
      <c r="H45" s="257">
        <v>3510.2</v>
      </c>
      <c r="I45" s="261">
        <v>36</v>
      </c>
      <c r="J45" s="257">
        <v>31624.6</v>
      </c>
      <c r="K45" s="261">
        <v>69</v>
      </c>
      <c r="L45" s="250"/>
    </row>
    <row r="46" spans="3:12" ht="15.6" hidden="1">
      <c r="C46" s="254" t="s">
        <v>16</v>
      </c>
      <c r="D46" s="257">
        <v>73681.8</v>
      </c>
      <c r="E46" s="262">
        <v>35</v>
      </c>
      <c r="F46" s="257">
        <v>8046.5</v>
      </c>
      <c r="G46" s="257">
        <v>76.7</v>
      </c>
      <c r="H46" s="257">
        <v>3090.8</v>
      </c>
      <c r="I46" s="261">
        <v>29</v>
      </c>
      <c r="J46" s="257">
        <v>33375.9</v>
      </c>
      <c r="K46" s="261">
        <v>87</v>
      </c>
      <c r="L46" s="250"/>
    </row>
    <row r="47" spans="3:12" ht="15.6" hidden="1">
      <c r="C47" s="254"/>
      <c r="D47" s="257"/>
      <c r="E47" s="262"/>
      <c r="F47" s="257"/>
      <c r="G47" s="257"/>
      <c r="H47" s="257"/>
      <c r="I47" s="261"/>
      <c r="J47" s="257"/>
      <c r="K47" s="261"/>
      <c r="L47" s="250"/>
    </row>
    <row r="48" spans="3:12" ht="15.6" hidden="1">
      <c r="C48" s="260" t="s">
        <v>40</v>
      </c>
      <c r="D48" s="257"/>
      <c r="E48" s="262"/>
      <c r="F48" s="257"/>
      <c r="G48" s="257"/>
      <c r="H48" s="257"/>
      <c r="I48" s="261"/>
      <c r="J48" s="257"/>
      <c r="K48" s="261"/>
      <c r="L48" s="250"/>
    </row>
    <row r="49" spans="3:12" ht="15.6" hidden="1">
      <c r="C49" s="260"/>
      <c r="D49" s="257"/>
      <c r="E49" s="262"/>
      <c r="F49" s="257"/>
      <c r="G49" s="257"/>
      <c r="H49" s="257"/>
      <c r="I49" s="261"/>
      <c r="J49" s="257"/>
      <c r="K49" s="261"/>
      <c r="L49" s="250"/>
    </row>
    <row r="50" spans="3:12" ht="15.6" hidden="1">
      <c r="C50" s="254" t="s">
        <v>8</v>
      </c>
      <c r="D50" s="257">
        <v>82704</v>
      </c>
      <c r="E50" s="261">
        <v>42</v>
      </c>
      <c r="F50" s="257">
        <v>2398.9</v>
      </c>
      <c r="G50" s="261">
        <v>314.8</v>
      </c>
      <c r="H50" s="257">
        <v>3363.5</v>
      </c>
      <c r="I50" s="261">
        <v>37.6</v>
      </c>
      <c r="J50" s="257">
        <v>35714</v>
      </c>
      <c r="K50" s="261">
        <v>81.3</v>
      </c>
      <c r="L50" s="250"/>
    </row>
    <row r="51" spans="3:12" ht="15.6" hidden="1">
      <c r="C51" s="254" t="s">
        <v>9</v>
      </c>
      <c r="D51" s="257">
        <v>83945.7</v>
      </c>
      <c r="E51" s="261">
        <v>38.200000000000003</v>
      </c>
      <c r="F51" s="257">
        <v>5315.6</v>
      </c>
      <c r="G51" s="261">
        <v>92.6</v>
      </c>
      <c r="H51" s="257">
        <v>3527.4</v>
      </c>
      <c r="I51" s="261">
        <v>34</v>
      </c>
      <c r="J51" s="257">
        <v>37044.699999999997</v>
      </c>
      <c r="K51" s="261">
        <v>81</v>
      </c>
      <c r="L51" s="250"/>
    </row>
    <row r="52" spans="3:12" ht="15.6" hidden="1">
      <c r="C52" s="254" t="s">
        <v>9</v>
      </c>
      <c r="D52" s="257">
        <v>83945.7</v>
      </c>
      <c r="E52" s="261">
        <v>36</v>
      </c>
      <c r="F52" s="257">
        <v>5315.6</v>
      </c>
      <c r="G52" s="261">
        <v>93</v>
      </c>
      <c r="H52" s="257">
        <v>3527.4</v>
      </c>
      <c r="I52" s="261">
        <v>34.1</v>
      </c>
      <c r="J52" s="257">
        <v>37044.699999999997</v>
      </c>
      <c r="K52" s="261">
        <v>81.3</v>
      </c>
      <c r="L52" s="250"/>
    </row>
    <row r="53" spans="3:12" ht="15.6" hidden="1">
      <c r="C53" s="254" t="s">
        <v>10</v>
      </c>
      <c r="D53" s="257">
        <v>93477.2</v>
      </c>
      <c r="E53" s="261">
        <v>44</v>
      </c>
      <c r="F53" s="257">
        <v>5416.2</v>
      </c>
      <c r="G53" s="261">
        <v>64.7</v>
      </c>
      <c r="H53" s="257">
        <v>3347.7</v>
      </c>
      <c r="I53" s="261">
        <v>47.1</v>
      </c>
      <c r="J53" s="257">
        <v>40829.199999999997</v>
      </c>
      <c r="K53" s="261">
        <v>80</v>
      </c>
      <c r="L53" s="250"/>
    </row>
    <row r="54" spans="3:12" ht="15.6" hidden="1">
      <c r="C54" s="254" t="s">
        <v>11</v>
      </c>
      <c r="D54" s="257">
        <v>102376</v>
      </c>
      <c r="E54" s="261">
        <v>40</v>
      </c>
      <c r="F54" s="257">
        <v>3747.6</v>
      </c>
      <c r="G54" s="261">
        <v>117.2</v>
      </c>
      <c r="H54" s="257">
        <v>3240.7</v>
      </c>
      <c r="I54" s="261">
        <v>52</v>
      </c>
      <c r="J54" s="257">
        <v>40439.800000000003</v>
      </c>
      <c r="K54" s="261">
        <v>78.7</v>
      </c>
      <c r="L54" s="250"/>
    </row>
    <row r="55" spans="3:12" ht="15.6" hidden="1">
      <c r="C55" s="254" t="s">
        <v>337</v>
      </c>
      <c r="D55" s="257">
        <v>113932.1</v>
      </c>
      <c r="E55" s="261">
        <v>42</v>
      </c>
      <c r="F55" s="257">
        <v>3633</v>
      </c>
      <c r="G55" s="261">
        <v>140</v>
      </c>
      <c r="H55" s="257">
        <v>4098.7</v>
      </c>
      <c r="I55" s="261">
        <v>19.3</v>
      </c>
      <c r="J55" s="257">
        <v>40812.300000000003</v>
      </c>
      <c r="K55" s="261">
        <v>77.8</v>
      </c>
      <c r="L55" s="250"/>
    </row>
    <row r="56" spans="3:12" ht="15.6" hidden="1">
      <c r="C56" s="254" t="s">
        <v>346</v>
      </c>
      <c r="D56" s="257">
        <v>112025.1</v>
      </c>
      <c r="E56" s="261">
        <v>37</v>
      </c>
      <c r="F56" s="257">
        <v>5444.6</v>
      </c>
      <c r="G56" s="261">
        <v>57.8</v>
      </c>
      <c r="H56" s="257">
        <v>3731.6</v>
      </c>
      <c r="I56" s="261">
        <v>46</v>
      </c>
      <c r="J56" s="257">
        <v>42506.8</v>
      </c>
      <c r="K56" s="261">
        <v>79</v>
      </c>
      <c r="L56" s="250"/>
    </row>
    <row r="57" spans="3:12" ht="15.6" hidden="1">
      <c r="C57" s="254" t="s">
        <v>347</v>
      </c>
      <c r="D57" s="257">
        <v>119291</v>
      </c>
      <c r="E57" s="261">
        <v>40</v>
      </c>
      <c r="F57" s="257">
        <v>4182</v>
      </c>
      <c r="G57" s="261">
        <v>76</v>
      </c>
      <c r="H57" s="257">
        <v>4044.3</v>
      </c>
      <c r="I57" s="261">
        <v>43</v>
      </c>
      <c r="J57" s="257">
        <v>44374</v>
      </c>
      <c r="K57" s="261">
        <v>79</v>
      </c>
      <c r="L57" s="250"/>
    </row>
    <row r="58" spans="3:12" ht="15.6" hidden="1">
      <c r="C58" s="254" t="s">
        <v>12</v>
      </c>
      <c r="D58" s="257">
        <v>129393.4</v>
      </c>
      <c r="E58" s="261">
        <v>41.3</v>
      </c>
      <c r="F58" s="257">
        <v>5343</v>
      </c>
      <c r="G58" s="261">
        <v>56.4</v>
      </c>
      <c r="H58" s="257">
        <v>3885.7</v>
      </c>
      <c r="I58" s="261">
        <v>59.6</v>
      </c>
      <c r="J58" s="257">
        <v>45651.5</v>
      </c>
      <c r="K58" s="261">
        <v>77.099999999999994</v>
      </c>
      <c r="L58" s="250"/>
    </row>
    <row r="59" spans="3:12" ht="15.6" hidden="1">
      <c r="C59" s="254" t="s">
        <v>13</v>
      </c>
      <c r="D59" s="257">
        <v>135473.29999999999</v>
      </c>
      <c r="E59" s="261">
        <v>41</v>
      </c>
      <c r="F59" s="257">
        <v>3306.3</v>
      </c>
      <c r="G59" s="261">
        <v>118</v>
      </c>
      <c r="H59" s="257">
        <v>3598.8</v>
      </c>
      <c r="I59" s="261">
        <v>52</v>
      </c>
      <c r="J59" s="257">
        <v>46231.6</v>
      </c>
      <c r="K59" s="261">
        <v>76</v>
      </c>
      <c r="L59" s="250"/>
    </row>
    <row r="60" spans="3:12" ht="15.6" hidden="1">
      <c r="C60" s="254" t="s">
        <v>14</v>
      </c>
      <c r="D60" s="257">
        <v>155323.29999999999</v>
      </c>
      <c r="E60" s="261">
        <v>42</v>
      </c>
      <c r="F60" s="257">
        <v>4525.6000000000004</v>
      </c>
      <c r="G60" s="261">
        <v>70</v>
      </c>
      <c r="H60" s="257">
        <v>4608.8</v>
      </c>
      <c r="I60" s="261">
        <v>60</v>
      </c>
      <c r="J60" s="257">
        <v>32859.800000000003</v>
      </c>
      <c r="K60" s="261">
        <v>79</v>
      </c>
      <c r="L60" s="250"/>
    </row>
    <row r="61" spans="3:12" ht="15.6" hidden="1">
      <c r="C61" s="254" t="s">
        <v>15</v>
      </c>
      <c r="D61" s="257">
        <v>167554.6</v>
      </c>
      <c r="E61" s="261">
        <v>38</v>
      </c>
      <c r="F61" s="257">
        <v>5807</v>
      </c>
      <c r="G61" s="261">
        <v>91</v>
      </c>
      <c r="H61" s="257">
        <v>5796.6</v>
      </c>
      <c r="I61" s="261">
        <v>46</v>
      </c>
      <c r="J61" s="257">
        <v>48349.7</v>
      </c>
      <c r="K61" s="261">
        <v>73</v>
      </c>
      <c r="L61" s="250"/>
    </row>
    <row r="62" spans="3:12" ht="15.6" hidden="1">
      <c r="C62" s="254" t="s">
        <v>16</v>
      </c>
      <c r="D62" s="257">
        <v>144896.4</v>
      </c>
      <c r="E62" s="261">
        <v>35.799999999999997</v>
      </c>
      <c r="F62" s="257">
        <v>9514</v>
      </c>
      <c r="G62" s="261">
        <v>44.1</v>
      </c>
      <c r="H62" s="257">
        <v>6327.2</v>
      </c>
      <c r="I62" s="261">
        <v>34.700000000000003</v>
      </c>
      <c r="J62" s="257">
        <v>47996.2</v>
      </c>
      <c r="K62" s="261">
        <v>70.2</v>
      </c>
      <c r="L62" s="250"/>
    </row>
    <row r="63" spans="3:12" ht="15.6" hidden="1">
      <c r="C63" s="254"/>
      <c r="D63" s="257"/>
      <c r="E63" s="261"/>
      <c r="F63" s="257"/>
      <c r="G63" s="261"/>
      <c r="H63" s="257"/>
      <c r="I63" s="261"/>
      <c r="J63" s="257"/>
      <c r="K63" s="261"/>
      <c r="L63" s="250"/>
    </row>
    <row r="64" spans="3:12" ht="15.6" hidden="1">
      <c r="C64" s="260" t="s">
        <v>758</v>
      </c>
      <c r="D64" s="257"/>
      <c r="E64" s="261"/>
      <c r="F64" s="257"/>
      <c r="G64" s="261"/>
      <c r="H64" s="257"/>
      <c r="I64" s="261"/>
      <c r="J64" s="257"/>
      <c r="K64" s="261"/>
      <c r="L64" s="250"/>
    </row>
    <row r="65" spans="3:12" ht="15.6" hidden="1">
      <c r="C65" s="254"/>
      <c r="D65" s="257"/>
      <c r="E65" s="261"/>
      <c r="F65" s="257"/>
      <c r="G65" s="261"/>
      <c r="H65" s="257"/>
      <c r="I65" s="261"/>
      <c r="J65" s="257"/>
      <c r="K65" s="261"/>
      <c r="L65" s="250"/>
    </row>
    <row r="66" spans="3:12" ht="15.6" hidden="1">
      <c r="C66" s="254" t="s">
        <v>8</v>
      </c>
      <c r="D66" s="257">
        <v>181679.2</v>
      </c>
      <c r="E66" s="261">
        <v>52</v>
      </c>
      <c r="F66" s="257">
        <v>10208</v>
      </c>
      <c r="G66" s="261">
        <v>35.4</v>
      </c>
      <c r="H66" s="257">
        <v>7916.7</v>
      </c>
      <c r="I66" s="261">
        <v>43.5</v>
      </c>
      <c r="J66" s="257">
        <v>49401.599999999999</v>
      </c>
      <c r="K66" s="261">
        <v>69.7</v>
      </c>
      <c r="L66" s="250"/>
    </row>
    <row r="67" spans="3:12" ht="15.6" hidden="1">
      <c r="C67" s="254" t="s">
        <v>9</v>
      </c>
      <c r="D67" s="257">
        <v>192676.8</v>
      </c>
      <c r="E67" s="261">
        <v>42</v>
      </c>
      <c r="F67" s="257">
        <v>10645.5</v>
      </c>
      <c r="G67" s="261">
        <v>58.7</v>
      </c>
      <c r="H67" s="257">
        <v>6798</v>
      </c>
      <c r="I67" s="261">
        <v>32.1</v>
      </c>
      <c r="J67" s="257">
        <v>53548.4</v>
      </c>
      <c r="K67" s="261">
        <v>71.2</v>
      </c>
      <c r="L67" s="250"/>
    </row>
    <row r="68" spans="3:12" ht="15.6" hidden="1">
      <c r="C68" s="254" t="s">
        <v>10</v>
      </c>
      <c r="D68" s="257">
        <v>169058.7</v>
      </c>
      <c r="E68" s="261">
        <v>42.6</v>
      </c>
      <c r="F68" s="257">
        <v>14842.7</v>
      </c>
      <c r="G68" s="261">
        <v>27.2</v>
      </c>
      <c r="H68" s="257">
        <v>8555.1</v>
      </c>
      <c r="I68" s="261">
        <v>32.700000000000003</v>
      </c>
      <c r="J68" s="257">
        <v>55498.400000000001</v>
      </c>
      <c r="K68" s="261">
        <v>72</v>
      </c>
      <c r="L68" s="250"/>
    </row>
    <row r="69" spans="3:12" ht="15.6" hidden="1">
      <c r="C69" s="254" t="s">
        <v>11</v>
      </c>
      <c r="D69" s="257">
        <v>234325.4</v>
      </c>
      <c r="E69" s="261">
        <v>51.7</v>
      </c>
      <c r="F69" s="257">
        <v>3747.6</v>
      </c>
      <c r="G69" s="261">
        <v>254.2</v>
      </c>
      <c r="H69" s="257">
        <v>7606.6</v>
      </c>
      <c r="I69" s="261">
        <v>25.7</v>
      </c>
      <c r="J69" s="257">
        <v>58381.9</v>
      </c>
      <c r="K69" s="261">
        <v>71.400000000000006</v>
      </c>
      <c r="L69" s="250"/>
    </row>
    <row r="70" spans="3:12" ht="15.6" hidden="1">
      <c r="C70" s="254" t="s">
        <v>337</v>
      </c>
      <c r="D70" s="257">
        <v>234154.2</v>
      </c>
      <c r="E70" s="261">
        <v>38</v>
      </c>
      <c r="F70" s="257">
        <v>12405.9</v>
      </c>
      <c r="G70" s="261">
        <v>92.1</v>
      </c>
      <c r="H70" s="257">
        <v>8304.2999999999993</v>
      </c>
      <c r="I70" s="261">
        <v>35.200000000000003</v>
      </c>
      <c r="J70" s="257">
        <v>60420.9</v>
      </c>
      <c r="K70" s="261">
        <v>71</v>
      </c>
      <c r="L70" s="250"/>
    </row>
    <row r="71" spans="3:12" ht="15.6" hidden="1">
      <c r="C71" s="254" t="s">
        <v>346</v>
      </c>
      <c r="D71" s="257">
        <v>240754.8</v>
      </c>
      <c r="E71" s="261">
        <v>40.9</v>
      </c>
      <c r="F71" s="257">
        <v>19513</v>
      </c>
      <c r="G71" s="261">
        <v>80.8</v>
      </c>
      <c r="H71" s="257">
        <v>8136.8</v>
      </c>
      <c r="I71" s="261">
        <v>41.2</v>
      </c>
      <c r="J71" s="257">
        <v>63176.5</v>
      </c>
      <c r="K71" s="261">
        <v>53.4</v>
      </c>
      <c r="L71" s="250"/>
    </row>
    <row r="72" spans="3:12" ht="15.6" hidden="1">
      <c r="C72" s="254" t="s">
        <v>347</v>
      </c>
      <c r="D72" s="257">
        <v>276832.90000000002</v>
      </c>
      <c r="E72" s="261">
        <v>37.200000000000003</v>
      </c>
      <c r="F72" s="257">
        <v>22959.8</v>
      </c>
      <c r="G72" s="261">
        <v>79.099999999999994</v>
      </c>
      <c r="H72" s="257">
        <v>12017.6</v>
      </c>
      <c r="I72" s="261">
        <v>61.7</v>
      </c>
      <c r="J72" s="257">
        <v>65532</v>
      </c>
      <c r="K72" s="261">
        <v>52.4</v>
      </c>
      <c r="L72" s="250"/>
    </row>
    <row r="73" spans="3:12" ht="15.6" hidden="1">
      <c r="C73" s="254" t="s">
        <v>12</v>
      </c>
      <c r="D73" s="257">
        <v>241153</v>
      </c>
      <c r="E73" s="261">
        <v>36.299999999999997</v>
      </c>
      <c r="F73" s="257">
        <v>29264.6</v>
      </c>
      <c r="G73" s="261">
        <v>53.2</v>
      </c>
      <c r="H73" s="257">
        <v>11226</v>
      </c>
      <c r="I73" s="261">
        <v>33</v>
      </c>
      <c r="J73" s="257">
        <v>70474</v>
      </c>
      <c r="K73" s="261">
        <v>56.3</v>
      </c>
      <c r="L73" s="250"/>
    </row>
    <row r="74" spans="3:12" ht="15.6" hidden="1">
      <c r="C74" s="254" t="s">
        <v>13</v>
      </c>
      <c r="D74" s="257">
        <v>316284.09999999998</v>
      </c>
      <c r="E74" s="261">
        <v>44</v>
      </c>
      <c r="F74" s="257">
        <v>9862.9</v>
      </c>
      <c r="G74" s="261">
        <v>275</v>
      </c>
      <c r="H74" s="257">
        <v>16212.9</v>
      </c>
      <c r="I74" s="261">
        <v>50</v>
      </c>
      <c r="J74" s="257">
        <v>74940.5</v>
      </c>
      <c r="K74" s="261">
        <v>51</v>
      </c>
      <c r="L74" s="250"/>
    </row>
    <row r="75" spans="3:12" ht="15.6" hidden="1">
      <c r="C75" s="254" t="s">
        <v>14</v>
      </c>
      <c r="D75" s="257">
        <v>354887.8</v>
      </c>
      <c r="E75" s="261">
        <v>34.6</v>
      </c>
      <c r="F75" s="257">
        <v>35981.1</v>
      </c>
      <c r="G75" s="261">
        <v>53.9</v>
      </c>
      <c r="H75" s="257">
        <v>11361.7</v>
      </c>
      <c r="I75" s="261">
        <v>28.5</v>
      </c>
      <c r="J75" s="257">
        <v>79873.899999999994</v>
      </c>
      <c r="K75" s="261">
        <v>54.7</v>
      </c>
      <c r="L75" s="250"/>
    </row>
    <row r="76" spans="3:12" ht="15.6" hidden="1">
      <c r="C76" s="254" t="s">
        <v>15</v>
      </c>
      <c r="D76" s="257">
        <v>377577.4</v>
      </c>
      <c r="E76" s="261">
        <v>33.9</v>
      </c>
      <c r="F76" s="257">
        <v>36466.699999999997</v>
      </c>
      <c r="G76" s="261">
        <v>82.5</v>
      </c>
      <c r="H76" s="257">
        <v>14348.9</v>
      </c>
      <c r="I76" s="261">
        <v>36.4</v>
      </c>
      <c r="J76" s="257">
        <v>89486.6</v>
      </c>
      <c r="K76" s="261">
        <v>49.9</v>
      </c>
      <c r="L76" s="250"/>
    </row>
    <row r="77" spans="3:12" ht="15.6" hidden="1">
      <c r="C77" s="254" t="s">
        <v>16</v>
      </c>
      <c r="D77" s="257">
        <v>434763.5</v>
      </c>
      <c r="E77" s="261">
        <v>37</v>
      </c>
      <c r="F77" s="257">
        <v>61802.1</v>
      </c>
      <c r="G77" s="261">
        <v>37.799999999999997</v>
      </c>
      <c r="H77" s="257">
        <v>20424.099999999999</v>
      </c>
      <c r="I77" s="261">
        <v>28.9</v>
      </c>
      <c r="J77" s="257">
        <v>93194.8</v>
      </c>
      <c r="K77" s="261">
        <v>69.400000000000006</v>
      </c>
      <c r="L77" s="250"/>
    </row>
    <row r="78" spans="3:12" ht="15.6" hidden="1">
      <c r="C78" s="254"/>
      <c r="D78" s="257"/>
      <c r="E78" s="261"/>
      <c r="F78" s="257"/>
      <c r="G78" s="261"/>
      <c r="H78" s="257"/>
      <c r="I78" s="261"/>
      <c r="J78" s="257"/>
      <c r="K78" s="261"/>
      <c r="L78" s="250"/>
    </row>
    <row r="79" spans="3:12" ht="15.6" hidden="1">
      <c r="C79" s="263">
        <v>2003</v>
      </c>
      <c r="D79" s="257"/>
      <c r="E79" s="261"/>
      <c r="F79" s="257"/>
      <c r="G79" s="261"/>
      <c r="H79" s="257"/>
      <c r="I79" s="261"/>
      <c r="J79" s="257"/>
      <c r="K79" s="261"/>
      <c r="L79" s="250"/>
    </row>
    <row r="80" spans="3:12" ht="15.6" hidden="1">
      <c r="C80" s="254"/>
      <c r="D80" s="257"/>
      <c r="E80" s="261"/>
      <c r="F80" s="257"/>
      <c r="G80" s="261"/>
      <c r="H80" s="257"/>
      <c r="I80" s="261"/>
      <c r="J80" s="257"/>
      <c r="K80" s="261"/>
      <c r="L80" s="250"/>
    </row>
    <row r="81" spans="3:12" ht="15.6" hidden="1">
      <c r="C81" s="254" t="s">
        <v>8</v>
      </c>
      <c r="D81" s="257">
        <v>476631.2</v>
      </c>
      <c r="E81" s="261">
        <v>35</v>
      </c>
      <c r="F81" s="257">
        <v>77908.2</v>
      </c>
      <c r="G81" s="261">
        <v>31</v>
      </c>
      <c r="H81" s="257">
        <v>15921.4</v>
      </c>
      <c r="I81" s="261">
        <v>55.5</v>
      </c>
      <c r="J81" s="257">
        <v>103165.1</v>
      </c>
      <c r="K81" s="261">
        <v>50</v>
      </c>
      <c r="L81" s="250"/>
    </row>
    <row r="82" spans="3:12" ht="15.6" hidden="1">
      <c r="C82" s="254" t="s">
        <v>9</v>
      </c>
      <c r="D82" s="257">
        <v>519931.2</v>
      </c>
      <c r="E82" s="261">
        <v>28.9</v>
      </c>
      <c r="F82" s="257">
        <v>69336.5</v>
      </c>
      <c r="G82" s="261">
        <v>62.3</v>
      </c>
      <c r="H82" s="257">
        <v>19548.5</v>
      </c>
      <c r="I82" s="261">
        <v>31.5</v>
      </c>
      <c r="J82" s="257">
        <v>101917.3</v>
      </c>
      <c r="K82" s="261">
        <v>49.6</v>
      </c>
      <c r="L82" s="250"/>
    </row>
    <row r="83" spans="3:12" ht="15.6" hidden="1">
      <c r="C83" s="254" t="s">
        <v>10</v>
      </c>
      <c r="D83" s="257">
        <v>621761.1</v>
      </c>
      <c r="E83" s="261">
        <v>35.299999999999997</v>
      </c>
      <c r="F83" s="257">
        <v>74729.8</v>
      </c>
      <c r="G83" s="261">
        <v>42.4</v>
      </c>
      <c r="H83" s="257">
        <v>15193.4</v>
      </c>
      <c r="I83" s="261">
        <v>43.2</v>
      </c>
      <c r="J83" s="257">
        <v>106997.5</v>
      </c>
      <c r="K83" s="261">
        <v>53.5</v>
      </c>
      <c r="L83" s="250"/>
    </row>
    <row r="84" spans="3:12" ht="15.6" hidden="1">
      <c r="C84" s="254" t="s">
        <v>11</v>
      </c>
      <c r="D84" s="257">
        <v>649057.80000000005</v>
      </c>
      <c r="E84" s="261">
        <v>32.700000000000003</v>
      </c>
      <c r="F84" s="257">
        <v>92003.3</v>
      </c>
      <c r="G84" s="261">
        <v>70.599999999999994</v>
      </c>
      <c r="H84" s="257">
        <v>16416.5</v>
      </c>
      <c r="I84" s="261">
        <v>46.9</v>
      </c>
      <c r="J84" s="257">
        <v>115044.4</v>
      </c>
      <c r="K84" s="261">
        <v>52.3</v>
      </c>
      <c r="L84" s="250"/>
    </row>
    <row r="85" spans="3:12" ht="15.6" hidden="1">
      <c r="C85" s="254" t="s">
        <v>337</v>
      </c>
      <c r="D85" s="257">
        <v>757694</v>
      </c>
      <c r="E85" s="261">
        <v>34.299999999999997</v>
      </c>
      <c r="F85" s="257">
        <v>122967.5</v>
      </c>
      <c r="G85" s="261">
        <v>57.1</v>
      </c>
      <c r="H85" s="257">
        <v>15241.4</v>
      </c>
      <c r="I85" s="261">
        <v>43.5</v>
      </c>
      <c r="J85" s="257">
        <v>125772.2</v>
      </c>
      <c r="K85" s="261">
        <v>54</v>
      </c>
      <c r="L85" s="250"/>
    </row>
    <row r="86" spans="3:12" ht="15.6" hidden="1">
      <c r="C86" s="254" t="s">
        <v>346</v>
      </c>
      <c r="D86" s="257">
        <v>866815.7</v>
      </c>
      <c r="E86" s="261">
        <v>32.200000000000003</v>
      </c>
      <c r="F86" s="257">
        <v>83131.8</v>
      </c>
      <c r="G86" s="261">
        <v>89.6</v>
      </c>
      <c r="H86" s="257">
        <v>6267.1</v>
      </c>
      <c r="I86" s="261">
        <v>46.4</v>
      </c>
      <c r="J86" s="257">
        <v>183932.3</v>
      </c>
      <c r="K86" s="261">
        <v>44.1</v>
      </c>
      <c r="L86" s="250"/>
    </row>
    <row r="87" spans="3:12" ht="15.6" hidden="1">
      <c r="C87" s="264">
        <v>2003</v>
      </c>
      <c r="D87" s="257"/>
      <c r="E87" s="261"/>
      <c r="F87" s="257"/>
      <c r="G87" s="261"/>
      <c r="H87" s="257"/>
      <c r="I87" s="261"/>
      <c r="J87" s="257"/>
      <c r="K87" s="261"/>
      <c r="L87" s="250"/>
    </row>
    <row r="88" spans="3:12" ht="15.6" hidden="1">
      <c r="C88" s="254"/>
      <c r="D88" s="257"/>
      <c r="E88" s="261"/>
      <c r="F88" s="257"/>
      <c r="G88" s="261"/>
      <c r="H88" s="257"/>
      <c r="I88" s="261"/>
      <c r="J88" s="257"/>
      <c r="K88" s="261"/>
      <c r="L88" s="250"/>
    </row>
    <row r="89" spans="3:12" ht="15.6" hidden="1">
      <c r="C89" s="254" t="s">
        <v>347</v>
      </c>
      <c r="D89" s="257">
        <v>1001673.5</v>
      </c>
      <c r="E89" s="261">
        <v>28.7</v>
      </c>
      <c r="F89" s="257">
        <v>118771.9</v>
      </c>
      <c r="G89" s="261">
        <v>118</v>
      </c>
      <c r="H89" s="257">
        <v>16088.6</v>
      </c>
      <c r="I89" s="261">
        <v>116.8</v>
      </c>
      <c r="J89" s="257">
        <v>155663</v>
      </c>
      <c r="K89" s="261">
        <v>49</v>
      </c>
      <c r="L89" s="250"/>
    </row>
    <row r="90" spans="3:12" ht="15.6" hidden="1">
      <c r="C90" s="254" t="s">
        <v>12</v>
      </c>
      <c r="D90" s="257">
        <v>1021826.9</v>
      </c>
      <c r="E90" s="261">
        <v>39.200000000000003</v>
      </c>
      <c r="F90" s="257">
        <v>88149.6</v>
      </c>
      <c r="G90" s="261">
        <v>89.9</v>
      </c>
      <c r="H90" s="257">
        <v>11419.4</v>
      </c>
      <c r="I90" s="261">
        <v>70.099999999999994</v>
      </c>
      <c r="J90" s="257">
        <v>189612.3</v>
      </c>
      <c r="K90" s="261">
        <v>51.3</v>
      </c>
      <c r="L90" s="250"/>
    </row>
    <row r="91" spans="3:12" ht="15.6" hidden="1">
      <c r="C91" s="254" t="s">
        <v>13</v>
      </c>
      <c r="D91" s="257">
        <v>1666581.6</v>
      </c>
      <c r="E91" s="261">
        <v>43.1</v>
      </c>
      <c r="F91" s="257">
        <v>125082.6</v>
      </c>
      <c r="G91" s="261">
        <v>53.5</v>
      </c>
      <c r="H91" s="257">
        <v>18694.7</v>
      </c>
      <c r="I91" s="261">
        <v>230</v>
      </c>
      <c r="J91" s="257">
        <v>220792.7</v>
      </c>
      <c r="K91" s="261">
        <v>79.5</v>
      </c>
      <c r="L91" s="250"/>
    </row>
    <row r="92" spans="3:12" ht="15.6" hidden="1">
      <c r="C92" s="254" t="s">
        <v>14</v>
      </c>
      <c r="D92" s="257">
        <v>1847430.1</v>
      </c>
      <c r="E92" s="261">
        <v>28.9</v>
      </c>
      <c r="F92" s="257">
        <v>184304.9</v>
      </c>
      <c r="G92" s="261">
        <v>34.4</v>
      </c>
      <c r="H92" s="257">
        <v>21013.599999999999</v>
      </c>
      <c r="I92" s="261">
        <v>64.099999999999994</v>
      </c>
      <c r="J92" s="257">
        <v>248068.9</v>
      </c>
      <c r="K92" s="261">
        <v>58.7</v>
      </c>
      <c r="L92" s="250"/>
    </row>
    <row r="93" spans="3:12" ht="15.6" hidden="1">
      <c r="C93" s="254" t="s">
        <v>15</v>
      </c>
      <c r="D93" s="257">
        <v>2027412.8</v>
      </c>
      <c r="E93" s="261">
        <v>35.799999999999997</v>
      </c>
      <c r="F93" s="257">
        <v>205498.7</v>
      </c>
      <c r="G93" s="261">
        <v>41.3</v>
      </c>
      <c r="H93" s="257">
        <v>20031.3</v>
      </c>
      <c r="I93" s="261">
        <v>70.8</v>
      </c>
      <c r="J93" s="257">
        <v>263774.2</v>
      </c>
      <c r="K93" s="261">
        <v>55.9</v>
      </c>
      <c r="L93" s="250"/>
    </row>
    <row r="94" spans="3:12" ht="15.6" hidden="1">
      <c r="C94" s="254" t="s">
        <v>16</v>
      </c>
      <c r="D94" s="257">
        <v>1687626.6</v>
      </c>
      <c r="E94" s="261">
        <v>31.7</v>
      </c>
      <c r="F94" s="257">
        <v>286529.90000000002</v>
      </c>
      <c r="G94" s="261">
        <v>27.4</v>
      </c>
      <c r="H94" s="257">
        <v>33626.300000000003</v>
      </c>
      <c r="I94" s="261">
        <v>90.4</v>
      </c>
      <c r="J94" s="257">
        <v>186536.2</v>
      </c>
      <c r="K94" s="261">
        <v>74.099999999999994</v>
      </c>
      <c r="L94" s="250"/>
    </row>
    <row r="95" spans="3:12" ht="15.6" hidden="1">
      <c r="C95" s="254"/>
      <c r="D95" s="257"/>
      <c r="E95" s="261"/>
      <c r="F95" s="257"/>
      <c r="G95" s="261"/>
      <c r="H95" s="257"/>
      <c r="I95" s="261"/>
      <c r="J95" s="257"/>
      <c r="K95" s="261"/>
      <c r="L95" s="250"/>
    </row>
    <row r="96" spans="3:12" ht="15.6" hidden="1">
      <c r="C96" s="263">
        <v>2004</v>
      </c>
      <c r="D96" s="257"/>
      <c r="E96" s="261"/>
      <c r="F96" s="257"/>
      <c r="G96" s="261"/>
      <c r="H96" s="257"/>
      <c r="I96" s="261"/>
      <c r="J96" s="257"/>
      <c r="K96" s="261"/>
      <c r="L96" s="250"/>
    </row>
    <row r="97" spans="3:12" ht="15.6" hidden="1">
      <c r="C97" s="254"/>
      <c r="D97" s="257"/>
      <c r="E97" s="261"/>
      <c r="F97" s="257"/>
      <c r="G97" s="261"/>
      <c r="H97" s="257"/>
      <c r="I97" s="261"/>
      <c r="J97" s="257"/>
      <c r="K97" s="261"/>
      <c r="L97" s="250"/>
    </row>
    <row r="98" spans="3:12" ht="15.6" hidden="1">
      <c r="C98" s="254" t="s">
        <v>8</v>
      </c>
      <c r="D98" s="257">
        <v>3081457</v>
      </c>
      <c r="E98" s="261">
        <v>73.8</v>
      </c>
      <c r="F98" s="257">
        <v>312053.3</v>
      </c>
      <c r="G98" s="261">
        <v>36.799999999999997</v>
      </c>
      <c r="H98" s="257">
        <v>40409.300000000003</v>
      </c>
      <c r="I98" s="261">
        <v>52.8</v>
      </c>
      <c r="J98" s="257">
        <v>159786.79999999999</v>
      </c>
      <c r="K98" s="261">
        <v>105.1</v>
      </c>
      <c r="L98" s="250"/>
    </row>
    <row r="99" spans="3:12" ht="15.6" hidden="1">
      <c r="C99" s="254" t="s">
        <v>9</v>
      </c>
      <c r="D99" s="257">
        <v>2994571.2</v>
      </c>
      <c r="E99" s="261">
        <v>48.8</v>
      </c>
      <c r="F99" s="257">
        <v>354280.5</v>
      </c>
      <c r="G99" s="261">
        <v>50.7</v>
      </c>
      <c r="H99" s="257">
        <v>15640.8</v>
      </c>
      <c r="I99" s="261">
        <v>30.1</v>
      </c>
      <c r="J99" s="257">
        <v>255344.4</v>
      </c>
      <c r="K99" s="261">
        <v>59.3</v>
      </c>
      <c r="L99" s="250"/>
    </row>
    <row r="100" spans="3:12" ht="15.6" hidden="1">
      <c r="C100" s="254" t="s">
        <v>10</v>
      </c>
      <c r="D100" s="257">
        <v>3138477.3</v>
      </c>
      <c r="E100" s="261">
        <v>64.599999999999994</v>
      </c>
      <c r="F100" s="257">
        <v>443997.4</v>
      </c>
      <c r="G100" s="261">
        <v>72.5</v>
      </c>
      <c r="H100" s="257">
        <v>36373.5</v>
      </c>
      <c r="I100" s="261">
        <v>260.3</v>
      </c>
      <c r="J100" s="257">
        <v>282179.7</v>
      </c>
      <c r="K100" s="261">
        <v>59.8</v>
      </c>
      <c r="L100" s="250"/>
    </row>
    <row r="101" spans="3:12" ht="15.6" hidden="1">
      <c r="C101" s="254" t="s">
        <v>11</v>
      </c>
      <c r="D101" s="257">
        <v>2109153.2000000002</v>
      </c>
      <c r="E101" s="261">
        <v>48.7</v>
      </c>
      <c r="F101" s="257">
        <v>455660.5</v>
      </c>
      <c r="G101" s="261">
        <v>34.6</v>
      </c>
      <c r="H101" s="257">
        <v>44255</v>
      </c>
      <c r="I101" s="261">
        <v>19.2</v>
      </c>
      <c r="J101" s="257">
        <v>302400.40000000002</v>
      </c>
      <c r="K101" s="261">
        <v>59.3</v>
      </c>
      <c r="L101" s="250"/>
    </row>
    <row r="102" spans="3:12" ht="15.6" hidden="1">
      <c r="C102" s="254" t="s">
        <v>337</v>
      </c>
      <c r="D102" s="257">
        <v>4001291.5</v>
      </c>
      <c r="E102" s="261">
        <v>120.7</v>
      </c>
      <c r="F102" s="257">
        <v>384398.5</v>
      </c>
      <c r="G102" s="261">
        <v>36.5</v>
      </c>
      <c r="H102" s="257">
        <v>46764</v>
      </c>
      <c r="I102" s="261">
        <v>41.4</v>
      </c>
      <c r="J102" s="257">
        <v>322972</v>
      </c>
      <c r="K102" s="261">
        <v>71.5</v>
      </c>
      <c r="L102" s="250"/>
    </row>
    <row r="103" spans="3:12" ht="15.6" hidden="1">
      <c r="C103" s="254" t="s">
        <v>346</v>
      </c>
      <c r="D103" s="257">
        <v>4131741.4</v>
      </c>
      <c r="E103" s="261">
        <v>73.400000000000006</v>
      </c>
      <c r="F103" s="257">
        <v>419401.2</v>
      </c>
      <c r="G103" s="261">
        <v>67.3</v>
      </c>
      <c r="H103" s="257">
        <v>54823.3</v>
      </c>
      <c r="I103" s="261">
        <v>64.900000000000006</v>
      </c>
      <c r="J103" s="257">
        <v>358137.2</v>
      </c>
      <c r="K103" s="261">
        <v>69.400000000000006</v>
      </c>
      <c r="L103" s="250"/>
    </row>
    <row r="104" spans="3:12" ht="15.6" hidden="1">
      <c r="C104" s="254" t="s">
        <v>347</v>
      </c>
      <c r="D104" s="257">
        <v>4279086.9000000004</v>
      </c>
      <c r="E104" s="261">
        <v>68.5</v>
      </c>
      <c r="F104" s="257">
        <v>415896.2</v>
      </c>
      <c r="G104" s="261">
        <v>64.599999999999994</v>
      </c>
      <c r="H104" s="257">
        <v>68057.899999999994</v>
      </c>
      <c r="I104" s="261">
        <v>60.1</v>
      </c>
      <c r="J104" s="257">
        <v>148535</v>
      </c>
      <c r="K104" s="261">
        <v>67.400000000000006</v>
      </c>
      <c r="L104" s="250"/>
    </row>
    <row r="105" spans="3:12" ht="15.6" hidden="1">
      <c r="C105" s="254" t="s">
        <v>12</v>
      </c>
      <c r="D105" s="257">
        <v>5198408.3</v>
      </c>
      <c r="E105" s="261">
        <v>82.5</v>
      </c>
      <c r="F105" s="257">
        <v>437746.8</v>
      </c>
      <c r="G105" s="261">
        <v>39.6</v>
      </c>
      <c r="H105" s="257">
        <v>142902.6</v>
      </c>
      <c r="I105" s="261">
        <v>191</v>
      </c>
      <c r="J105" s="257">
        <v>163002.70000000001</v>
      </c>
      <c r="K105" s="261">
        <v>204.9</v>
      </c>
      <c r="L105" s="250"/>
    </row>
    <row r="106" spans="3:12" ht="15.6" hidden="1">
      <c r="C106" s="254" t="s">
        <v>13</v>
      </c>
      <c r="D106" s="257">
        <v>5835337.7000000002</v>
      </c>
      <c r="E106" s="261">
        <v>75.599999999999994</v>
      </c>
      <c r="F106" s="257">
        <v>479580.4</v>
      </c>
      <c r="G106" s="261">
        <v>62.1</v>
      </c>
      <c r="H106" s="257">
        <v>209104.2</v>
      </c>
      <c r="I106" s="261">
        <v>136.80000000000001</v>
      </c>
      <c r="J106" s="257">
        <v>596177</v>
      </c>
      <c r="K106" s="261">
        <v>73.2</v>
      </c>
      <c r="L106" s="250"/>
    </row>
    <row r="107" spans="3:12" ht="15.6" hidden="1">
      <c r="C107" s="254" t="s">
        <v>14</v>
      </c>
      <c r="D107" s="257">
        <v>6285944.2000000002</v>
      </c>
      <c r="E107" s="261">
        <v>74</v>
      </c>
      <c r="F107" s="257">
        <v>377100</v>
      </c>
      <c r="G107" s="261">
        <v>79</v>
      </c>
      <c r="H107" s="257">
        <v>182206.5</v>
      </c>
      <c r="I107" s="261">
        <v>90</v>
      </c>
      <c r="J107" s="257">
        <v>527592.5</v>
      </c>
      <c r="K107" s="261">
        <v>80</v>
      </c>
      <c r="L107" s="250"/>
    </row>
    <row r="108" spans="3:12" ht="15.6" hidden="1">
      <c r="C108" s="254" t="s">
        <v>15</v>
      </c>
      <c r="D108" s="257">
        <v>7081845</v>
      </c>
      <c r="E108" s="261">
        <v>82</v>
      </c>
      <c r="F108" s="257">
        <v>244941</v>
      </c>
      <c r="G108" s="261">
        <v>81</v>
      </c>
      <c r="H108" s="257">
        <v>176892.1</v>
      </c>
      <c r="I108" s="261">
        <v>103</v>
      </c>
      <c r="J108" s="257">
        <v>606063.9</v>
      </c>
      <c r="K108" s="261">
        <v>82</v>
      </c>
      <c r="L108" s="250"/>
    </row>
    <row r="109" spans="3:12" ht="15.6" hidden="1">
      <c r="C109" s="254" t="s">
        <v>16</v>
      </c>
      <c r="D109" s="257">
        <v>7222621.0999999996</v>
      </c>
      <c r="E109" s="261">
        <v>69.8</v>
      </c>
      <c r="F109" s="257">
        <v>669127.30000000005</v>
      </c>
      <c r="G109" s="261">
        <v>32.1</v>
      </c>
      <c r="H109" s="257">
        <v>64995.8</v>
      </c>
      <c r="I109" s="261">
        <v>130.80000000000001</v>
      </c>
      <c r="J109" s="257">
        <v>361576.7</v>
      </c>
      <c r="K109" s="261">
        <v>109.4</v>
      </c>
      <c r="L109" s="250"/>
    </row>
    <row r="110" spans="3:12" ht="15.6" hidden="1">
      <c r="C110" s="254"/>
      <c r="D110" s="257"/>
      <c r="E110" s="261"/>
      <c r="F110" s="257"/>
      <c r="G110" s="261"/>
      <c r="H110" s="257"/>
      <c r="I110" s="261"/>
      <c r="J110" s="257"/>
      <c r="K110" s="261"/>
      <c r="L110" s="250"/>
    </row>
    <row r="111" spans="3:12" ht="15.6" hidden="1">
      <c r="C111" s="263">
        <v>2005</v>
      </c>
      <c r="D111" s="257"/>
      <c r="E111" s="261"/>
      <c r="F111" s="257"/>
      <c r="G111" s="261"/>
      <c r="H111" s="257"/>
      <c r="I111" s="261"/>
      <c r="J111" s="257"/>
      <c r="K111" s="261"/>
      <c r="L111" s="250"/>
    </row>
    <row r="112" spans="3:12" ht="15.6" hidden="1">
      <c r="C112" s="254"/>
      <c r="D112" s="257"/>
      <c r="E112" s="261"/>
      <c r="F112" s="257"/>
      <c r="G112" s="261"/>
      <c r="H112" s="257"/>
      <c r="I112" s="261"/>
      <c r="J112" s="257"/>
      <c r="K112" s="261"/>
      <c r="L112" s="250"/>
    </row>
    <row r="113" spans="3:12" ht="15.6" hidden="1">
      <c r="C113" s="254" t="s">
        <v>8</v>
      </c>
      <c r="D113" s="257">
        <f>7958377086/1000</f>
        <v>7958377.0860000001</v>
      </c>
      <c r="E113" s="261">
        <v>246</v>
      </c>
      <c r="F113" s="257">
        <v>490515.1</v>
      </c>
      <c r="G113" s="261">
        <v>45.1</v>
      </c>
      <c r="H113" s="257">
        <v>209259.6</v>
      </c>
      <c r="I113" s="261">
        <v>347</v>
      </c>
      <c r="J113" s="257">
        <v>900439.2</v>
      </c>
      <c r="K113" s="261">
        <v>72</v>
      </c>
      <c r="L113" s="250"/>
    </row>
    <row r="114" spans="3:12" ht="15.6" hidden="1">
      <c r="C114" s="254" t="s">
        <v>9</v>
      </c>
      <c r="D114" s="257">
        <f>9572880135/1000</f>
        <v>9572880.1349999998</v>
      </c>
      <c r="E114" s="261">
        <v>82</v>
      </c>
      <c r="F114" s="257">
        <v>413892.1</v>
      </c>
      <c r="G114" s="261">
        <v>66.7</v>
      </c>
      <c r="H114" s="257">
        <v>90279.3</v>
      </c>
      <c r="I114" s="261">
        <v>15</v>
      </c>
      <c r="J114" s="257">
        <v>1040248.2</v>
      </c>
      <c r="K114" s="261">
        <v>80</v>
      </c>
      <c r="L114" s="250"/>
    </row>
    <row r="115" spans="3:12" ht="15.6" hidden="1">
      <c r="C115" s="254" t="s">
        <v>10</v>
      </c>
      <c r="D115" s="257">
        <f>10307687906/1000</f>
        <v>10307687.905999999</v>
      </c>
      <c r="E115" s="261">
        <v>79</v>
      </c>
      <c r="F115" s="257">
        <v>416787.5</v>
      </c>
      <c r="G115" s="261">
        <v>52.3</v>
      </c>
      <c r="H115" s="257">
        <v>206714.9</v>
      </c>
      <c r="I115" s="261">
        <v>292</v>
      </c>
      <c r="J115" s="257">
        <v>1353260.3</v>
      </c>
      <c r="K115" s="261">
        <v>88</v>
      </c>
      <c r="L115" s="250"/>
    </row>
    <row r="116" spans="3:12" ht="15.6" hidden="1">
      <c r="C116" s="254" t="s">
        <v>11</v>
      </c>
      <c r="D116" s="257">
        <f>9062813286/1000</f>
        <v>9062813.2860000003</v>
      </c>
      <c r="E116" s="261">
        <v>57</v>
      </c>
      <c r="F116" s="257">
        <v>376300</v>
      </c>
      <c r="G116" s="261">
        <v>75.400000000000006</v>
      </c>
      <c r="H116" s="257">
        <v>167353</v>
      </c>
      <c r="I116" s="261">
        <v>143</v>
      </c>
      <c r="J116" s="257">
        <v>1195371.7</v>
      </c>
      <c r="K116" s="261">
        <v>164</v>
      </c>
      <c r="L116" s="250"/>
    </row>
    <row r="117" spans="3:12" ht="15.6" hidden="1">
      <c r="C117" s="254" t="s">
        <v>337</v>
      </c>
      <c r="D117" s="257">
        <v>13324291.300000001</v>
      </c>
      <c r="E117" s="261">
        <v>79</v>
      </c>
      <c r="F117" s="257">
        <v>470283.3</v>
      </c>
      <c r="G117" s="261">
        <v>81.099999999999994</v>
      </c>
      <c r="H117" s="257">
        <v>239923</v>
      </c>
      <c r="I117" s="261">
        <v>168</v>
      </c>
      <c r="J117" s="257">
        <v>1820626.8</v>
      </c>
      <c r="K117" s="261">
        <v>78</v>
      </c>
      <c r="L117" s="250"/>
    </row>
    <row r="118" spans="3:12" ht="15.6" hidden="1">
      <c r="C118" s="254" t="s">
        <v>346</v>
      </c>
      <c r="D118" s="257">
        <f>14907497144/1000</f>
        <v>14907497.143999999</v>
      </c>
      <c r="E118" s="261">
        <v>72.7</v>
      </c>
      <c r="F118" s="257">
        <v>602512.4</v>
      </c>
      <c r="G118" s="261">
        <v>70.5</v>
      </c>
      <c r="H118" s="257">
        <f>260059535/1000</f>
        <v>260059.535</v>
      </c>
      <c r="I118" s="261">
        <v>121.7</v>
      </c>
      <c r="J118" s="257">
        <f>1926823999/1000</f>
        <v>1926823.9990000001</v>
      </c>
      <c r="K118" s="261">
        <v>80.8</v>
      </c>
      <c r="L118" s="250"/>
    </row>
    <row r="119" spans="3:12" ht="15.6" hidden="1">
      <c r="C119" s="254" t="s">
        <v>347</v>
      </c>
      <c r="D119" s="257">
        <v>15103212.699999999</v>
      </c>
      <c r="E119" s="261">
        <v>59.2</v>
      </c>
      <c r="F119" s="257">
        <v>516281.8</v>
      </c>
      <c r="G119" s="261">
        <v>58.2</v>
      </c>
      <c r="H119" s="257">
        <v>337517.4</v>
      </c>
      <c r="I119" s="261">
        <v>164.6</v>
      </c>
      <c r="J119" s="257">
        <v>2172923.2000000002</v>
      </c>
      <c r="K119" s="261">
        <v>79.5</v>
      </c>
      <c r="L119" s="250"/>
    </row>
    <row r="120" spans="3:12" ht="15.6" hidden="1">
      <c r="C120" s="254" t="s">
        <v>12</v>
      </c>
      <c r="D120" s="257">
        <f>18166150293/1000</f>
        <v>18166150.293000001</v>
      </c>
      <c r="E120" s="261">
        <v>80.8</v>
      </c>
      <c r="F120" s="257">
        <v>527314.5</v>
      </c>
      <c r="G120" s="261">
        <v>76.2</v>
      </c>
      <c r="H120" s="257">
        <f>340681803/1000</f>
        <v>340681.80300000001</v>
      </c>
      <c r="I120" s="261">
        <v>174.2</v>
      </c>
      <c r="J120" s="257">
        <f>2600600558/1000</f>
        <v>2600600.5580000002</v>
      </c>
      <c r="K120" s="261">
        <v>84.4</v>
      </c>
      <c r="L120" s="250"/>
    </row>
    <row r="121" spans="3:12" ht="15.6" hidden="1">
      <c r="C121" s="254" t="s">
        <v>13</v>
      </c>
      <c r="D121" s="257">
        <f>20464927363/1000</f>
        <v>20464927.363000002</v>
      </c>
      <c r="E121" s="261">
        <v>80.7</v>
      </c>
      <c r="F121" s="257">
        <v>761271.2</v>
      </c>
      <c r="G121" s="261">
        <v>89.8</v>
      </c>
      <c r="H121" s="257">
        <f>406394203/1000</f>
        <v>406394.20299999998</v>
      </c>
      <c r="I121" s="261">
        <v>182.5</v>
      </c>
      <c r="J121" s="257">
        <f>1336933917/1000</f>
        <v>1336933.9169999999</v>
      </c>
      <c r="K121" s="261">
        <v>381.9</v>
      </c>
      <c r="L121" s="250"/>
    </row>
    <row r="122" spans="3:12" ht="15.6" hidden="1">
      <c r="C122" s="254" t="s">
        <v>14</v>
      </c>
      <c r="D122" s="257">
        <f>28879143836/1000</f>
        <v>28879143.835999999</v>
      </c>
      <c r="E122" s="261">
        <v>116</v>
      </c>
      <c r="F122" s="257">
        <v>574894.6</v>
      </c>
      <c r="G122" s="261">
        <v>266.2</v>
      </c>
      <c r="H122" s="257">
        <f>366188895/1000</f>
        <v>366188.89500000002</v>
      </c>
      <c r="I122" s="261">
        <v>204.5</v>
      </c>
      <c r="J122" s="257">
        <f>4058604834/1000</f>
        <v>4058604.8339999998</v>
      </c>
      <c r="K122" s="261">
        <v>93.1</v>
      </c>
      <c r="L122" s="250"/>
    </row>
    <row r="123" spans="3:12" ht="15.6" hidden="1">
      <c r="C123" s="254" t="s">
        <v>15</v>
      </c>
      <c r="D123" s="257">
        <f>36092997614/1000</f>
        <v>36092997.614</v>
      </c>
      <c r="E123" s="261">
        <v>106.9</v>
      </c>
      <c r="F123" s="257">
        <v>1284654.8</v>
      </c>
      <c r="G123" s="261">
        <v>186.2</v>
      </c>
      <c r="H123" s="257">
        <f>609143946/1000</f>
        <v>609143.946</v>
      </c>
      <c r="I123" s="261">
        <v>265.89999999999998</v>
      </c>
      <c r="J123" s="257">
        <f>3765366171/1000</f>
        <v>3765366.1710000001</v>
      </c>
      <c r="K123" s="261">
        <v>80.7</v>
      </c>
      <c r="L123" s="250"/>
    </row>
    <row r="124" spans="3:12" ht="15.6" hidden="1">
      <c r="C124" s="254" t="s">
        <v>16</v>
      </c>
      <c r="D124" s="257">
        <f>43744975928/1000</f>
        <v>43744975.928000003</v>
      </c>
      <c r="E124" s="261">
        <v>91.5</v>
      </c>
      <c r="F124" s="257">
        <v>1323614.6000000001</v>
      </c>
      <c r="G124" s="261">
        <v>169.9</v>
      </c>
      <c r="H124" s="257">
        <f>400636790/1000</f>
        <v>400636.79</v>
      </c>
      <c r="I124" s="261">
        <v>124.2</v>
      </c>
      <c r="J124" s="257">
        <f>590957783/1000</f>
        <v>590957.78300000005</v>
      </c>
      <c r="K124" s="261">
        <v>82.6</v>
      </c>
      <c r="L124" s="250"/>
    </row>
    <row r="125" spans="3:12" ht="15.6" hidden="1">
      <c r="C125" s="254"/>
      <c r="D125" s="257"/>
      <c r="E125" s="261"/>
      <c r="F125" s="257"/>
      <c r="G125" s="261"/>
      <c r="H125" s="257"/>
      <c r="I125" s="261"/>
      <c r="J125" s="257"/>
      <c r="K125" s="261"/>
      <c r="L125" s="250"/>
    </row>
    <row r="126" spans="3:12" ht="15.6" hidden="1">
      <c r="C126" s="263">
        <v>2006</v>
      </c>
      <c r="D126" s="257"/>
      <c r="E126" s="261"/>
      <c r="F126" s="257"/>
      <c r="G126" s="261"/>
      <c r="H126" s="257"/>
      <c r="I126" s="261"/>
      <c r="J126" s="257"/>
      <c r="K126" s="261"/>
      <c r="L126" s="250"/>
    </row>
    <row r="127" spans="3:12" ht="15.6" hidden="1">
      <c r="C127" s="254"/>
      <c r="D127" s="257"/>
      <c r="E127" s="261"/>
      <c r="F127" s="257"/>
      <c r="G127" s="261"/>
      <c r="H127" s="257"/>
      <c r="I127" s="261"/>
      <c r="J127" s="257"/>
      <c r="K127" s="262"/>
      <c r="L127" s="250"/>
    </row>
    <row r="128" spans="3:12" ht="15.6" hidden="1">
      <c r="C128" s="254" t="s">
        <v>8</v>
      </c>
      <c r="D128" s="257">
        <f>50921468228/1000</f>
        <v>50921468.228</v>
      </c>
      <c r="E128" s="265">
        <v>93</v>
      </c>
      <c r="F128" s="257">
        <v>185282.09940000001</v>
      </c>
      <c r="G128" s="262">
        <v>185</v>
      </c>
      <c r="H128" s="257">
        <f>915533124/1000</f>
        <v>915533.12399999995</v>
      </c>
      <c r="I128" s="262">
        <v>1439</v>
      </c>
      <c r="J128" s="257">
        <f>4920100299/1000</f>
        <v>4920100.2989999996</v>
      </c>
      <c r="K128" s="262">
        <v>82</v>
      </c>
      <c r="L128" s="250"/>
    </row>
    <row r="129" spans="3:12" ht="15.6" hidden="1">
      <c r="C129" s="254" t="s">
        <v>9</v>
      </c>
      <c r="D129" s="257">
        <f>43747595079/1000</f>
        <v>43747595.079000004</v>
      </c>
      <c r="E129" s="265">
        <v>73</v>
      </c>
      <c r="F129" s="257">
        <v>224349.10780000003</v>
      </c>
      <c r="G129" s="262">
        <v>93</v>
      </c>
      <c r="H129" s="257">
        <f>855102520/1000</f>
        <v>855102.52</v>
      </c>
      <c r="I129" s="262">
        <v>98</v>
      </c>
      <c r="J129" s="257">
        <f>4698281252/1000</f>
        <v>4698281.2520000003</v>
      </c>
      <c r="K129" s="261">
        <v>100.5</v>
      </c>
      <c r="L129" s="250"/>
    </row>
    <row r="130" spans="3:12" ht="15.6" hidden="1">
      <c r="C130" s="254" t="s">
        <v>10</v>
      </c>
      <c r="D130" s="257">
        <f>55015964949/1000</f>
        <v>55015964.949000001</v>
      </c>
      <c r="E130" s="265">
        <v>111</v>
      </c>
      <c r="F130" s="257">
        <v>100363.35870000001</v>
      </c>
      <c r="G130" s="262">
        <v>197</v>
      </c>
      <c r="H130" s="257">
        <f>725997863/1000</f>
        <v>725997.86300000001</v>
      </c>
      <c r="I130" s="262">
        <v>85</v>
      </c>
      <c r="J130" s="257">
        <f>6895867959/1000</f>
        <v>6895867.9589999998</v>
      </c>
      <c r="K130" s="261">
        <v>82.1</v>
      </c>
      <c r="L130" s="250"/>
    </row>
    <row r="131" spans="3:12" ht="15.6" hidden="1">
      <c r="C131" s="254" t="s">
        <v>11</v>
      </c>
      <c r="D131" s="257">
        <f>44692411740/1000</f>
        <v>44692411.740000002</v>
      </c>
      <c r="E131" s="261">
        <v>38.299999999999997</v>
      </c>
      <c r="F131" s="257">
        <v>100597.4</v>
      </c>
      <c r="G131" s="261">
        <v>29</v>
      </c>
      <c r="H131" s="257">
        <f>167353037/1000</f>
        <v>167353.03700000001</v>
      </c>
      <c r="I131" s="261">
        <v>40.6</v>
      </c>
      <c r="J131" s="257">
        <f>1243677779/1000</f>
        <v>1243677.7790000001</v>
      </c>
      <c r="K131" s="261">
        <v>157.30000000000001</v>
      </c>
      <c r="L131" s="250"/>
    </row>
    <row r="132" spans="3:12" ht="15.6" hidden="1">
      <c r="C132" s="254" t="s">
        <v>337</v>
      </c>
      <c r="D132" s="257">
        <v>75927213.900000006</v>
      </c>
      <c r="E132" s="261">
        <v>128.19999999999999</v>
      </c>
      <c r="F132" s="257">
        <v>470283.3</v>
      </c>
      <c r="G132" s="261">
        <v>480</v>
      </c>
      <c r="H132" s="257">
        <f>586974229/1000</f>
        <v>586974.22900000005</v>
      </c>
      <c r="I132" s="261">
        <v>273</v>
      </c>
      <c r="J132" s="257">
        <f>1820626847/1000</f>
        <v>1820626.8470000001</v>
      </c>
      <c r="K132" s="261">
        <v>77.900000000000006</v>
      </c>
      <c r="L132" s="250"/>
    </row>
    <row r="133" spans="3:12" ht="15.6" hidden="1">
      <c r="C133" s="254" t="s">
        <v>346</v>
      </c>
      <c r="D133" s="257">
        <v>87483459.5</v>
      </c>
      <c r="E133" s="261">
        <v>85</v>
      </c>
      <c r="F133" s="257">
        <v>2076037</v>
      </c>
      <c r="G133" s="261">
        <v>53.8</v>
      </c>
      <c r="H133" s="257">
        <f>260059535/1000</f>
        <v>260059.535</v>
      </c>
      <c r="I133" s="261">
        <v>52</v>
      </c>
      <c r="J133" s="257">
        <f>1926823999/1000</f>
        <v>1926823.9990000001</v>
      </c>
      <c r="K133" s="261">
        <v>80.8</v>
      </c>
      <c r="L133" s="250"/>
    </row>
    <row r="134" spans="3:12" ht="15.6" hidden="1">
      <c r="C134" s="254" t="s">
        <v>347</v>
      </c>
      <c r="D134" s="257">
        <f>27650584721.7/1000</f>
        <v>27650584.721700002</v>
      </c>
      <c r="E134" s="261">
        <v>22.1</v>
      </c>
      <c r="F134" s="257">
        <v>596112.4</v>
      </c>
      <c r="G134" s="261">
        <v>52.6</v>
      </c>
      <c r="H134" s="257">
        <f>337517404/1000</f>
        <v>337517.40399999998</v>
      </c>
      <c r="I134" s="261">
        <v>165</v>
      </c>
      <c r="J134" s="257">
        <f>2172923189/1000</f>
        <v>2172923.1889999998</v>
      </c>
      <c r="K134" s="261">
        <v>79.5</v>
      </c>
      <c r="L134" s="250"/>
    </row>
    <row r="135" spans="3:12" ht="15.6" hidden="1">
      <c r="C135" s="254" t="s">
        <v>12</v>
      </c>
      <c r="D135" s="257">
        <v>262395546.5</v>
      </c>
      <c r="E135" s="261">
        <v>637.9</v>
      </c>
      <c r="F135" s="257">
        <v>57537.2</v>
      </c>
      <c r="G135" s="261">
        <v>76.599999999999994</v>
      </c>
      <c r="H135" s="257">
        <v>278995.7</v>
      </c>
      <c r="I135" s="261">
        <v>46.5</v>
      </c>
      <c r="J135" s="257">
        <f>734309799/1000</f>
        <v>734309.799</v>
      </c>
      <c r="K135" s="261">
        <v>299.10000000000002</v>
      </c>
      <c r="L135" s="250"/>
    </row>
    <row r="136" spans="3:12" ht="15.6" hidden="1">
      <c r="C136" s="254" t="s">
        <v>13</v>
      </c>
      <c r="D136" s="257">
        <f>345532484400/1000</f>
        <v>345532484.39999998</v>
      </c>
      <c r="E136" s="261">
        <v>93.5</v>
      </c>
      <c r="F136" s="257">
        <v>761271.9</v>
      </c>
      <c r="G136" s="261">
        <v>1677.8</v>
      </c>
      <c r="H136" s="257">
        <f>129204332/1000</f>
        <v>129204.33199999999</v>
      </c>
      <c r="I136" s="261">
        <v>166</v>
      </c>
      <c r="J136" s="257">
        <f>1081753878/1000</f>
        <v>1081753.878</v>
      </c>
      <c r="K136" s="261">
        <v>773.4</v>
      </c>
      <c r="L136" s="250"/>
    </row>
    <row r="137" spans="3:12" ht="15.6" hidden="1">
      <c r="C137" s="254" t="s">
        <v>14</v>
      </c>
      <c r="D137" s="257">
        <f>327213495369/1000</f>
        <v>327213495.36900002</v>
      </c>
      <c r="E137" s="261">
        <v>60.5</v>
      </c>
      <c r="F137" s="257">
        <v>13940403.6</v>
      </c>
      <c r="G137" s="261">
        <v>11</v>
      </c>
      <c r="H137" s="257">
        <f>305085344/1000</f>
        <v>305085.34399999998</v>
      </c>
      <c r="I137" s="261">
        <v>621.20000000000005</v>
      </c>
      <c r="J137" s="257">
        <v>4058604.8</v>
      </c>
      <c r="K137" s="261">
        <v>93.1</v>
      </c>
      <c r="L137" s="250"/>
    </row>
    <row r="138" spans="3:12" ht="15.6" hidden="1">
      <c r="C138" s="254" t="s">
        <v>15</v>
      </c>
      <c r="D138" s="266">
        <v>223420803.80000001</v>
      </c>
      <c r="E138" s="261">
        <v>46.4</v>
      </c>
      <c r="F138" s="257">
        <v>1224447.8</v>
      </c>
      <c r="G138" s="261">
        <v>196.3</v>
      </c>
      <c r="H138" s="257">
        <f>548040395/1000</f>
        <v>548040.39500000002</v>
      </c>
      <c r="I138" s="261">
        <v>309.8</v>
      </c>
      <c r="J138" s="257">
        <f>3765366171/1000</f>
        <v>3765366.1710000001</v>
      </c>
      <c r="K138" s="261">
        <v>80.7</v>
      </c>
      <c r="L138" s="250"/>
    </row>
    <row r="139" spans="3:12" ht="15.6" hidden="1">
      <c r="C139" s="254" t="s">
        <v>16</v>
      </c>
      <c r="D139" s="266">
        <f>291551316484/1000</f>
        <v>291551316.48400003</v>
      </c>
      <c r="E139" s="261">
        <v>57.6</v>
      </c>
      <c r="F139" s="257">
        <v>1263407.6000000001</v>
      </c>
      <c r="G139" s="261">
        <v>192.7</v>
      </c>
      <c r="H139" s="257">
        <f>192374/1000</f>
        <v>192.374</v>
      </c>
      <c r="I139" s="261">
        <v>17</v>
      </c>
      <c r="J139" s="257">
        <f>617517612/1000</f>
        <v>617517.61199999996</v>
      </c>
      <c r="K139" s="261">
        <v>79</v>
      </c>
      <c r="L139" s="250"/>
    </row>
    <row r="140" spans="3:12" ht="15.6" hidden="1">
      <c r="C140" s="254"/>
      <c r="D140" s="266"/>
      <c r="E140" s="261"/>
      <c r="F140" s="257"/>
      <c r="G140" s="261"/>
      <c r="H140" s="257"/>
      <c r="I140" s="261"/>
      <c r="J140" s="257"/>
      <c r="K140" s="261"/>
      <c r="L140" s="250"/>
    </row>
    <row r="141" spans="3:12" ht="15.6" hidden="1">
      <c r="C141" s="263">
        <v>2007</v>
      </c>
      <c r="D141" s="266"/>
      <c r="E141" s="261"/>
      <c r="F141" s="257"/>
      <c r="G141" s="261"/>
      <c r="H141" s="257"/>
      <c r="I141" s="261"/>
      <c r="J141" s="257"/>
      <c r="K141" s="261"/>
      <c r="L141" s="250"/>
    </row>
    <row r="142" spans="3:12" ht="15.6" hidden="1">
      <c r="C142" s="254"/>
      <c r="D142" s="266"/>
      <c r="E142" s="261"/>
      <c r="F142" s="257"/>
      <c r="G142" s="261"/>
      <c r="H142" s="257"/>
      <c r="I142" s="261"/>
      <c r="J142" s="257"/>
      <c r="K142" s="261"/>
      <c r="L142" s="250"/>
    </row>
    <row r="143" spans="3:12" ht="15.6" hidden="1">
      <c r="C143" s="254" t="s">
        <v>8</v>
      </c>
      <c r="D143" s="266">
        <v>474365539.35100001</v>
      </c>
      <c r="E143" s="261">
        <v>696.7</v>
      </c>
      <c r="F143" s="257">
        <v>1792614</v>
      </c>
      <c r="G143" s="261">
        <v>197.8</v>
      </c>
      <c r="H143" s="257">
        <v>192.374</v>
      </c>
      <c r="I143" s="261">
        <v>144.1</v>
      </c>
      <c r="J143" s="257">
        <v>4920100.2989999996</v>
      </c>
      <c r="K143" s="261">
        <v>82</v>
      </c>
      <c r="L143" s="250"/>
    </row>
    <row r="144" spans="3:12" ht="15.6" hidden="1">
      <c r="C144" s="254" t="s">
        <v>9</v>
      </c>
      <c r="D144" s="266">
        <v>1088670926</v>
      </c>
      <c r="E144" s="261">
        <v>122.2</v>
      </c>
      <c r="F144" s="257">
        <v>2183284</v>
      </c>
      <c r="G144" s="261">
        <v>103.4</v>
      </c>
      <c r="H144" s="257">
        <v>207627.39</v>
      </c>
      <c r="I144" s="261">
        <v>61618</v>
      </c>
      <c r="J144" s="257">
        <v>4698281.25</v>
      </c>
      <c r="K144" s="261">
        <v>100.5</v>
      </c>
      <c r="L144" s="250"/>
    </row>
    <row r="145" spans="3:12" ht="15.6" hidden="1">
      <c r="C145" s="254" t="s">
        <v>10</v>
      </c>
      <c r="D145" s="266">
        <v>319009801.60000002</v>
      </c>
      <c r="E145" s="261">
        <v>14.3</v>
      </c>
      <c r="F145" s="257">
        <v>943426.6</v>
      </c>
      <c r="G145" s="261">
        <v>216.1</v>
      </c>
      <c r="H145" s="257">
        <v>354236.89899999998</v>
      </c>
      <c r="I145" s="261">
        <v>98.6</v>
      </c>
      <c r="J145" s="257">
        <v>6895867.9500000002</v>
      </c>
      <c r="K145" s="261">
        <v>82.1</v>
      </c>
      <c r="L145" s="250"/>
    </row>
    <row r="146" spans="3:12" ht="15.6" hidden="1">
      <c r="C146" s="254" t="s">
        <v>11</v>
      </c>
      <c r="D146" s="266">
        <v>2333776347.164</v>
      </c>
      <c r="E146" s="261">
        <v>241.5</v>
      </c>
      <c r="F146" s="257">
        <v>945766.8</v>
      </c>
      <c r="G146" s="261">
        <v>52.9</v>
      </c>
      <c r="H146" s="257">
        <v>57270.9</v>
      </c>
      <c r="I146" s="261">
        <v>10.1</v>
      </c>
      <c r="J146" s="257">
        <v>1862372.45</v>
      </c>
      <c r="K146" s="261">
        <v>171.4</v>
      </c>
      <c r="L146" s="250"/>
    </row>
    <row r="147" spans="3:12" ht="15.6" hidden="1">
      <c r="C147" s="254" t="s">
        <v>337</v>
      </c>
      <c r="D147" s="266">
        <v>4774841204.8979998</v>
      </c>
      <c r="E147" s="261">
        <v>85.3</v>
      </c>
      <c r="F147" s="257">
        <v>404002.5</v>
      </c>
      <c r="G147" s="261">
        <v>798.9</v>
      </c>
      <c r="H147" s="257">
        <v>4146186.59</v>
      </c>
      <c r="I147" s="261">
        <v>38.700000000000003</v>
      </c>
      <c r="J147" s="257">
        <v>1820626.8</v>
      </c>
      <c r="K147" s="261">
        <v>77.900000000000006</v>
      </c>
      <c r="L147" s="250"/>
    </row>
    <row r="148" spans="3:12" ht="15.6" hidden="1">
      <c r="C148" s="254" t="s">
        <v>346</v>
      </c>
      <c r="D148" s="266">
        <v>13348862393.6</v>
      </c>
      <c r="E148" s="261">
        <v>76.099999999999994</v>
      </c>
      <c r="F148" s="257">
        <v>2015830</v>
      </c>
      <c r="G148" s="261">
        <v>33882.800000000003</v>
      </c>
      <c r="H148" s="257">
        <v>9190796.5610000007</v>
      </c>
      <c r="I148" s="261">
        <v>17.8</v>
      </c>
      <c r="J148" s="257">
        <v>434410692.995</v>
      </c>
      <c r="K148" s="261">
        <v>268.5</v>
      </c>
      <c r="L148" s="250"/>
    </row>
    <row r="149" spans="3:12" ht="15.6" hidden="1">
      <c r="C149" s="254" t="s">
        <v>347</v>
      </c>
      <c r="D149" s="266">
        <v>22188623445.570999</v>
      </c>
      <c r="E149" s="261">
        <v>69.2</v>
      </c>
      <c r="F149" s="257">
        <v>1086042.6669999999</v>
      </c>
      <c r="G149" s="261">
        <v>132.30000000000001</v>
      </c>
      <c r="H149" s="257">
        <v>14590824.800000001</v>
      </c>
      <c r="I149" s="261">
        <v>277.89999999999998</v>
      </c>
      <c r="J149" s="257">
        <v>382786682.34500003</v>
      </c>
      <c r="K149" s="261">
        <v>61</v>
      </c>
      <c r="L149" s="250"/>
    </row>
    <row r="150" spans="3:12" ht="15.6" hidden="1">
      <c r="C150" s="254" t="s">
        <v>12</v>
      </c>
      <c r="D150" s="266">
        <v>35943129145.699997</v>
      </c>
      <c r="E150" s="261">
        <v>77</v>
      </c>
      <c r="F150" s="257">
        <v>2557859.9</v>
      </c>
      <c r="G150" s="261">
        <v>119.9</v>
      </c>
      <c r="H150" s="257">
        <v>33805634.399999999</v>
      </c>
      <c r="I150" s="261">
        <v>1.6</v>
      </c>
      <c r="J150" s="257">
        <v>734309.799</v>
      </c>
      <c r="K150" s="261">
        <v>299</v>
      </c>
      <c r="L150" s="250"/>
    </row>
    <row r="151" spans="3:12" ht="15.6" hidden="1">
      <c r="C151" s="254" t="s">
        <v>13</v>
      </c>
      <c r="D151" s="266">
        <v>62080862840.900002</v>
      </c>
      <c r="E151" s="261">
        <v>86</v>
      </c>
      <c r="F151" s="257">
        <v>3797355.2</v>
      </c>
      <c r="G151" s="261">
        <v>62.4</v>
      </c>
      <c r="H151" s="257">
        <v>44040309.799999997</v>
      </c>
      <c r="I151" s="261">
        <v>0.7</v>
      </c>
      <c r="J151" s="257">
        <v>1081753.878</v>
      </c>
      <c r="K151" s="261">
        <v>773.4</v>
      </c>
      <c r="L151" s="250"/>
    </row>
    <row r="152" spans="3:12" ht="15.6" hidden="1">
      <c r="C152" s="254" t="s">
        <v>14</v>
      </c>
      <c r="D152" s="266">
        <v>90556783101.699997</v>
      </c>
      <c r="E152" s="261">
        <v>69.5</v>
      </c>
      <c r="F152" s="257">
        <v>3766304.99</v>
      </c>
      <c r="G152" s="261">
        <v>63</v>
      </c>
      <c r="H152" s="257">
        <v>37668401.066</v>
      </c>
      <c r="I152" s="261">
        <v>0</v>
      </c>
      <c r="J152" s="257">
        <v>4058604.8</v>
      </c>
      <c r="K152" s="261">
        <v>93.1</v>
      </c>
      <c r="L152" s="250"/>
    </row>
    <row r="153" spans="3:12" ht="15.6" hidden="1">
      <c r="C153" s="254" t="s">
        <v>15</v>
      </c>
      <c r="D153" s="266">
        <v>413421381081.16998</v>
      </c>
      <c r="E153" s="261">
        <v>125.8</v>
      </c>
      <c r="F153" s="257">
        <v>2599157.69</v>
      </c>
      <c r="G153" s="261">
        <v>340</v>
      </c>
      <c r="H153" s="257">
        <v>115058014.7</v>
      </c>
      <c r="I153" s="261">
        <v>46.5</v>
      </c>
      <c r="J153" s="257">
        <v>3765366.17</v>
      </c>
      <c r="K153" s="261">
        <v>80.7</v>
      </c>
      <c r="L153" s="250"/>
    </row>
    <row r="154" spans="3:12" ht="15.6" hidden="1">
      <c r="C154" s="254" t="s">
        <v>16</v>
      </c>
      <c r="D154" s="266">
        <v>488567989349.79999</v>
      </c>
      <c r="E154" s="261">
        <v>235.7</v>
      </c>
      <c r="F154" s="257">
        <v>13823134.256999999</v>
      </c>
      <c r="G154" s="261">
        <v>128.80000000000001</v>
      </c>
      <c r="H154" s="257">
        <v>499441282.08499998</v>
      </c>
      <c r="I154" s="261">
        <v>434</v>
      </c>
      <c r="J154" s="257">
        <v>39535477139.769997</v>
      </c>
      <c r="K154" s="261">
        <v>77.8</v>
      </c>
      <c r="L154" s="250"/>
    </row>
    <row r="155" spans="3:12" ht="15.6" hidden="1">
      <c r="C155" s="254"/>
      <c r="D155" s="266"/>
      <c r="E155" s="261"/>
      <c r="F155" s="257"/>
      <c r="G155" s="261"/>
      <c r="H155" s="257"/>
      <c r="I155" s="261"/>
      <c r="J155" s="257"/>
      <c r="K155" s="261"/>
      <c r="L155" s="250"/>
    </row>
    <row r="156" spans="3:12" ht="15.6" hidden="1">
      <c r="C156" s="264">
        <v>2008</v>
      </c>
      <c r="D156" s="266"/>
      <c r="E156" s="261"/>
      <c r="F156" s="257"/>
      <c r="G156" s="261"/>
      <c r="H156" s="257"/>
      <c r="I156" s="261"/>
      <c r="J156" s="257"/>
      <c r="K156" s="261"/>
      <c r="L156" s="250"/>
    </row>
    <row r="157" spans="3:12" ht="15.6" hidden="1">
      <c r="C157" s="254"/>
      <c r="D157" s="266"/>
      <c r="E157" s="261"/>
      <c r="F157" s="267"/>
      <c r="G157" s="261"/>
      <c r="H157" s="257"/>
      <c r="I157" s="261"/>
      <c r="J157" s="257"/>
      <c r="K157" s="261"/>
      <c r="L157" s="250"/>
    </row>
    <row r="158" spans="3:12" ht="15.6" hidden="1">
      <c r="C158" s="254" t="s">
        <v>8</v>
      </c>
      <c r="D158" s="268">
        <v>66.709656930614997</v>
      </c>
      <c r="E158" s="261">
        <v>57.7</v>
      </c>
      <c r="F158" s="267">
        <v>3.2178851026199999E-3</v>
      </c>
      <c r="G158" s="261">
        <v>769.7</v>
      </c>
      <c r="H158" s="267">
        <v>6.7496380214999999E-2</v>
      </c>
      <c r="I158" s="261">
        <v>158</v>
      </c>
      <c r="J158" s="267">
        <v>3.4562179707699996</v>
      </c>
      <c r="K158" s="261">
        <v>56.4</v>
      </c>
      <c r="L158" s="250"/>
    </row>
    <row r="159" spans="3:12" ht="15.6" hidden="1">
      <c r="C159" s="254" t="s">
        <v>9</v>
      </c>
      <c r="D159" s="268">
        <v>210.883820186935</v>
      </c>
      <c r="E159" s="261">
        <v>151.5</v>
      </c>
      <c r="F159" s="267">
        <v>0.69516021543000006</v>
      </c>
      <c r="G159" s="261">
        <v>69.2</v>
      </c>
      <c r="H159" s="267">
        <v>4.986024856167</v>
      </c>
      <c r="I159" s="261">
        <v>0</v>
      </c>
      <c r="J159" s="267">
        <v>6.12853566198</v>
      </c>
      <c r="K159" s="261">
        <v>54.3</v>
      </c>
      <c r="L159" s="250"/>
    </row>
    <row r="160" spans="3:12" ht="15.6" hidden="1">
      <c r="C160" s="254" t="s">
        <v>10</v>
      </c>
      <c r="D160" s="268">
        <v>466.01071583480928</v>
      </c>
      <c r="E160" s="261">
        <v>87.386743917166484</v>
      </c>
      <c r="F160" s="267">
        <v>1743.2892279119999</v>
      </c>
      <c r="G160" s="261">
        <v>2.5</v>
      </c>
      <c r="H160" s="267">
        <v>10.127406711926</v>
      </c>
      <c r="I160" s="261"/>
      <c r="J160" s="267">
        <v>46.982812520000003</v>
      </c>
      <c r="K160" s="261">
        <v>100.5</v>
      </c>
      <c r="L160" s="250"/>
    </row>
    <row r="161" spans="3:12" ht="15.6" hidden="1">
      <c r="C161" s="254" t="s">
        <v>11</v>
      </c>
      <c r="D161" s="268">
        <v>759.21609404862966</v>
      </c>
      <c r="E161" s="261">
        <v>73.944416212169074</v>
      </c>
      <c r="F161" s="267">
        <v>1.005973845</v>
      </c>
      <c r="G161" s="261">
        <v>4355210</v>
      </c>
      <c r="H161" s="267">
        <v>10.127406711926</v>
      </c>
      <c r="I161" s="261">
        <v>111.5</v>
      </c>
      <c r="J161" s="267">
        <v>4694167.0966376197</v>
      </c>
      <c r="K161" s="261">
        <v>34.9</v>
      </c>
      <c r="L161" s="250"/>
    </row>
    <row r="162" spans="3:12" ht="15.6" hidden="1">
      <c r="C162" s="254" t="s">
        <v>337</v>
      </c>
      <c r="D162" s="268">
        <v>10820.717973352926</v>
      </c>
      <c r="E162" s="261">
        <v>792.73550645516161</v>
      </c>
      <c r="F162" s="267">
        <v>0.47028330800000001</v>
      </c>
      <c r="G162" s="261">
        <v>10641214.6</v>
      </c>
      <c r="H162" s="267">
        <v>21.334758104106999</v>
      </c>
      <c r="I162" s="261">
        <v>1257.2</v>
      </c>
      <c r="J162" s="267">
        <v>18.623724589999998</v>
      </c>
      <c r="K162" s="261">
        <v>171.4</v>
      </c>
      <c r="L162" s="250"/>
    </row>
    <row r="163" spans="3:12" ht="15.6" hidden="1">
      <c r="C163" s="254" t="s">
        <v>346</v>
      </c>
      <c r="D163" s="268">
        <v>92129.323092394858</v>
      </c>
      <c r="E163" s="261">
        <v>611.08461720212904</v>
      </c>
      <c r="F163" s="267">
        <v>2.0760370259999998</v>
      </c>
      <c r="G163" s="261">
        <v>52.7</v>
      </c>
      <c r="H163" s="267">
        <v>137.35096740680501</v>
      </c>
      <c r="I163" s="261">
        <v>64694.2</v>
      </c>
      <c r="J163" s="267">
        <v>4344.1069299500004</v>
      </c>
      <c r="K163" s="261">
        <v>76.7</v>
      </c>
      <c r="L163" s="250"/>
    </row>
    <row r="164" spans="3:12" ht="15.6" hidden="1">
      <c r="C164" s="254" t="s">
        <v>347</v>
      </c>
      <c r="D164" s="268">
        <v>714494.10495893401</v>
      </c>
      <c r="E164" s="261">
        <v>164.03455243080469</v>
      </c>
      <c r="F164" s="267">
        <v>0.59611242200000003</v>
      </c>
      <c r="G164" s="261">
        <v>76.599999999999994</v>
      </c>
      <c r="H164" s="267">
        <f>(133027420328782/1000)/10000000000</f>
        <v>13.3027420328782</v>
      </c>
      <c r="I164" s="261">
        <v>0</v>
      </c>
      <c r="J164" s="267">
        <v>3827.8668234531797</v>
      </c>
      <c r="K164" s="261">
        <v>61</v>
      </c>
      <c r="L164" s="250"/>
    </row>
    <row r="165" spans="3:12" ht="15.6" hidden="1">
      <c r="C165" s="254" t="s">
        <v>12</v>
      </c>
      <c r="D165" s="268">
        <v>25992860.699999999</v>
      </c>
      <c r="E165" s="261">
        <v>1.5858145274244735E-4</v>
      </c>
      <c r="F165" s="267">
        <v>575372.1</v>
      </c>
      <c r="G165" s="261">
        <v>68.900000000000006</v>
      </c>
      <c r="H165" s="267">
        <v>77.7</v>
      </c>
      <c r="I165" s="261">
        <v>5742.6</v>
      </c>
      <c r="J165" s="267">
        <v>283381190</v>
      </c>
      <c r="K165" s="261">
        <v>215.1</v>
      </c>
      <c r="L165" s="250"/>
    </row>
    <row r="166" spans="3:12" ht="15.6" hidden="1">
      <c r="C166" s="254" t="s">
        <v>13</v>
      </c>
      <c r="D166" s="268">
        <v>33158289.399999999</v>
      </c>
      <c r="E166" s="261">
        <v>116.19383784715353</v>
      </c>
      <c r="F166" s="267">
        <v>761271.9</v>
      </c>
      <c r="G166" s="261">
        <v>1673.5</v>
      </c>
      <c r="H166" s="267">
        <v>712.2</v>
      </c>
      <c r="I166" s="261">
        <v>656.6</v>
      </c>
      <c r="J166" s="267">
        <v>2860554242</v>
      </c>
      <c r="K166" s="261">
        <v>773.4</v>
      </c>
      <c r="L166" s="250"/>
    </row>
    <row r="167" spans="3:12" ht="15.6" hidden="1">
      <c r="C167" s="254" t="s">
        <v>14</v>
      </c>
      <c r="D167" s="268">
        <v>4058604834</v>
      </c>
      <c r="E167" s="261">
        <v>93.1</v>
      </c>
      <c r="F167" s="267">
        <v>13940403.6</v>
      </c>
      <c r="G167" s="261">
        <v>225144.1</v>
      </c>
      <c r="H167" s="267">
        <v>655405067.99000001</v>
      </c>
      <c r="I167" s="261">
        <v>0</v>
      </c>
      <c r="J167" s="268">
        <v>4058604834</v>
      </c>
      <c r="K167" s="261">
        <v>93.1</v>
      </c>
      <c r="L167" s="250"/>
    </row>
    <row r="168" spans="3:12" ht="15.6" hidden="1">
      <c r="C168" s="254" t="s">
        <v>15</v>
      </c>
      <c r="D168" s="268">
        <v>3765366171</v>
      </c>
      <c r="E168" s="261">
        <v>80.7</v>
      </c>
      <c r="F168" s="267">
        <v>1066518513756.3</v>
      </c>
      <c r="G168" s="261">
        <v>687.2</v>
      </c>
      <c r="H168" s="267">
        <v>14626116155001</v>
      </c>
      <c r="I168" s="261">
        <v>0</v>
      </c>
      <c r="J168" s="268">
        <v>3765366171</v>
      </c>
      <c r="K168" s="261">
        <v>80.7</v>
      </c>
      <c r="L168" s="250"/>
    </row>
    <row r="169" spans="3:12" ht="15.6" hidden="1">
      <c r="C169" s="254" t="s">
        <v>16</v>
      </c>
      <c r="D169" s="268">
        <v>39532329311670</v>
      </c>
      <c r="E169" s="261">
        <v>77.8</v>
      </c>
      <c r="F169" s="267">
        <v>3.7775790962345696E+16</v>
      </c>
      <c r="G169" s="261">
        <v>116.5</v>
      </c>
      <c r="H169" s="267">
        <v>1789419885219480</v>
      </c>
      <c r="I169" s="261">
        <v>0</v>
      </c>
      <c r="J169" s="268">
        <v>39532329311670</v>
      </c>
      <c r="K169" s="261">
        <v>77.8</v>
      </c>
      <c r="L169" s="250"/>
    </row>
    <row r="170" spans="3:12" ht="16.2" thickTop="1">
      <c r="C170" s="254"/>
      <c r="D170" s="268"/>
      <c r="E170" s="261"/>
      <c r="F170" s="267"/>
      <c r="G170" s="261"/>
      <c r="H170" s="267"/>
      <c r="I170" s="261"/>
      <c r="J170" s="268"/>
      <c r="K170" s="261"/>
      <c r="L170" s="250"/>
    </row>
    <row r="171" spans="3:12" ht="15.6" hidden="1">
      <c r="C171" s="264">
        <v>2009</v>
      </c>
      <c r="D171" s="268"/>
      <c r="E171" s="261"/>
      <c r="F171" s="267"/>
      <c r="G171" s="261"/>
      <c r="H171" s="267"/>
      <c r="I171" s="261"/>
      <c r="J171" s="268"/>
      <c r="K171" s="261"/>
      <c r="L171" s="250"/>
    </row>
    <row r="172" spans="3:12" ht="15.6" hidden="1">
      <c r="C172" s="254"/>
      <c r="D172" s="268"/>
      <c r="E172" s="261"/>
      <c r="F172" s="267"/>
      <c r="G172" s="261"/>
      <c r="H172" s="267"/>
      <c r="I172" s="261"/>
      <c r="J172" s="268"/>
      <c r="K172" s="261"/>
      <c r="L172" s="250"/>
    </row>
    <row r="173" spans="3:12" ht="15.6" hidden="1">
      <c r="C173" s="254" t="s">
        <v>8</v>
      </c>
      <c r="D173" s="268">
        <v>281964761</v>
      </c>
      <c r="E173" s="261">
        <v>0</v>
      </c>
      <c r="F173" s="267"/>
      <c r="G173" s="261"/>
      <c r="H173" s="267"/>
      <c r="I173" s="261"/>
      <c r="J173" s="268"/>
      <c r="K173" s="261"/>
      <c r="L173" s="250"/>
    </row>
    <row r="174" spans="3:12" ht="15.6" hidden="1">
      <c r="C174" s="254" t="s">
        <v>9</v>
      </c>
      <c r="D174" s="268">
        <v>364.47497700000002</v>
      </c>
      <c r="E174" s="261">
        <v>112</v>
      </c>
      <c r="F174" s="267">
        <v>14.446</v>
      </c>
      <c r="G174" s="261">
        <v>436.4</v>
      </c>
      <c r="H174" s="267"/>
      <c r="I174" s="261"/>
      <c r="J174" s="268"/>
      <c r="K174" s="261"/>
      <c r="L174" s="250"/>
    </row>
    <row r="175" spans="3:12" ht="15.6" hidden="1">
      <c r="C175" s="254" t="s">
        <v>10</v>
      </c>
      <c r="D175" s="268">
        <v>361.88392399999998</v>
      </c>
      <c r="E175" s="261">
        <v>84.2</v>
      </c>
      <c r="F175" s="267">
        <v>15.490600000000001</v>
      </c>
      <c r="G175" s="261">
        <v>76.5</v>
      </c>
      <c r="H175" s="267"/>
      <c r="I175" s="261"/>
      <c r="J175" s="268"/>
      <c r="K175" s="261"/>
      <c r="L175" s="250"/>
    </row>
    <row r="176" spans="3:12" ht="15.6" hidden="1">
      <c r="C176" s="254" t="s">
        <v>11</v>
      </c>
      <c r="D176" s="268">
        <v>450.36555599999997</v>
      </c>
      <c r="E176" s="261">
        <v>100.3</v>
      </c>
      <c r="F176" s="267">
        <v>21.2288</v>
      </c>
      <c r="G176" s="261">
        <v>331.3</v>
      </c>
      <c r="H176" s="267"/>
      <c r="I176" s="261"/>
      <c r="J176" s="268"/>
      <c r="K176" s="261"/>
      <c r="L176" s="250"/>
    </row>
    <row r="177" spans="3:12" ht="15.6" hidden="1">
      <c r="C177" s="254" t="s">
        <v>337</v>
      </c>
      <c r="D177" s="266">
        <v>483.03514010000004</v>
      </c>
      <c r="E177" s="261">
        <v>95.8</v>
      </c>
      <c r="F177" s="257">
        <v>25.908799999999999</v>
      </c>
      <c r="G177" s="261">
        <v>175.3</v>
      </c>
      <c r="H177" s="257"/>
      <c r="I177" s="261"/>
      <c r="J177" s="257"/>
      <c r="K177" s="261"/>
      <c r="L177" s="250"/>
    </row>
    <row r="178" spans="3:12" ht="15.6" hidden="1">
      <c r="C178" s="254" t="s">
        <v>346</v>
      </c>
      <c r="D178" s="266">
        <v>626.72930000000008</v>
      </c>
      <c r="E178" s="261">
        <v>94.8</v>
      </c>
      <c r="F178" s="257">
        <v>34.494399999999999</v>
      </c>
      <c r="G178" s="261">
        <v>57.3</v>
      </c>
      <c r="H178" s="257"/>
      <c r="I178" s="261"/>
      <c r="J178" s="257"/>
      <c r="K178" s="261"/>
      <c r="L178" s="250"/>
    </row>
    <row r="179" spans="3:12" ht="15.6" hidden="1">
      <c r="C179" s="254" t="s">
        <v>347</v>
      </c>
      <c r="D179" s="266">
        <v>684.58942804000003</v>
      </c>
      <c r="E179" s="261">
        <v>76.000369495738198</v>
      </c>
      <c r="F179" s="266">
        <v>46.970314999999999</v>
      </c>
      <c r="G179" s="261">
        <v>32.123746668507501</v>
      </c>
      <c r="H179" s="257"/>
      <c r="I179" s="261"/>
      <c r="J179" s="257"/>
      <c r="K179" s="261"/>
      <c r="L179" s="250"/>
    </row>
    <row r="180" spans="3:12" ht="15.6" hidden="1">
      <c r="C180" s="254" t="s">
        <v>12</v>
      </c>
      <c r="D180" s="266">
        <v>748.11239582999997</v>
      </c>
      <c r="E180" s="261">
        <v>71.526845116776897</v>
      </c>
      <c r="F180" s="266">
        <v>61.493087000000003</v>
      </c>
      <c r="G180" s="261">
        <v>28.323159317079</v>
      </c>
      <c r="H180" s="257"/>
      <c r="I180" s="261"/>
      <c r="J180" s="257"/>
      <c r="K180" s="261"/>
      <c r="L180" s="250"/>
    </row>
    <row r="181" spans="3:12" ht="15.6" hidden="1">
      <c r="C181" s="254" t="s">
        <v>13</v>
      </c>
      <c r="D181" s="266">
        <v>839.96791789999997</v>
      </c>
      <c r="E181" s="261">
        <v>71.117953972640805</v>
      </c>
      <c r="F181" s="266">
        <v>73.057667030000005</v>
      </c>
      <c r="G181" s="261">
        <v>35.774932642274898</v>
      </c>
      <c r="H181" s="257"/>
      <c r="I181" s="261"/>
      <c r="J181" s="257"/>
      <c r="K181" s="261"/>
      <c r="L181" s="250"/>
    </row>
    <row r="182" spans="3:12" ht="15.6" hidden="1">
      <c r="C182" s="254" t="s">
        <v>14</v>
      </c>
      <c r="D182" s="266">
        <v>851.88783150999996</v>
      </c>
      <c r="E182" s="261">
        <v>60.988602608866401</v>
      </c>
      <c r="F182" s="266">
        <v>77.490068050000005</v>
      </c>
      <c r="G182" s="261">
        <v>35.946134389799397</v>
      </c>
      <c r="H182" s="257"/>
      <c r="I182" s="261"/>
      <c r="J182" s="257"/>
      <c r="K182" s="261"/>
      <c r="L182" s="250"/>
    </row>
    <row r="183" spans="3:12" ht="15.6" hidden="1">
      <c r="C183" s="254" t="s">
        <v>15</v>
      </c>
      <c r="D183" s="266">
        <v>1046.9846780600001</v>
      </c>
      <c r="E183" s="261">
        <v>78.7197283380996</v>
      </c>
      <c r="F183" s="266">
        <v>85.144481999999996</v>
      </c>
      <c r="G183" s="261">
        <v>32.734313892472798</v>
      </c>
      <c r="H183" s="257"/>
      <c r="I183" s="261"/>
      <c r="J183" s="257"/>
      <c r="K183" s="261"/>
      <c r="L183" s="250"/>
    </row>
    <row r="184" spans="3:12" ht="15.6" hidden="1">
      <c r="C184" s="254" t="s">
        <v>16</v>
      </c>
      <c r="D184" s="266">
        <v>1192.2964852800001</v>
      </c>
      <c r="E184" s="261">
        <v>72.239212063870994</v>
      </c>
      <c r="F184" s="257"/>
      <c r="G184" s="261"/>
      <c r="H184" s="257"/>
      <c r="I184" s="261"/>
      <c r="J184" s="257"/>
      <c r="K184" s="261"/>
      <c r="L184" s="250"/>
    </row>
    <row r="185" spans="3:12" ht="15.6" hidden="1">
      <c r="C185" s="254"/>
      <c r="D185" s="266"/>
      <c r="E185" s="261"/>
      <c r="F185" s="257"/>
      <c r="G185" s="261"/>
      <c r="H185" s="257"/>
      <c r="I185" s="261"/>
      <c r="J185" s="257"/>
      <c r="K185" s="261"/>
      <c r="L185" s="250"/>
    </row>
    <row r="186" spans="3:12" ht="15.6">
      <c r="C186" s="264">
        <v>2010</v>
      </c>
      <c r="D186" s="266"/>
      <c r="E186" s="261"/>
      <c r="F186" s="257"/>
      <c r="G186" s="261"/>
      <c r="H186" s="257"/>
      <c r="I186" s="261"/>
      <c r="J186" s="257"/>
      <c r="K186" s="261"/>
      <c r="L186" s="250"/>
    </row>
    <row r="187" spans="3:12" ht="15.6">
      <c r="C187" s="254"/>
      <c r="D187" s="266"/>
      <c r="E187" s="261"/>
      <c r="F187" s="257"/>
      <c r="G187" s="261"/>
      <c r="H187" s="257"/>
      <c r="I187" s="261"/>
      <c r="J187" s="257"/>
      <c r="K187" s="261"/>
      <c r="L187" s="250"/>
    </row>
    <row r="188" spans="3:12" ht="15.6">
      <c r="C188" s="254" t="s">
        <v>8</v>
      </c>
      <c r="D188" s="266">
        <v>1192.2964852800001</v>
      </c>
      <c r="E188" s="261">
        <v>63.6</v>
      </c>
      <c r="F188" s="267">
        <v>113.831828</v>
      </c>
      <c r="G188" s="261">
        <v>28.117000000000001</v>
      </c>
      <c r="H188" s="257"/>
      <c r="I188" s="261"/>
      <c r="J188" s="257"/>
      <c r="K188" s="261"/>
      <c r="L188" s="250"/>
    </row>
    <row r="189" spans="3:12" ht="15.6">
      <c r="C189" s="254" t="s">
        <v>9</v>
      </c>
      <c r="D189" s="266">
        <v>1220.9977368</v>
      </c>
      <c r="E189" s="261">
        <v>66.8</v>
      </c>
      <c r="F189" s="257">
        <v>119.239356</v>
      </c>
      <c r="G189" s="261">
        <v>23.585000000000001</v>
      </c>
      <c r="H189" s="257"/>
      <c r="I189" s="261"/>
      <c r="J189" s="257"/>
      <c r="K189" s="261"/>
      <c r="L189" s="250"/>
    </row>
    <row r="190" spans="3:12" ht="15.6">
      <c r="C190" s="254" t="s">
        <v>10</v>
      </c>
      <c r="D190" s="266">
        <v>1331.4756602299999</v>
      </c>
      <c r="E190" s="261">
        <v>57.4</v>
      </c>
      <c r="F190" s="257">
        <v>125.49503199999999</v>
      </c>
      <c r="G190" s="261">
        <v>48.735999999999997</v>
      </c>
      <c r="H190" s="257"/>
      <c r="I190" s="261"/>
      <c r="J190" s="257"/>
      <c r="K190" s="261"/>
      <c r="L190" s="250"/>
    </row>
    <row r="191" spans="3:12" ht="15.6">
      <c r="C191" s="254" t="s">
        <v>11</v>
      </c>
      <c r="D191" s="266">
        <v>1402.89328974</v>
      </c>
      <c r="E191" s="261">
        <v>58.6</v>
      </c>
      <c r="F191" s="257">
        <v>164.845373</v>
      </c>
      <c r="G191" s="261">
        <v>22.695</v>
      </c>
      <c r="H191" s="257"/>
      <c r="I191" s="261"/>
      <c r="J191" s="257"/>
      <c r="K191" s="261"/>
      <c r="L191" s="250"/>
    </row>
    <row r="192" spans="3:12" ht="15.6">
      <c r="C192" s="254" t="s">
        <v>337</v>
      </c>
      <c r="D192" s="266">
        <v>1445.34106488</v>
      </c>
      <c r="E192" s="261">
        <v>60.79</v>
      </c>
      <c r="F192" s="257">
        <v>164.13021230999999</v>
      </c>
      <c r="G192" s="261">
        <v>34.646999999999998</v>
      </c>
      <c r="H192" s="257"/>
      <c r="I192" s="261"/>
      <c r="J192" s="257"/>
      <c r="K192" s="261"/>
      <c r="L192" s="250"/>
    </row>
    <row r="193" spans="2:12" ht="15.6">
      <c r="C193" s="254" t="s">
        <v>346</v>
      </c>
      <c r="D193" s="266">
        <v>1486.46</v>
      </c>
      <c r="E193" s="261">
        <v>49.8</v>
      </c>
      <c r="F193" s="257">
        <v>190.19800000000001</v>
      </c>
      <c r="G193" s="261">
        <v>42.6</v>
      </c>
      <c r="H193" s="257"/>
      <c r="I193" s="261"/>
      <c r="J193" s="257"/>
      <c r="K193" s="261"/>
      <c r="L193" s="250"/>
    </row>
    <row r="194" spans="2:12" ht="15.6">
      <c r="C194" s="254" t="s">
        <v>347</v>
      </c>
      <c r="D194" s="266">
        <v>1429.827</v>
      </c>
      <c r="E194" s="261">
        <v>50.2</v>
      </c>
      <c r="F194" s="257">
        <v>248.02969999999999</v>
      </c>
      <c r="G194" s="261">
        <v>27.3</v>
      </c>
      <c r="H194" s="257"/>
      <c r="I194" s="261"/>
      <c r="J194" s="257"/>
      <c r="K194" s="261"/>
      <c r="L194" s="250"/>
    </row>
    <row r="195" spans="2:12" ht="15.6">
      <c r="C195" s="254" t="s">
        <v>12</v>
      </c>
      <c r="D195" s="266">
        <v>1488.355</v>
      </c>
      <c r="E195" s="261">
        <v>51.8</v>
      </c>
      <c r="F195" s="257">
        <v>247.85550000000001</v>
      </c>
      <c r="G195" s="261">
        <v>12.7</v>
      </c>
      <c r="H195" s="257"/>
      <c r="I195" s="261"/>
      <c r="J195" s="257"/>
      <c r="K195" s="261"/>
      <c r="L195" s="250"/>
    </row>
    <row r="196" spans="2:12" ht="15.6">
      <c r="C196" s="254" t="s">
        <v>13</v>
      </c>
      <c r="D196" s="266">
        <v>1587.2929999999999</v>
      </c>
      <c r="E196" s="261">
        <v>56.6</v>
      </c>
      <c r="F196" s="257">
        <v>265.27839999999998</v>
      </c>
      <c r="G196" s="261">
        <v>6.8</v>
      </c>
      <c r="H196" s="257"/>
      <c r="I196" s="261"/>
      <c r="J196" s="257"/>
      <c r="K196" s="261"/>
      <c r="L196" s="250"/>
    </row>
    <row r="197" spans="2:12" ht="15.6">
      <c r="C197" s="254" t="s">
        <v>14</v>
      </c>
      <c r="D197" s="266">
        <v>1786.8</v>
      </c>
      <c r="E197" s="261">
        <v>48.1</v>
      </c>
      <c r="F197" s="257">
        <v>309.38409999999999</v>
      </c>
      <c r="G197" s="261">
        <v>32.5</v>
      </c>
      <c r="H197" s="257"/>
      <c r="I197" s="261"/>
      <c r="J197" s="257"/>
      <c r="K197" s="261"/>
      <c r="L197" s="250"/>
    </row>
    <row r="198" spans="2:12" ht="15.6">
      <c r="C198" s="254" t="s">
        <v>15</v>
      </c>
      <c r="D198" s="266">
        <v>1755</v>
      </c>
      <c r="E198" s="261">
        <v>50</v>
      </c>
      <c r="F198" s="257">
        <v>338.5967</v>
      </c>
      <c r="G198" s="261">
        <v>31.4</v>
      </c>
      <c r="H198" s="257"/>
      <c r="I198" s="261"/>
      <c r="J198" s="257"/>
      <c r="K198" s="261"/>
      <c r="L198" s="250"/>
    </row>
    <row r="199" spans="2:12" ht="15.6">
      <c r="C199" s="254" t="s">
        <v>16</v>
      </c>
      <c r="D199" s="266">
        <v>1761.5</v>
      </c>
      <c r="E199" s="261">
        <v>49.6</v>
      </c>
      <c r="F199" s="257">
        <v>349.80630000000002</v>
      </c>
      <c r="G199" s="261">
        <v>42.3</v>
      </c>
      <c r="H199" s="257"/>
      <c r="I199" s="261"/>
      <c r="J199" s="257"/>
      <c r="K199" s="261"/>
      <c r="L199" s="250"/>
    </row>
    <row r="200" spans="2:12" ht="15.6">
      <c r="C200" s="254"/>
      <c r="D200" s="266"/>
      <c r="E200" s="261"/>
      <c r="F200" s="257"/>
      <c r="G200" s="261"/>
      <c r="H200" s="257"/>
      <c r="I200" s="261"/>
      <c r="J200" s="257"/>
      <c r="K200" s="261"/>
      <c r="L200" s="250"/>
    </row>
    <row r="201" spans="2:12" ht="16.2" thickBot="1">
      <c r="C201" s="258"/>
      <c r="D201" s="258"/>
      <c r="E201" s="258"/>
      <c r="F201" s="258"/>
      <c r="G201" s="258"/>
      <c r="H201" s="258"/>
      <c r="I201" s="258"/>
      <c r="J201" s="258"/>
      <c r="K201" s="261"/>
      <c r="L201" s="250"/>
    </row>
    <row r="202" spans="2:12" ht="16.2" thickTop="1">
      <c r="C202" s="250"/>
      <c r="D202" s="250"/>
      <c r="E202" s="250"/>
      <c r="F202" s="250"/>
      <c r="G202" s="250"/>
      <c r="H202" s="250"/>
      <c r="I202" s="250"/>
      <c r="J202" s="269"/>
      <c r="K202" s="270"/>
      <c r="L202" s="250"/>
    </row>
    <row r="203" spans="2:12">
      <c r="B203" s="271"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51" customWidth="1"/>
    <col min="2" max="2" width="15.453125" style="51" customWidth="1"/>
    <col min="3" max="3" width="22.6328125" style="51" bestFit="1" customWidth="1"/>
    <col min="4" max="4" width="18.36328125" style="51" customWidth="1"/>
    <col min="5" max="5" width="12.81640625" style="51" customWidth="1"/>
    <col min="6" max="6" width="21.54296875" style="51" customWidth="1"/>
    <col min="7" max="7" width="9.90625" style="51" customWidth="1"/>
    <col min="8" max="8" width="10.6328125" style="51" customWidth="1"/>
    <col min="9" max="9" width="17.1796875" style="51" customWidth="1"/>
    <col min="10" max="10" width="17.08984375" style="51" customWidth="1"/>
    <col min="11" max="11" width="17" style="51" bestFit="1" customWidth="1"/>
    <col min="12" max="12" width="19.90625" style="51" bestFit="1" customWidth="1"/>
    <col min="13" max="13" width="23.453125" style="51" bestFit="1" customWidth="1"/>
    <col min="14" max="16" width="9.6328125" style="51" customWidth="1"/>
    <col min="17" max="17" width="1.81640625" style="51" customWidth="1"/>
    <col min="18" max="33" width="9.6328125" style="51" customWidth="1"/>
    <col min="34" max="34" width="2.81640625" style="51" customWidth="1"/>
    <col min="35" max="16384" width="9.6328125" style="51"/>
  </cols>
  <sheetData>
    <row r="2" spans="1:16" ht="18">
      <c r="B2" s="52"/>
      <c r="F2" s="71" t="s">
        <v>253</v>
      </c>
      <c r="G2" s="71"/>
      <c r="H2" s="71"/>
      <c r="I2" s="72"/>
    </row>
    <row r="3" spans="1:16" ht="12.75" customHeight="1">
      <c r="B3" s="52"/>
      <c r="F3" s="71"/>
      <c r="G3" s="71"/>
      <c r="H3" s="71"/>
      <c r="I3" s="72"/>
    </row>
    <row r="4" spans="1:16" ht="19.5" customHeight="1">
      <c r="B4" s="52"/>
      <c r="F4" s="71" t="s">
        <v>689</v>
      </c>
      <c r="G4" s="71"/>
      <c r="H4" s="71"/>
      <c r="I4" s="72"/>
    </row>
    <row r="5" spans="1:16" ht="12.75" customHeight="1" thickBot="1">
      <c r="B5" s="54"/>
      <c r="D5" s="54"/>
      <c r="E5" s="54"/>
      <c r="F5" s="54"/>
      <c r="G5" s="54"/>
      <c r="H5" s="54"/>
      <c r="I5" s="54"/>
      <c r="J5" s="54"/>
      <c r="K5" s="54"/>
      <c r="L5" s="54"/>
      <c r="M5" s="54"/>
      <c r="N5" s="139"/>
    </row>
    <row r="6" spans="1:16" ht="12.75" customHeight="1" thickTop="1">
      <c r="B6" s="55"/>
      <c r="C6" s="74"/>
      <c r="D6" s="55"/>
      <c r="E6" s="56"/>
      <c r="F6" s="56"/>
      <c r="G6" s="56"/>
      <c r="H6" s="56"/>
      <c r="I6" s="56"/>
      <c r="J6" s="56"/>
      <c r="K6" s="56"/>
      <c r="L6" s="56"/>
      <c r="M6" s="74"/>
      <c r="N6" s="140"/>
    </row>
    <row r="7" spans="1:16" ht="19.5" customHeight="1">
      <c r="B7" s="59"/>
      <c r="C7" s="76"/>
      <c r="D7" s="59" t="s">
        <v>261</v>
      </c>
      <c r="E7" s="54"/>
      <c r="F7" s="54"/>
      <c r="G7" s="54"/>
      <c r="H7" s="54"/>
      <c r="I7" s="54"/>
      <c r="J7" s="54"/>
      <c r="K7" s="54"/>
      <c r="L7" s="54"/>
      <c r="M7" s="76"/>
      <c r="N7" s="140"/>
    </row>
    <row r="8" spans="1:16" ht="19.5" customHeight="1" thickBot="1">
      <c r="B8" s="59"/>
      <c r="C8" s="76"/>
      <c r="D8" s="123"/>
      <c r="L8" s="67"/>
      <c r="M8" s="76"/>
      <c r="N8" s="140"/>
    </row>
    <row r="9" spans="1:16" ht="19.5" customHeight="1" thickTop="1">
      <c r="B9" s="57" t="s">
        <v>263</v>
      </c>
      <c r="C9" s="74"/>
      <c r="D9" s="55"/>
      <c r="E9" s="56"/>
      <c r="F9" s="55"/>
      <c r="G9" s="56"/>
      <c r="H9" s="55"/>
      <c r="I9" s="55"/>
      <c r="J9" s="56"/>
      <c r="K9" s="56"/>
      <c r="L9" s="55"/>
      <c r="M9" s="76"/>
      <c r="N9" s="140"/>
    </row>
    <row r="10" spans="1:16" ht="19.5" customHeight="1">
      <c r="B10" s="59"/>
      <c r="C10" s="124" t="s">
        <v>397</v>
      </c>
      <c r="D10" s="59" t="s">
        <v>273</v>
      </c>
      <c r="E10" s="54"/>
      <c r="F10" s="59" t="s">
        <v>277</v>
      </c>
      <c r="G10" s="54"/>
      <c r="H10" s="57" t="s">
        <v>275</v>
      </c>
      <c r="I10" s="57" t="s">
        <v>278</v>
      </c>
      <c r="J10" s="54"/>
      <c r="K10" s="54"/>
      <c r="L10" s="57" t="s">
        <v>272</v>
      </c>
      <c r="M10" s="124" t="s">
        <v>279</v>
      </c>
      <c r="N10" s="140"/>
    </row>
    <row r="11" spans="1:16" ht="19.5" customHeight="1" thickBot="1">
      <c r="B11" s="59"/>
      <c r="C11" s="76"/>
      <c r="D11" s="59"/>
      <c r="E11" s="54"/>
      <c r="F11" s="59"/>
      <c r="G11" s="54"/>
      <c r="H11" s="57" t="s">
        <v>282</v>
      </c>
      <c r="I11" s="59"/>
      <c r="J11" s="54"/>
      <c r="K11" s="54"/>
      <c r="L11" s="57" t="s">
        <v>285</v>
      </c>
      <c r="M11" s="76"/>
      <c r="N11" s="140"/>
    </row>
    <row r="12" spans="1:16" ht="19.5" customHeight="1" thickTop="1" thickBot="1">
      <c r="B12" s="59"/>
      <c r="C12" s="76"/>
      <c r="D12" s="55"/>
      <c r="E12" s="55"/>
      <c r="F12" s="55"/>
      <c r="G12" s="55"/>
      <c r="H12" s="59"/>
      <c r="I12" s="141" t="s">
        <v>288</v>
      </c>
      <c r="J12" s="141" t="s">
        <v>289</v>
      </c>
      <c r="K12" s="142" t="s">
        <v>290</v>
      </c>
      <c r="L12" s="59"/>
      <c r="M12" s="76"/>
      <c r="N12" s="140"/>
    </row>
    <row r="13" spans="1:16" ht="19.5" customHeight="1" thickTop="1">
      <c r="B13" s="59"/>
      <c r="C13" s="76"/>
      <c r="D13" s="57" t="s">
        <v>291</v>
      </c>
      <c r="E13" s="57" t="s">
        <v>293</v>
      </c>
      <c r="F13" s="57" t="s">
        <v>291</v>
      </c>
      <c r="G13" s="57" t="s">
        <v>293</v>
      </c>
      <c r="H13" s="59"/>
      <c r="I13" s="57" t="s">
        <v>290</v>
      </c>
      <c r="J13" s="141" t="s">
        <v>294</v>
      </c>
      <c r="K13" s="141" t="s">
        <v>295</v>
      </c>
      <c r="L13" s="59"/>
      <c r="M13" s="76"/>
      <c r="N13" s="140"/>
    </row>
    <row r="14" spans="1:16" ht="12.75" customHeight="1" thickBot="1">
      <c r="B14" s="59"/>
      <c r="C14" s="76"/>
      <c r="D14" s="59" t="s">
        <v>296</v>
      </c>
      <c r="E14" s="59"/>
      <c r="F14" s="59"/>
      <c r="G14" s="59"/>
      <c r="H14" s="59"/>
      <c r="I14" s="59"/>
      <c r="J14" s="59"/>
      <c r="K14" s="59"/>
      <c r="L14" s="59"/>
      <c r="M14" s="76"/>
      <c r="N14" s="57"/>
      <c r="O14" s="58"/>
      <c r="P14" s="66"/>
    </row>
    <row r="15" spans="1:16" ht="12.75" customHeight="1" thickTop="1">
      <c r="A15" s="78"/>
      <c r="B15" s="61"/>
      <c r="C15" s="79"/>
      <c r="D15" s="61"/>
      <c r="E15" s="61"/>
      <c r="F15" s="61"/>
      <c r="G15" s="61"/>
      <c r="H15" s="61"/>
      <c r="I15" s="61"/>
      <c r="J15" s="61"/>
      <c r="K15" s="61"/>
      <c r="L15" s="61"/>
      <c r="M15" s="79"/>
      <c r="N15" s="57"/>
      <c r="O15" s="58"/>
      <c r="P15" s="58"/>
    </row>
    <row r="16" spans="1:16" ht="17.25" hidden="1" customHeight="1">
      <c r="B16" s="57" t="s">
        <v>297</v>
      </c>
      <c r="C16" s="69" t="s">
        <v>296</v>
      </c>
      <c r="D16" s="68"/>
      <c r="E16" s="68"/>
      <c r="F16" s="68"/>
      <c r="G16" s="68"/>
      <c r="H16" s="68"/>
      <c r="I16" s="68"/>
      <c r="J16" s="68"/>
      <c r="K16" s="68"/>
      <c r="L16" s="68"/>
      <c r="M16" s="69" t="s">
        <v>296</v>
      </c>
      <c r="N16" s="65"/>
      <c r="O16" s="66"/>
      <c r="P16" s="66"/>
    </row>
    <row r="17" spans="1:16" ht="17.25" hidden="1" customHeight="1">
      <c r="B17" s="63"/>
      <c r="C17" s="69"/>
      <c r="D17" s="68"/>
      <c r="E17" s="68"/>
      <c r="F17" s="68"/>
      <c r="G17" s="68"/>
      <c r="H17" s="68"/>
      <c r="I17" s="68"/>
      <c r="J17" s="68"/>
      <c r="K17" s="68"/>
      <c r="L17" s="68"/>
      <c r="M17" s="69"/>
      <c r="N17" s="65"/>
      <c r="O17" s="66"/>
      <c r="P17" s="66"/>
    </row>
    <row r="18" spans="1:16" ht="17.25" hidden="1" customHeight="1">
      <c r="A18" s="82"/>
      <c r="B18" s="63" t="s">
        <v>298</v>
      </c>
      <c r="C18" s="69">
        <v>12107.4</v>
      </c>
      <c r="D18" s="68">
        <v>857.2</v>
      </c>
      <c r="E18" s="68">
        <v>10.6</v>
      </c>
      <c r="F18" s="68">
        <v>447.8</v>
      </c>
      <c r="G18" s="68">
        <v>0</v>
      </c>
      <c r="H18" s="68">
        <v>523.9</v>
      </c>
      <c r="I18" s="68">
        <v>72.900000000000006</v>
      </c>
      <c r="J18" s="68">
        <v>993.1</v>
      </c>
      <c r="K18" s="68">
        <v>750.4</v>
      </c>
      <c r="L18" s="68">
        <v>940.9</v>
      </c>
      <c r="M18" s="69">
        <v>16704.099999999999</v>
      </c>
      <c r="N18" s="68"/>
      <c r="O18" s="70"/>
      <c r="P18" s="66"/>
    </row>
    <row r="19" spans="1:16" ht="17.25" hidden="1" customHeight="1">
      <c r="A19" s="82"/>
      <c r="B19" s="63"/>
      <c r="C19" s="69"/>
      <c r="D19" s="68"/>
      <c r="E19" s="68"/>
      <c r="F19" s="68"/>
      <c r="G19" s="68"/>
      <c r="H19" s="68"/>
      <c r="I19" s="68" t="s">
        <v>296</v>
      </c>
      <c r="J19" s="68"/>
      <c r="K19" s="68"/>
      <c r="L19" s="68"/>
      <c r="M19" s="69"/>
      <c r="N19" s="68"/>
      <c r="O19" s="66"/>
      <c r="P19" s="66"/>
    </row>
    <row r="20" spans="1:16" ht="17.25" hidden="1" customHeight="1">
      <c r="A20" s="82"/>
      <c r="B20" s="63" t="s">
        <v>299</v>
      </c>
      <c r="C20" s="69">
        <v>12133.9</v>
      </c>
      <c r="D20" s="68">
        <v>973.9</v>
      </c>
      <c r="E20" s="68">
        <v>8.6999999999999993</v>
      </c>
      <c r="F20" s="68">
        <v>417.7</v>
      </c>
      <c r="G20" s="68">
        <v>0</v>
      </c>
      <c r="H20" s="68">
        <v>723.3</v>
      </c>
      <c r="I20" s="68">
        <v>87.3</v>
      </c>
      <c r="J20" s="68">
        <v>1020.3</v>
      </c>
      <c r="K20" s="68">
        <v>732.4</v>
      </c>
      <c r="L20" s="68">
        <v>962.4</v>
      </c>
      <c r="M20" s="69">
        <v>17059.8</v>
      </c>
      <c r="N20" s="68"/>
      <c r="O20" s="70"/>
      <c r="P20" s="66"/>
    </row>
    <row r="21" spans="1:16" ht="17.25" hidden="1" customHeight="1">
      <c r="A21" s="82"/>
      <c r="B21" s="63"/>
      <c r="C21" s="69"/>
      <c r="D21" s="68"/>
      <c r="E21" s="68"/>
      <c r="F21" s="68"/>
      <c r="G21" s="68"/>
      <c r="H21" s="68" t="s">
        <v>296</v>
      </c>
      <c r="I21" s="68" t="s">
        <v>296</v>
      </c>
      <c r="J21" s="68"/>
      <c r="K21" s="68"/>
      <c r="L21" s="68"/>
      <c r="M21" s="69"/>
      <c r="N21" s="68"/>
      <c r="O21" s="66"/>
      <c r="P21" s="66"/>
    </row>
    <row r="22" spans="1:16" ht="17.25" hidden="1" customHeight="1">
      <c r="A22" s="82"/>
      <c r="B22" s="63" t="s">
        <v>300</v>
      </c>
      <c r="C22" s="69">
        <v>12584.9</v>
      </c>
      <c r="D22" s="68">
        <v>1050.9000000000001</v>
      </c>
      <c r="E22" s="68">
        <v>9</v>
      </c>
      <c r="F22" s="68">
        <v>611.9</v>
      </c>
      <c r="G22" s="68">
        <v>0</v>
      </c>
      <c r="H22" s="68">
        <v>809.4</v>
      </c>
      <c r="I22" s="68">
        <v>83.1</v>
      </c>
      <c r="J22" s="68">
        <v>1063.8</v>
      </c>
      <c r="K22" s="68">
        <v>613.4</v>
      </c>
      <c r="L22" s="68">
        <v>993.7</v>
      </c>
      <c r="M22" s="69">
        <v>17819.900000000001</v>
      </c>
      <c r="N22" s="68"/>
      <c r="O22" s="70"/>
      <c r="P22" s="66"/>
    </row>
    <row r="23" spans="1:16" ht="17.25" hidden="1" customHeight="1">
      <c r="A23" s="82"/>
      <c r="B23" s="63"/>
      <c r="C23" s="69"/>
      <c r="D23" s="68"/>
      <c r="E23" s="68"/>
      <c r="F23" s="68"/>
      <c r="G23" s="68"/>
      <c r="H23" s="68" t="s">
        <v>296</v>
      </c>
      <c r="I23" s="68" t="s">
        <v>296</v>
      </c>
      <c r="J23" s="68"/>
      <c r="K23" s="68"/>
      <c r="L23" s="68"/>
      <c r="M23" s="69"/>
      <c r="N23" s="68"/>
      <c r="O23" s="66"/>
      <c r="P23" s="66"/>
    </row>
    <row r="24" spans="1:16" ht="17.25" hidden="1" customHeight="1">
      <c r="A24" s="82"/>
      <c r="B24" s="63" t="s">
        <v>301</v>
      </c>
      <c r="C24" s="69">
        <v>12617.1</v>
      </c>
      <c r="D24" s="68">
        <v>1119</v>
      </c>
      <c r="E24" s="68">
        <v>8.1999999999999993</v>
      </c>
      <c r="F24" s="68">
        <v>589.5</v>
      </c>
      <c r="G24" s="68">
        <v>0</v>
      </c>
      <c r="H24" s="68">
        <v>725.3</v>
      </c>
      <c r="I24" s="68">
        <v>94.1</v>
      </c>
      <c r="J24" s="68">
        <v>1107.5</v>
      </c>
      <c r="K24" s="68">
        <v>582.79999999999995</v>
      </c>
      <c r="L24" s="68">
        <v>1016.2</v>
      </c>
      <c r="M24" s="69">
        <v>17859.599999999999</v>
      </c>
      <c r="N24" s="68"/>
      <c r="O24" s="70"/>
      <c r="P24" s="66"/>
    </row>
    <row r="25" spans="1:16" ht="17.25" hidden="1" customHeight="1">
      <c r="A25" s="82"/>
      <c r="B25" s="63"/>
      <c r="C25" s="69"/>
      <c r="D25" s="68"/>
      <c r="E25" s="68"/>
      <c r="F25" s="68"/>
      <c r="G25" s="68"/>
      <c r="H25" s="68" t="s">
        <v>296</v>
      </c>
      <c r="I25" s="68" t="s">
        <v>296</v>
      </c>
      <c r="J25" s="68"/>
      <c r="K25" s="68"/>
      <c r="L25" s="68"/>
      <c r="M25" s="69"/>
      <c r="N25" s="68"/>
      <c r="O25" s="66"/>
      <c r="P25" s="66"/>
    </row>
    <row r="26" spans="1:16" ht="17.25" hidden="1" customHeight="1">
      <c r="A26" s="82"/>
      <c r="B26" s="63" t="s">
        <v>302</v>
      </c>
      <c r="C26" s="69">
        <v>13545.1</v>
      </c>
      <c r="D26" s="68">
        <v>1210.8</v>
      </c>
      <c r="E26" s="68">
        <v>8.1</v>
      </c>
      <c r="F26" s="68">
        <v>619.6</v>
      </c>
      <c r="G26" s="68">
        <v>0</v>
      </c>
      <c r="H26" s="68">
        <v>928.5</v>
      </c>
      <c r="I26" s="68">
        <v>95.2</v>
      </c>
      <c r="J26" s="68">
        <v>1143</v>
      </c>
      <c r="K26" s="68">
        <v>558.20000000000005</v>
      </c>
      <c r="L26" s="68">
        <v>1040.2</v>
      </c>
      <c r="M26" s="69">
        <v>19148.8</v>
      </c>
      <c r="N26" s="68"/>
      <c r="O26" s="70"/>
      <c r="P26" s="66"/>
    </row>
    <row r="27" spans="1:16" ht="17.25" hidden="1" customHeight="1">
      <c r="A27" s="82"/>
      <c r="B27" s="63"/>
      <c r="C27" s="69"/>
      <c r="D27" s="68"/>
      <c r="E27" s="68"/>
      <c r="F27" s="68"/>
      <c r="G27" s="68"/>
      <c r="H27" s="68" t="s">
        <v>296</v>
      </c>
      <c r="I27" s="68" t="s">
        <v>296</v>
      </c>
      <c r="J27" s="68"/>
      <c r="K27" s="68"/>
      <c r="L27" s="68"/>
      <c r="M27" s="69"/>
      <c r="N27" s="68"/>
      <c r="O27" s="66"/>
      <c r="P27" s="66"/>
    </row>
    <row r="28" spans="1:16" ht="17.25" hidden="1" customHeight="1">
      <c r="A28" s="82"/>
      <c r="B28" s="63" t="s">
        <v>303</v>
      </c>
      <c r="C28" s="69">
        <v>13347.2</v>
      </c>
      <c r="D28" s="68">
        <v>1164.8</v>
      </c>
      <c r="E28" s="68">
        <v>5.2</v>
      </c>
      <c r="F28" s="68">
        <f>690.9-50</f>
        <v>640.9</v>
      </c>
      <c r="G28" s="68">
        <v>0</v>
      </c>
      <c r="H28" s="68">
        <v>876</v>
      </c>
      <c r="I28" s="68">
        <v>74</v>
      </c>
      <c r="J28" s="68">
        <v>1180</v>
      </c>
      <c r="K28" s="68">
        <v>521.29999999999995</v>
      </c>
      <c r="L28" s="68">
        <v>1063.2</v>
      </c>
      <c r="M28" s="69">
        <v>18872.599999999999</v>
      </c>
      <c r="N28" s="68"/>
      <c r="O28" s="70"/>
      <c r="P28" s="70"/>
    </row>
    <row r="29" spans="1:16" ht="17.25" hidden="1" customHeight="1">
      <c r="A29" s="82"/>
      <c r="B29" s="63"/>
      <c r="C29" s="69"/>
      <c r="D29" s="68"/>
      <c r="E29" s="68"/>
      <c r="F29" s="68"/>
      <c r="G29" s="68"/>
      <c r="H29" s="68" t="s">
        <v>296</v>
      </c>
      <c r="I29" s="68" t="s">
        <v>296</v>
      </c>
      <c r="J29" s="68"/>
      <c r="K29" s="68"/>
      <c r="L29" s="68"/>
      <c r="M29" s="69"/>
      <c r="N29" s="68"/>
      <c r="O29" s="66"/>
      <c r="P29" s="66"/>
    </row>
    <row r="30" spans="1:16" ht="17.25" hidden="1" customHeight="1">
      <c r="A30" s="82"/>
      <c r="B30" s="63" t="s">
        <v>304</v>
      </c>
      <c r="C30" s="69">
        <v>14984.8</v>
      </c>
      <c r="D30" s="68">
        <v>1482.1</v>
      </c>
      <c r="E30" s="68">
        <v>3.3</v>
      </c>
      <c r="F30" s="68">
        <f>700.3-158</f>
        <v>542.29999999999995</v>
      </c>
      <c r="G30" s="68">
        <v>0</v>
      </c>
      <c r="H30" s="68">
        <v>679.4</v>
      </c>
      <c r="I30" s="68">
        <v>104.2</v>
      </c>
      <c r="J30" s="68">
        <v>1212.9000000000001</v>
      </c>
      <c r="K30" s="68">
        <v>512.20000000000005</v>
      </c>
      <c r="L30" s="68">
        <v>1110.5999999999999</v>
      </c>
      <c r="M30" s="69">
        <v>20631.8</v>
      </c>
      <c r="N30" s="68"/>
      <c r="O30" s="70"/>
      <c r="P30" s="66"/>
    </row>
    <row r="31" spans="1:16" ht="17.25" hidden="1" customHeight="1">
      <c r="A31" s="82"/>
      <c r="B31" s="63"/>
      <c r="C31" s="69"/>
      <c r="D31" s="68"/>
      <c r="E31" s="68"/>
      <c r="F31" s="68"/>
      <c r="G31" s="68"/>
      <c r="H31" s="68" t="s">
        <v>296</v>
      </c>
      <c r="I31" s="68" t="s">
        <v>296</v>
      </c>
      <c r="J31" s="68"/>
      <c r="K31" s="68"/>
      <c r="L31" s="68"/>
      <c r="M31" s="69"/>
      <c r="N31" s="68"/>
      <c r="O31" s="66"/>
      <c r="P31" s="66"/>
    </row>
    <row r="32" spans="1:16" ht="17.25" hidden="1" customHeight="1">
      <c r="A32" s="82"/>
      <c r="B32" s="63" t="s">
        <v>305</v>
      </c>
      <c r="C32" s="69">
        <v>14563.6</v>
      </c>
      <c r="D32" s="68">
        <v>1498.3</v>
      </c>
      <c r="E32" s="68">
        <v>4.5</v>
      </c>
      <c r="F32" s="68">
        <f>1001.7-215.1</f>
        <v>786.6</v>
      </c>
      <c r="G32" s="68">
        <v>0</v>
      </c>
      <c r="H32" s="68">
        <v>901.5</v>
      </c>
      <c r="I32" s="68">
        <v>247.2</v>
      </c>
      <c r="J32" s="68">
        <v>1247.9000000000001</v>
      </c>
      <c r="K32" s="68">
        <v>521.79999999999995</v>
      </c>
      <c r="L32" s="68">
        <v>1136.9000000000001</v>
      </c>
      <c r="M32" s="69">
        <v>20908.2</v>
      </c>
      <c r="N32" s="68"/>
      <c r="O32" s="70"/>
      <c r="P32" s="66"/>
    </row>
    <row r="33" spans="1:16" ht="17.25" hidden="1" customHeight="1">
      <c r="A33" s="82"/>
      <c r="B33" s="63"/>
      <c r="C33" s="69"/>
      <c r="D33" s="68"/>
      <c r="E33" s="68"/>
      <c r="F33" s="68"/>
      <c r="G33" s="68"/>
      <c r="H33" s="68" t="s">
        <v>296</v>
      </c>
      <c r="I33" s="68" t="s">
        <v>296</v>
      </c>
      <c r="J33" s="68"/>
      <c r="K33" s="68"/>
      <c r="L33" s="68"/>
      <c r="M33" s="69"/>
      <c r="N33" s="68"/>
      <c r="O33" s="66"/>
      <c r="P33" s="66"/>
    </row>
    <row r="34" spans="1:16" ht="17.25" hidden="1" customHeight="1">
      <c r="A34" s="82"/>
      <c r="B34" s="63" t="s">
        <v>306</v>
      </c>
      <c r="C34" s="69">
        <v>15499.5</v>
      </c>
      <c r="D34" s="68">
        <v>807.1</v>
      </c>
      <c r="E34" s="68">
        <v>4.5</v>
      </c>
      <c r="F34" s="68">
        <f>783.2-129.5</f>
        <v>653.70000000000005</v>
      </c>
      <c r="G34" s="68">
        <v>0</v>
      </c>
      <c r="H34" s="68">
        <v>687.9</v>
      </c>
      <c r="I34" s="68">
        <v>229.4</v>
      </c>
      <c r="J34" s="68">
        <v>1287.3</v>
      </c>
      <c r="K34" s="68">
        <v>503.5</v>
      </c>
      <c r="L34" s="68">
        <v>1160.3</v>
      </c>
      <c r="M34" s="69">
        <v>20833.099999999999</v>
      </c>
      <c r="N34" s="68"/>
      <c r="O34" s="70"/>
      <c r="P34" s="66"/>
    </row>
    <row r="35" spans="1:16" ht="17.25" hidden="1" customHeight="1">
      <c r="A35" s="82"/>
      <c r="B35" s="63"/>
      <c r="C35" s="69"/>
      <c r="D35" s="68"/>
      <c r="E35" s="68"/>
      <c r="F35" s="68"/>
      <c r="G35" s="68"/>
      <c r="H35" s="68" t="s">
        <v>296</v>
      </c>
      <c r="I35" s="68" t="s">
        <v>296</v>
      </c>
      <c r="J35" s="68"/>
      <c r="K35" s="68"/>
      <c r="L35" s="68"/>
      <c r="M35" s="69"/>
      <c r="N35" s="68"/>
      <c r="O35" s="66"/>
      <c r="P35" s="66"/>
    </row>
    <row r="36" spans="1:16" ht="17.25" hidden="1" customHeight="1">
      <c r="A36" s="82"/>
      <c r="B36" s="63" t="s">
        <v>307</v>
      </c>
      <c r="C36" s="69">
        <v>15593.1</v>
      </c>
      <c r="D36" s="68">
        <v>683.5</v>
      </c>
      <c r="E36" s="68">
        <v>7.5</v>
      </c>
      <c r="F36" s="68">
        <f>316.1-25.5</f>
        <v>290.60000000000002</v>
      </c>
      <c r="G36" s="68">
        <v>0</v>
      </c>
      <c r="H36" s="68">
        <v>787.3</v>
      </c>
      <c r="I36" s="68">
        <v>304</v>
      </c>
      <c r="J36" s="68">
        <v>1318.8</v>
      </c>
      <c r="K36" s="68">
        <v>509.5</v>
      </c>
      <c r="L36" s="68">
        <v>1186.8</v>
      </c>
      <c r="M36" s="69">
        <v>20681.2</v>
      </c>
      <c r="N36" s="68"/>
      <c r="O36" s="70"/>
      <c r="P36" s="66"/>
    </row>
    <row r="37" spans="1:16" ht="17.25" hidden="1" customHeight="1">
      <c r="A37" s="82"/>
      <c r="B37" s="63"/>
      <c r="C37" s="69"/>
      <c r="D37" s="68"/>
      <c r="E37" s="68"/>
      <c r="F37" s="68"/>
      <c r="G37" s="68"/>
      <c r="H37" s="68" t="s">
        <v>296</v>
      </c>
      <c r="I37" s="68" t="s">
        <v>296</v>
      </c>
      <c r="J37" s="68"/>
      <c r="K37" s="68"/>
      <c r="L37" s="68"/>
      <c r="M37" s="69"/>
      <c r="N37" s="68"/>
      <c r="O37" s="66"/>
      <c r="P37" s="66"/>
    </row>
    <row r="38" spans="1:16" ht="17.25" hidden="1" customHeight="1">
      <c r="A38" s="82"/>
      <c r="B38" s="63" t="s">
        <v>308</v>
      </c>
      <c r="C38" s="69">
        <v>16469.7</v>
      </c>
      <c r="D38" s="68">
        <v>955.2</v>
      </c>
      <c r="E38" s="68">
        <v>3</v>
      </c>
      <c r="F38" s="68">
        <f>809.9-25.5</f>
        <v>784.4</v>
      </c>
      <c r="G38" s="68">
        <v>0</v>
      </c>
      <c r="H38" s="68">
        <v>998.8</v>
      </c>
      <c r="I38" s="68">
        <v>325.7</v>
      </c>
      <c r="J38" s="68">
        <v>1350.3</v>
      </c>
      <c r="K38" s="68">
        <v>522.1</v>
      </c>
      <c r="L38" s="68">
        <v>1196.5999999999999</v>
      </c>
      <c r="M38" s="69">
        <v>22606.3</v>
      </c>
      <c r="N38" s="68"/>
      <c r="O38" s="70"/>
      <c r="P38" s="66"/>
    </row>
    <row r="39" spans="1:16" ht="17.25" hidden="1" customHeight="1">
      <c r="A39" s="82"/>
      <c r="B39" s="63"/>
      <c r="C39" s="69"/>
      <c r="D39" s="68"/>
      <c r="E39" s="68"/>
      <c r="F39" s="68"/>
      <c r="G39" s="68"/>
      <c r="H39" s="68" t="s">
        <v>296</v>
      </c>
      <c r="I39" s="68" t="s">
        <v>296</v>
      </c>
      <c r="J39" s="68"/>
      <c r="K39" s="68"/>
      <c r="L39" s="68"/>
      <c r="M39" s="69"/>
      <c r="N39" s="68"/>
      <c r="O39" s="66"/>
      <c r="P39" s="66"/>
    </row>
    <row r="40" spans="1:16" ht="17.25" hidden="1" customHeight="1">
      <c r="A40" s="82"/>
      <c r="B40" s="63" t="s">
        <v>311</v>
      </c>
      <c r="C40" s="69">
        <v>16009.7</v>
      </c>
      <c r="D40" s="68">
        <v>856</v>
      </c>
      <c r="E40" s="68">
        <v>3.9</v>
      </c>
      <c r="F40" s="68">
        <f>754-15-20</f>
        <v>719</v>
      </c>
      <c r="G40" s="68">
        <v>0</v>
      </c>
      <c r="H40" s="68">
        <v>1062.7</v>
      </c>
      <c r="I40" s="68">
        <v>412.6</v>
      </c>
      <c r="J40" s="68">
        <v>1389</v>
      </c>
      <c r="K40" s="68">
        <v>502.4</v>
      </c>
      <c r="L40" s="68">
        <v>1215.0999999999999</v>
      </c>
      <c r="M40" s="69">
        <v>22170.5</v>
      </c>
      <c r="N40" s="68"/>
      <c r="O40" s="70"/>
      <c r="P40" s="66"/>
    </row>
    <row r="41" spans="1:16" ht="17.25" hidden="1" customHeight="1">
      <c r="A41" s="82"/>
      <c r="B41" s="59"/>
      <c r="C41" s="69"/>
      <c r="D41" s="68"/>
      <c r="E41" s="68"/>
      <c r="F41" s="68"/>
      <c r="G41" s="68"/>
      <c r="H41" s="68"/>
      <c r="I41" s="68" t="s">
        <v>296</v>
      </c>
      <c r="J41" s="68"/>
      <c r="K41" s="68"/>
      <c r="L41" s="68"/>
      <c r="M41" s="69" t="s">
        <v>296</v>
      </c>
      <c r="N41" s="65"/>
      <c r="O41" s="66"/>
      <c r="P41" s="66"/>
    </row>
    <row r="42" spans="1:16" ht="17.25" hidden="1" customHeight="1">
      <c r="A42" s="82"/>
      <c r="B42" s="57" t="s">
        <v>312</v>
      </c>
      <c r="C42" s="69" t="s">
        <v>296</v>
      </c>
      <c r="D42" s="68"/>
      <c r="E42" s="68"/>
      <c r="F42" s="68" t="s">
        <v>296</v>
      </c>
      <c r="G42" s="68"/>
      <c r="H42" s="68"/>
      <c r="I42" s="68" t="s">
        <v>296</v>
      </c>
      <c r="J42" s="68"/>
      <c r="K42" s="68"/>
      <c r="L42" s="68"/>
      <c r="M42" s="69" t="s">
        <v>296</v>
      </c>
      <c r="N42" s="65"/>
      <c r="O42" s="66"/>
      <c r="P42" s="66"/>
    </row>
    <row r="43" spans="1:16" ht="17.25" hidden="1" customHeight="1">
      <c r="A43" s="82"/>
      <c r="B43" s="59"/>
      <c r="C43" s="69"/>
      <c r="D43" s="68"/>
      <c r="E43" s="68"/>
      <c r="F43" s="68"/>
      <c r="G43" s="68"/>
      <c r="H43" s="68"/>
      <c r="I43" s="68" t="s">
        <v>296</v>
      </c>
      <c r="J43" s="68"/>
      <c r="K43" s="68"/>
      <c r="L43" s="68"/>
      <c r="M43" s="69"/>
      <c r="N43" s="65"/>
      <c r="O43" s="66"/>
      <c r="P43" s="66"/>
    </row>
    <row r="44" spans="1:16" ht="17.25" hidden="1" customHeight="1">
      <c r="A44" s="82"/>
      <c r="B44" s="63" t="s">
        <v>298</v>
      </c>
      <c r="C44" s="69">
        <v>16126.8</v>
      </c>
      <c r="D44" s="68">
        <v>725</v>
      </c>
      <c r="E44" s="68">
        <v>4.8</v>
      </c>
      <c r="F44" s="68">
        <f>385.5-333</f>
        <v>52.5</v>
      </c>
      <c r="G44" s="68">
        <v>0</v>
      </c>
      <c r="H44" s="68">
        <v>819.8</v>
      </c>
      <c r="I44" s="68">
        <v>372.3</v>
      </c>
      <c r="J44" s="68">
        <v>1430</v>
      </c>
      <c r="K44" s="68">
        <v>510.6</v>
      </c>
      <c r="L44" s="68">
        <v>1269.5</v>
      </c>
      <c r="M44" s="69">
        <v>21311.3</v>
      </c>
      <c r="N44" s="68"/>
      <c r="O44" s="70"/>
      <c r="P44" s="70"/>
    </row>
    <row r="45" spans="1:16" ht="17.25" hidden="1" customHeight="1">
      <c r="A45" s="82"/>
      <c r="B45" s="63"/>
      <c r="C45" s="69"/>
      <c r="D45" s="68"/>
      <c r="E45" s="68"/>
      <c r="F45" s="68"/>
      <c r="G45" s="68"/>
      <c r="H45" s="68"/>
      <c r="I45" s="68" t="s">
        <v>296</v>
      </c>
      <c r="J45" s="68"/>
      <c r="K45" s="68"/>
      <c r="L45" s="68"/>
      <c r="M45" s="69"/>
      <c r="N45" s="68"/>
      <c r="O45" s="66"/>
      <c r="P45" s="66"/>
    </row>
    <row r="46" spans="1:16" ht="17.25" hidden="1" customHeight="1">
      <c r="A46" s="82"/>
      <c r="B46" s="63" t="s">
        <v>299</v>
      </c>
      <c r="C46" s="69">
        <v>15662</v>
      </c>
      <c r="D46" s="68">
        <v>969.9</v>
      </c>
      <c r="E46" s="68">
        <v>3.2</v>
      </c>
      <c r="F46" s="68">
        <f>688.9-303</f>
        <v>385.9</v>
      </c>
      <c r="G46" s="68">
        <v>0</v>
      </c>
      <c r="H46" s="68">
        <v>677.8</v>
      </c>
      <c r="I46" s="68">
        <v>601.79999999999995</v>
      </c>
      <c r="J46" s="68">
        <v>1457.7</v>
      </c>
      <c r="K46" s="68">
        <v>551.9</v>
      </c>
      <c r="L46" s="68">
        <v>1282.7</v>
      </c>
      <c r="M46" s="69">
        <v>21592.799999999999</v>
      </c>
      <c r="N46" s="68"/>
      <c r="O46" s="70"/>
      <c r="P46" s="66"/>
    </row>
    <row r="47" spans="1:16" ht="17.25" hidden="1" customHeight="1">
      <c r="A47" s="82"/>
      <c r="B47" s="63"/>
      <c r="C47" s="69"/>
      <c r="D47" s="68"/>
      <c r="E47" s="68"/>
      <c r="F47" s="68"/>
      <c r="G47" s="68"/>
      <c r="H47" s="68" t="s">
        <v>296</v>
      </c>
      <c r="I47" s="68" t="s">
        <v>296</v>
      </c>
      <c r="J47" s="68"/>
      <c r="K47" s="68"/>
      <c r="L47" s="68"/>
      <c r="M47" s="69"/>
      <c r="N47" s="68"/>
      <c r="O47" s="66"/>
      <c r="P47" s="66"/>
    </row>
    <row r="48" spans="1:16" ht="17.25" hidden="1" customHeight="1">
      <c r="A48" s="82"/>
      <c r="B48" s="63" t="s">
        <v>300</v>
      </c>
      <c r="C48" s="69">
        <v>16415.5</v>
      </c>
      <c r="D48" s="68">
        <v>567.20000000000005</v>
      </c>
      <c r="E48" s="68">
        <v>4.5999999999999996</v>
      </c>
      <c r="F48" s="68">
        <v>737.7</v>
      </c>
      <c r="G48" s="68">
        <v>0</v>
      </c>
      <c r="H48" s="68">
        <v>758.7</v>
      </c>
      <c r="I48" s="68">
        <v>1082.9000000000001</v>
      </c>
      <c r="J48" s="68">
        <v>1486.2</v>
      </c>
      <c r="K48" s="68">
        <v>512.29999999999995</v>
      </c>
      <c r="L48" s="68">
        <v>1300.0999999999999</v>
      </c>
      <c r="M48" s="69">
        <v>22865.1</v>
      </c>
      <c r="N48" s="68"/>
      <c r="O48" s="70"/>
      <c r="P48" s="66"/>
    </row>
    <row r="49" spans="1:16" ht="17.25" hidden="1" customHeight="1">
      <c r="A49" s="82"/>
      <c r="B49" s="63"/>
      <c r="C49" s="69"/>
      <c r="D49" s="68"/>
      <c r="E49" s="68"/>
      <c r="F49" s="68"/>
      <c r="G49" s="68"/>
      <c r="H49" s="68" t="s">
        <v>296</v>
      </c>
      <c r="I49" s="68" t="s">
        <v>296</v>
      </c>
      <c r="J49" s="68"/>
      <c r="K49" s="68"/>
      <c r="L49" s="68"/>
      <c r="M49" s="69"/>
      <c r="N49" s="68"/>
      <c r="O49" s="66"/>
      <c r="P49" s="66"/>
    </row>
    <row r="50" spans="1:16" ht="17.25" hidden="1" customHeight="1">
      <c r="A50" s="82"/>
      <c r="B50" s="63" t="s">
        <v>301</v>
      </c>
      <c r="C50" s="69">
        <v>17120.400000000001</v>
      </c>
      <c r="D50" s="68">
        <v>288.60000000000002</v>
      </c>
      <c r="E50" s="68">
        <v>2.4</v>
      </c>
      <c r="F50" s="68">
        <f>1325.1-50</f>
        <v>1275.0999999999999</v>
      </c>
      <c r="G50" s="68">
        <v>0</v>
      </c>
      <c r="H50" s="68">
        <v>823.6</v>
      </c>
      <c r="I50" s="68">
        <v>1332.9</v>
      </c>
      <c r="J50" s="68">
        <v>1529.3</v>
      </c>
      <c r="K50" s="68">
        <v>504.8</v>
      </c>
      <c r="L50" s="68">
        <v>1316.3</v>
      </c>
      <c r="M50" s="69">
        <v>24193.4</v>
      </c>
      <c r="N50" s="68"/>
      <c r="O50" s="70"/>
      <c r="P50" s="70"/>
    </row>
    <row r="51" spans="1:16" ht="17.25" hidden="1" customHeight="1">
      <c r="A51" s="82"/>
      <c r="B51" s="63"/>
      <c r="C51" s="69"/>
      <c r="D51" s="68"/>
      <c r="E51" s="68"/>
      <c r="F51" s="68"/>
      <c r="G51" s="68"/>
      <c r="H51" s="68" t="s">
        <v>296</v>
      </c>
      <c r="I51" s="68" t="s">
        <v>296</v>
      </c>
      <c r="J51" s="68"/>
      <c r="K51" s="68"/>
      <c r="L51" s="68"/>
      <c r="M51" s="69"/>
      <c r="N51" s="68"/>
      <c r="O51" s="66"/>
      <c r="P51" s="66"/>
    </row>
    <row r="52" spans="1:16" ht="17.25" hidden="1" customHeight="1">
      <c r="A52" s="82"/>
      <c r="B52" s="63" t="s">
        <v>302</v>
      </c>
      <c r="C52" s="69">
        <v>17184.8</v>
      </c>
      <c r="D52" s="68">
        <v>1183.5999999999999</v>
      </c>
      <c r="E52" s="68">
        <v>2.7</v>
      </c>
      <c r="F52" s="68">
        <f>271.3-122.5</f>
        <v>148.80000000000001</v>
      </c>
      <c r="G52" s="68">
        <v>0</v>
      </c>
      <c r="H52" s="68">
        <v>822.9</v>
      </c>
      <c r="I52" s="68">
        <v>1415.7</v>
      </c>
      <c r="J52" s="68">
        <v>1568.3</v>
      </c>
      <c r="K52" s="68">
        <v>504.1</v>
      </c>
      <c r="L52" s="68">
        <v>1326.4</v>
      </c>
      <c r="M52" s="69">
        <v>24157.200000000001</v>
      </c>
      <c r="N52" s="68"/>
      <c r="O52" s="70"/>
      <c r="P52" s="66"/>
    </row>
    <row r="53" spans="1:16" ht="17.25" hidden="1" customHeight="1">
      <c r="A53" s="82"/>
      <c r="B53" s="63"/>
      <c r="C53" s="69"/>
      <c r="D53" s="68"/>
      <c r="E53" s="68"/>
      <c r="F53" s="68"/>
      <c r="G53" s="68"/>
      <c r="H53" s="68" t="s">
        <v>296</v>
      </c>
      <c r="I53" s="68" t="s">
        <v>296</v>
      </c>
      <c r="J53" s="68"/>
      <c r="K53" s="68"/>
      <c r="L53" s="68"/>
      <c r="M53" s="69"/>
      <c r="N53" s="68"/>
      <c r="O53" s="66"/>
      <c r="P53" s="66"/>
    </row>
    <row r="54" spans="1:16" ht="17.25" hidden="1" customHeight="1">
      <c r="A54" s="82"/>
      <c r="B54" s="63" t="s">
        <v>303</v>
      </c>
      <c r="C54" s="69">
        <v>17982.5</v>
      </c>
      <c r="D54" s="68">
        <v>491.5</v>
      </c>
      <c r="E54" s="68">
        <v>3.5</v>
      </c>
      <c r="F54" s="68">
        <v>162.6</v>
      </c>
      <c r="G54" s="68">
        <v>0</v>
      </c>
      <c r="H54" s="68">
        <v>1156.9000000000001</v>
      </c>
      <c r="I54" s="68">
        <v>1082.2</v>
      </c>
      <c r="J54" s="68">
        <v>1613.1</v>
      </c>
      <c r="K54" s="68">
        <v>486.5</v>
      </c>
      <c r="L54" s="68">
        <v>1343.2</v>
      </c>
      <c r="M54" s="69">
        <v>24321.9</v>
      </c>
      <c r="N54" s="68"/>
      <c r="O54" s="70"/>
      <c r="P54" s="66"/>
    </row>
    <row r="55" spans="1:16" ht="17.25" hidden="1" customHeight="1">
      <c r="A55" s="82"/>
      <c r="B55" s="63"/>
      <c r="C55" s="69"/>
      <c r="D55" s="68"/>
      <c r="E55" s="68"/>
      <c r="F55" s="68"/>
      <c r="G55" s="68"/>
      <c r="H55" s="68" t="s">
        <v>296</v>
      </c>
      <c r="I55" s="68" t="s">
        <v>296</v>
      </c>
      <c r="J55" s="68"/>
      <c r="K55" s="68"/>
      <c r="L55" s="68"/>
      <c r="M55" s="69"/>
      <c r="N55" s="68"/>
      <c r="O55" s="66"/>
      <c r="P55" s="66"/>
    </row>
    <row r="56" spans="1:16" ht="17.25" hidden="1" customHeight="1">
      <c r="A56" s="82"/>
      <c r="B56" s="63" t="s">
        <v>304</v>
      </c>
      <c r="C56" s="69">
        <v>19447.5</v>
      </c>
      <c r="D56" s="68">
        <v>546.70000000000005</v>
      </c>
      <c r="E56" s="68">
        <v>4.5</v>
      </c>
      <c r="F56" s="68">
        <v>127</v>
      </c>
      <c r="G56" s="68">
        <v>0</v>
      </c>
      <c r="H56" s="68">
        <v>1149.0999999999999</v>
      </c>
      <c r="I56" s="68">
        <v>1253.3</v>
      </c>
      <c r="J56" s="68">
        <v>1658.8</v>
      </c>
      <c r="K56" s="68">
        <v>463.9</v>
      </c>
      <c r="L56" s="68">
        <v>1399.6</v>
      </c>
      <c r="M56" s="69">
        <v>26049.4</v>
      </c>
      <c r="N56" s="68"/>
      <c r="O56" s="70"/>
      <c r="P56" s="66"/>
    </row>
    <row r="57" spans="1:16" ht="17.25" hidden="1" customHeight="1">
      <c r="A57" s="82"/>
      <c r="B57" s="63"/>
      <c r="C57" s="69"/>
      <c r="D57" s="68"/>
      <c r="E57" s="68"/>
      <c r="F57" s="68"/>
      <c r="G57" s="68"/>
      <c r="H57" s="68"/>
      <c r="I57" s="68" t="s">
        <v>296</v>
      </c>
      <c r="J57" s="68"/>
      <c r="K57" s="68"/>
      <c r="L57" s="68"/>
      <c r="M57" s="69"/>
      <c r="N57" s="68"/>
      <c r="O57" s="66"/>
      <c r="P57" s="66"/>
    </row>
    <row r="58" spans="1:16" ht="17.25" hidden="1" customHeight="1">
      <c r="A58" s="82"/>
      <c r="B58" s="63" t="s">
        <v>305</v>
      </c>
      <c r="C58" s="69">
        <v>20679.7</v>
      </c>
      <c r="D58" s="68">
        <v>746.7</v>
      </c>
      <c r="E58" s="68">
        <v>2.6</v>
      </c>
      <c r="F58" s="68">
        <v>122.9</v>
      </c>
      <c r="G58" s="68">
        <v>0</v>
      </c>
      <c r="H58" s="68">
        <v>1262.7</v>
      </c>
      <c r="I58" s="68">
        <v>1115.5</v>
      </c>
      <c r="J58" s="68">
        <v>1714.6</v>
      </c>
      <c r="K58" s="68">
        <v>465.8</v>
      </c>
      <c r="L58" s="68">
        <v>1425.8</v>
      </c>
      <c r="M58" s="69">
        <v>27536.400000000001</v>
      </c>
      <c r="N58" s="68"/>
      <c r="O58" s="70"/>
      <c r="P58" s="66"/>
    </row>
    <row r="59" spans="1:16" ht="17.25" hidden="1" customHeight="1">
      <c r="A59" s="82"/>
      <c r="B59" s="63"/>
      <c r="C59" s="69"/>
      <c r="D59" s="68"/>
      <c r="E59" s="68"/>
      <c r="F59" s="68"/>
      <c r="G59" s="68"/>
      <c r="H59" s="68" t="s">
        <v>296</v>
      </c>
      <c r="I59" s="68" t="s">
        <v>296</v>
      </c>
      <c r="J59" s="68"/>
      <c r="K59" s="68"/>
      <c r="L59" s="68"/>
      <c r="M59" s="69"/>
      <c r="N59" s="68"/>
      <c r="O59" s="66"/>
      <c r="P59" s="66"/>
    </row>
    <row r="60" spans="1:16" ht="17.25" hidden="1" customHeight="1">
      <c r="A60" s="82"/>
      <c r="B60" s="63" t="s">
        <v>306</v>
      </c>
      <c r="C60" s="69">
        <v>20727.900000000001</v>
      </c>
      <c r="D60" s="68">
        <v>720.5</v>
      </c>
      <c r="E60" s="68">
        <v>2.9</v>
      </c>
      <c r="F60" s="68">
        <v>196.3</v>
      </c>
      <c r="G60" s="68">
        <v>0</v>
      </c>
      <c r="H60" s="68">
        <v>1275.0999999999999</v>
      </c>
      <c r="I60" s="68">
        <v>988.1</v>
      </c>
      <c r="J60" s="68">
        <v>1763.1</v>
      </c>
      <c r="K60" s="68">
        <v>457.1</v>
      </c>
      <c r="L60" s="68">
        <v>1462.6</v>
      </c>
      <c r="M60" s="69">
        <v>27594.400000000001</v>
      </c>
      <c r="N60" s="68"/>
      <c r="O60" s="70"/>
      <c r="P60" s="66"/>
    </row>
    <row r="61" spans="1:16" ht="17.25" hidden="1" customHeight="1">
      <c r="A61" s="82"/>
      <c r="B61" s="63"/>
      <c r="C61" s="69"/>
      <c r="D61" s="68"/>
      <c r="E61" s="68"/>
      <c r="F61" s="68"/>
      <c r="G61" s="68"/>
      <c r="H61" s="68"/>
      <c r="I61" s="68" t="s">
        <v>296</v>
      </c>
      <c r="J61" s="68"/>
      <c r="K61" s="68"/>
      <c r="L61" s="68"/>
      <c r="M61" s="69"/>
      <c r="N61" s="68"/>
      <c r="O61" s="66"/>
      <c r="P61" s="66"/>
    </row>
    <row r="62" spans="1:16" ht="17.25" hidden="1" customHeight="1">
      <c r="A62" s="82"/>
      <c r="B62" s="63" t="s">
        <v>307</v>
      </c>
      <c r="C62" s="69">
        <v>22203.200000000001</v>
      </c>
      <c r="D62" s="68">
        <v>469.5</v>
      </c>
      <c r="E62" s="68">
        <v>145</v>
      </c>
      <c r="F62" s="68">
        <v>146.69999999999999</v>
      </c>
      <c r="G62" s="68">
        <v>0</v>
      </c>
      <c r="H62" s="68">
        <v>1275.0999999999999</v>
      </c>
      <c r="I62" s="68">
        <v>827.9</v>
      </c>
      <c r="J62" s="68">
        <v>1817.8</v>
      </c>
      <c r="K62" s="68">
        <v>465.6</v>
      </c>
      <c r="L62" s="68">
        <v>1495.9</v>
      </c>
      <c r="M62" s="69">
        <v>28846.6</v>
      </c>
      <c r="N62" s="68"/>
      <c r="O62" s="70"/>
      <c r="P62" s="66"/>
    </row>
    <row r="63" spans="1:16" ht="17.25" hidden="1" customHeight="1">
      <c r="A63" s="82"/>
      <c r="B63" s="63"/>
      <c r="C63" s="69"/>
      <c r="D63" s="68"/>
      <c r="E63" s="68"/>
      <c r="F63" s="68"/>
      <c r="G63" s="68"/>
      <c r="H63" s="68" t="s">
        <v>296</v>
      </c>
      <c r="I63" s="68" t="s">
        <v>296</v>
      </c>
      <c r="J63" s="68"/>
      <c r="K63" s="68"/>
      <c r="L63" s="68"/>
      <c r="M63" s="69"/>
      <c r="N63" s="68"/>
      <c r="O63" s="66"/>
      <c r="P63" s="66"/>
    </row>
    <row r="64" spans="1:16" ht="17.25" hidden="1" customHeight="1">
      <c r="A64" s="82"/>
      <c r="B64" s="63" t="s">
        <v>308</v>
      </c>
      <c r="C64" s="69">
        <v>22567.7</v>
      </c>
      <c r="D64" s="68">
        <v>401.3</v>
      </c>
      <c r="E64" s="68">
        <v>57</v>
      </c>
      <c r="F64" s="68">
        <v>164.9</v>
      </c>
      <c r="G64" s="68">
        <v>0</v>
      </c>
      <c r="H64" s="68">
        <v>1542.3</v>
      </c>
      <c r="I64" s="68">
        <v>1093.0999999999999</v>
      </c>
      <c r="J64" s="68">
        <v>1866.8</v>
      </c>
      <c r="K64" s="68">
        <v>472.6</v>
      </c>
      <c r="L64" s="68">
        <v>1518.1</v>
      </c>
      <c r="M64" s="69">
        <v>29683.599999999999</v>
      </c>
      <c r="N64" s="68"/>
      <c r="O64" s="70"/>
      <c r="P64" s="66"/>
    </row>
    <row r="65" spans="1:16" ht="17.25" hidden="1" customHeight="1">
      <c r="A65" s="82"/>
      <c r="B65" s="63"/>
      <c r="C65" s="69"/>
      <c r="D65" s="68"/>
      <c r="E65" s="68"/>
      <c r="F65" s="68"/>
      <c r="G65" s="68"/>
      <c r="H65" s="68" t="s">
        <v>296</v>
      </c>
      <c r="I65" s="68"/>
      <c r="J65" s="68"/>
      <c r="K65" s="68"/>
      <c r="L65" s="68"/>
      <c r="M65" s="69"/>
      <c r="N65" s="68"/>
      <c r="O65" s="66"/>
      <c r="P65" s="66"/>
    </row>
    <row r="66" spans="1:16" ht="17.25" hidden="1" customHeight="1">
      <c r="A66" s="82"/>
      <c r="B66" s="63" t="s">
        <v>311</v>
      </c>
      <c r="C66" s="69">
        <v>21630.6</v>
      </c>
      <c r="D66" s="68">
        <v>197.6</v>
      </c>
      <c r="E66" s="68">
        <v>8.4</v>
      </c>
      <c r="F66" s="68">
        <v>214.7</v>
      </c>
      <c r="G66" s="68">
        <v>0</v>
      </c>
      <c r="H66" s="68">
        <v>1631.2</v>
      </c>
      <c r="I66" s="68">
        <v>1219.3</v>
      </c>
      <c r="J66" s="68">
        <v>1914.8</v>
      </c>
      <c r="K66" s="68">
        <v>464.7</v>
      </c>
      <c r="L66" s="68">
        <v>1539</v>
      </c>
      <c r="M66" s="69">
        <v>28820.400000000001</v>
      </c>
      <c r="N66" s="68"/>
      <c r="O66" s="70"/>
      <c r="P66" s="66"/>
    </row>
    <row r="67" spans="1:16" ht="17.25" hidden="1" customHeight="1">
      <c r="A67" s="82"/>
      <c r="B67" s="59"/>
      <c r="C67" s="69"/>
      <c r="D67" s="68"/>
      <c r="E67" s="68"/>
      <c r="F67" s="68"/>
      <c r="G67" s="68"/>
      <c r="H67" s="68"/>
      <c r="I67" s="68" t="s">
        <v>296</v>
      </c>
      <c r="J67" s="68"/>
      <c r="K67" s="68"/>
      <c r="L67" s="68"/>
      <c r="M67" s="69"/>
      <c r="N67" s="65"/>
      <c r="O67" s="66"/>
      <c r="P67" s="66"/>
    </row>
    <row r="68" spans="1:16" ht="17.25" hidden="1" customHeight="1">
      <c r="A68" s="82"/>
      <c r="B68" s="57" t="s">
        <v>313</v>
      </c>
      <c r="C68" s="69"/>
      <c r="D68" s="68"/>
      <c r="E68" s="68"/>
      <c r="F68" s="68"/>
      <c r="G68" s="68"/>
      <c r="H68" s="68"/>
      <c r="I68" s="68" t="s">
        <v>296</v>
      </c>
      <c r="J68" s="68"/>
      <c r="K68" s="68"/>
      <c r="L68" s="68"/>
      <c r="M68" s="69"/>
      <c r="N68" s="65"/>
      <c r="O68" s="66"/>
      <c r="P68" s="66"/>
    </row>
    <row r="69" spans="1:16" ht="17.25" hidden="1" customHeight="1">
      <c r="A69" s="82"/>
      <c r="B69" s="59"/>
      <c r="C69" s="69"/>
      <c r="D69" s="68"/>
      <c r="E69" s="68"/>
      <c r="F69" s="68"/>
      <c r="G69" s="68"/>
      <c r="H69" s="68"/>
      <c r="I69" s="68" t="s">
        <v>296</v>
      </c>
      <c r="J69" s="68"/>
      <c r="K69" s="68"/>
      <c r="L69" s="68"/>
      <c r="M69" s="69"/>
      <c r="N69" s="65"/>
      <c r="O69" s="66"/>
      <c r="P69" s="66"/>
    </row>
    <row r="70" spans="1:16" ht="17.25" hidden="1" customHeight="1">
      <c r="A70" s="82"/>
      <c r="B70" s="63" t="s">
        <v>298</v>
      </c>
      <c r="C70" s="88">
        <v>21727.1</v>
      </c>
      <c r="D70" s="87">
        <v>402.9</v>
      </c>
      <c r="E70" s="87">
        <v>5.2</v>
      </c>
      <c r="F70" s="87">
        <v>319.7</v>
      </c>
      <c r="G70" s="87">
        <v>0</v>
      </c>
      <c r="H70" s="87">
        <v>1604.6</v>
      </c>
      <c r="I70" s="87">
        <v>1256.9000000000001</v>
      </c>
      <c r="J70" s="87">
        <v>1973.7</v>
      </c>
      <c r="K70" s="87">
        <v>474.7</v>
      </c>
      <c r="L70" s="87">
        <v>1611.2</v>
      </c>
      <c r="M70" s="88">
        <v>29376</v>
      </c>
      <c r="N70" s="68"/>
      <c r="O70" s="70"/>
      <c r="P70" s="70"/>
    </row>
    <row r="71" spans="1:16" ht="17.25" hidden="1" customHeight="1">
      <c r="A71" s="82"/>
      <c r="B71" s="63"/>
      <c r="C71" s="88"/>
      <c r="D71" s="87"/>
      <c r="E71" s="87"/>
      <c r="F71" s="87"/>
      <c r="G71" s="87"/>
      <c r="H71" s="87"/>
      <c r="I71" s="87" t="s">
        <v>296</v>
      </c>
      <c r="J71" s="87"/>
      <c r="K71" s="87"/>
      <c r="L71" s="87"/>
      <c r="M71" s="88"/>
      <c r="N71" s="68"/>
      <c r="O71" s="66"/>
      <c r="P71" s="66"/>
    </row>
    <row r="72" spans="1:16" ht="17.25" hidden="1" customHeight="1">
      <c r="A72" s="82"/>
      <c r="B72" s="63" t="s">
        <v>299</v>
      </c>
      <c r="C72" s="88">
        <v>20822.8</v>
      </c>
      <c r="D72" s="87">
        <v>500.1</v>
      </c>
      <c r="E72" s="87">
        <v>3.7</v>
      </c>
      <c r="F72" s="87">
        <v>152.1</v>
      </c>
      <c r="G72" s="87">
        <v>0</v>
      </c>
      <c r="H72" s="87">
        <v>1628.6</v>
      </c>
      <c r="I72" s="87">
        <v>1102.2</v>
      </c>
      <c r="J72" s="87">
        <v>2023.3</v>
      </c>
      <c r="K72" s="87">
        <v>485.5</v>
      </c>
      <c r="L72" s="87">
        <v>1634.1</v>
      </c>
      <c r="M72" s="88">
        <v>28352.400000000001</v>
      </c>
      <c r="N72" s="68"/>
      <c r="O72" s="70"/>
      <c r="P72" s="70"/>
    </row>
    <row r="73" spans="1:16" ht="17.25" hidden="1" customHeight="1">
      <c r="A73" s="82"/>
      <c r="B73" s="63"/>
      <c r="C73" s="88"/>
      <c r="D73" s="87"/>
      <c r="E73" s="87"/>
      <c r="F73" s="87"/>
      <c r="G73" s="87"/>
      <c r="H73" s="87" t="s">
        <v>296</v>
      </c>
      <c r="I73" s="87" t="s">
        <v>296</v>
      </c>
      <c r="J73" s="87"/>
      <c r="K73" s="87"/>
      <c r="L73" s="87"/>
      <c r="M73" s="88"/>
      <c r="N73" s="68"/>
      <c r="O73" s="66"/>
      <c r="P73" s="66"/>
    </row>
    <row r="74" spans="1:16" ht="17.25" hidden="1" customHeight="1">
      <c r="A74" s="82"/>
      <c r="B74" s="63" t="s">
        <v>300</v>
      </c>
      <c r="C74" s="88">
        <v>21444.7</v>
      </c>
      <c r="D74" s="87">
        <v>510.7</v>
      </c>
      <c r="E74" s="87">
        <v>3.9</v>
      </c>
      <c r="F74" s="87">
        <v>171.6</v>
      </c>
      <c r="G74" s="87">
        <v>0</v>
      </c>
      <c r="H74" s="87">
        <v>699.9</v>
      </c>
      <c r="I74" s="87">
        <v>1717.6</v>
      </c>
      <c r="J74" s="87">
        <v>2081.4</v>
      </c>
      <c r="K74" s="87">
        <v>478.2</v>
      </c>
      <c r="L74" s="87">
        <v>1658.8</v>
      </c>
      <c r="M74" s="88">
        <v>28766.6</v>
      </c>
      <c r="N74" s="68"/>
      <c r="O74" s="70"/>
      <c r="P74" s="66"/>
    </row>
    <row r="75" spans="1:16" ht="17.25" hidden="1" customHeight="1">
      <c r="A75" s="82"/>
      <c r="B75" s="63"/>
      <c r="C75" s="88"/>
      <c r="D75" s="87"/>
      <c r="E75" s="87"/>
      <c r="F75" s="87"/>
      <c r="G75" s="87"/>
      <c r="H75" s="87" t="s">
        <v>296</v>
      </c>
      <c r="I75" s="87" t="s">
        <v>296</v>
      </c>
      <c r="J75" s="87"/>
      <c r="K75" s="87"/>
      <c r="L75" s="87"/>
      <c r="M75" s="88"/>
      <c r="N75" s="68"/>
      <c r="O75" s="66"/>
      <c r="P75" s="66"/>
    </row>
    <row r="76" spans="1:16" ht="17.25" hidden="1" customHeight="1">
      <c r="A76" s="82"/>
      <c r="B76" s="63" t="s">
        <v>301</v>
      </c>
      <c r="C76" s="88">
        <v>23435</v>
      </c>
      <c r="D76" s="87">
        <v>628</v>
      </c>
      <c r="E76" s="87">
        <v>4.0999999999999996</v>
      </c>
      <c r="F76" s="87">
        <v>94.4</v>
      </c>
      <c r="G76" s="87">
        <v>0</v>
      </c>
      <c r="H76" s="87">
        <v>272.7</v>
      </c>
      <c r="I76" s="87">
        <v>1707.8</v>
      </c>
      <c r="J76" s="87">
        <v>2137.9</v>
      </c>
      <c r="K76" s="87">
        <v>469.8</v>
      </c>
      <c r="L76" s="87">
        <v>1678.1</v>
      </c>
      <c r="M76" s="88">
        <v>30427.8</v>
      </c>
      <c r="N76" s="68"/>
      <c r="O76" s="70"/>
      <c r="P76" s="66"/>
    </row>
    <row r="77" spans="1:16" ht="17.25" hidden="1" customHeight="1">
      <c r="A77" s="82"/>
      <c r="B77" s="63"/>
      <c r="C77" s="88"/>
      <c r="D77" s="87"/>
      <c r="E77" s="87"/>
      <c r="F77" s="87"/>
      <c r="G77" s="87"/>
      <c r="H77" s="87" t="s">
        <v>296</v>
      </c>
      <c r="I77" s="87" t="s">
        <v>296</v>
      </c>
      <c r="J77" s="87"/>
      <c r="K77" s="87"/>
      <c r="L77" s="87"/>
      <c r="M77" s="88"/>
      <c r="N77" s="68"/>
      <c r="O77" s="66"/>
      <c r="P77" s="66"/>
    </row>
    <row r="78" spans="1:16" ht="17.25" hidden="1" customHeight="1">
      <c r="A78" s="82"/>
      <c r="B78" s="63" t="s">
        <v>302</v>
      </c>
      <c r="C78" s="88">
        <v>23471.9</v>
      </c>
      <c r="D78" s="87">
        <v>515.1</v>
      </c>
      <c r="E78" s="87">
        <v>2.5</v>
      </c>
      <c r="F78" s="87">
        <v>193.7</v>
      </c>
      <c r="G78" s="87">
        <v>0</v>
      </c>
      <c r="H78" s="87">
        <v>813.8</v>
      </c>
      <c r="I78" s="87">
        <v>1156.5999999999999</v>
      </c>
      <c r="J78" s="87">
        <v>2211.3000000000002</v>
      </c>
      <c r="K78" s="87">
        <v>480</v>
      </c>
      <c r="L78" s="87">
        <v>1706.7</v>
      </c>
      <c r="M78" s="88">
        <v>30551.4</v>
      </c>
      <c r="N78" s="68"/>
      <c r="O78" s="70"/>
      <c r="P78" s="66"/>
    </row>
    <row r="79" spans="1:16" ht="17.25" hidden="1" customHeight="1">
      <c r="A79" s="82"/>
      <c r="B79" s="63"/>
      <c r="C79" s="88"/>
      <c r="D79" s="87"/>
      <c r="E79" s="87"/>
      <c r="F79" s="87"/>
      <c r="G79" s="87"/>
      <c r="H79" s="87"/>
      <c r="I79" s="87" t="s">
        <v>296</v>
      </c>
      <c r="J79" s="87"/>
      <c r="K79" s="87"/>
      <c r="L79" s="87"/>
      <c r="M79" s="88"/>
      <c r="N79" s="68"/>
      <c r="O79" s="66"/>
      <c r="P79" s="66"/>
    </row>
    <row r="80" spans="1:16" ht="17.25" hidden="1" customHeight="1">
      <c r="A80" s="82"/>
      <c r="B80" s="63" t="s">
        <v>303</v>
      </c>
      <c r="C80" s="88">
        <v>22908.799999999999</v>
      </c>
      <c r="D80" s="87">
        <v>583.9</v>
      </c>
      <c r="E80" s="87">
        <v>3.4</v>
      </c>
      <c r="F80" s="87">
        <v>304.89999999999998</v>
      </c>
      <c r="G80" s="87">
        <v>0</v>
      </c>
      <c r="H80" s="87">
        <v>990.7</v>
      </c>
      <c r="I80" s="87">
        <v>1697.1</v>
      </c>
      <c r="J80" s="87">
        <v>2297.1999999999998</v>
      </c>
      <c r="K80" s="87">
        <v>482.6</v>
      </c>
      <c r="L80" s="87">
        <v>1753.4</v>
      </c>
      <c r="M80" s="88">
        <v>31022.1</v>
      </c>
      <c r="N80" s="68"/>
      <c r="O80" s="70"/>
      <c r="P80" s="66"/>
    </row>
    <row r="81" spans="1:16" ht="17.25" hidden="1" customHeight="1">
      <c r="A81" s="82"/>
      <c r="B81" s="63"/>
      <c r="C81" s="88"/>
      <c r="D81" s="87"/>
      <c r="E81" s="87"/>
      <c r="F81" s="87"/>
      <c r="G81" s="87"/>
      <c r="H81" s="87" t="s">
        <v>296</v>
      </c>
      <c r="I81" s="87" t="s">
        <v>296</v>
      </c>
      <c r="J81" s="87"/>
      <c r="K81" s="87"/>
      <c r="L81" s="87"/>
      <c r="M81" s="88"/>
      <c r="N81" s="68"/>
      <c r="O81" s="66"/>
      <c r="P81" s="66"/>
    </row>
    <row r="82" spans="1:16" ht="17.25" hidden="1" customHeight="1">
      <c r="A82" s="82"/>
      <c r="B82" s="63" t="s">
        <v>304</v>
      </c>
      <c r="C82" s="88">
        <v>26009.4</v>
      </c>
      <c r="D82" s="87">
        <v>595.1</v>
      </c>
      <c r="E82" s="87">
        <v>2.8</v>
      </c>
      <c r="F82" s="87">
        <v>249.4</v>
      </c>
      <c r="G82" s="87">
        <v>0</v>
      </c>
      <c r="H82" s="87">
        <v>1250.0999999999999</v>
      </c>
      <c r="I82" s="87">
        <v>1279.5</v>
      </c>
      <c r="J82" s="87">
        <v>2394.1</v>
      </c>
      <c r="K82" s="87">
        <v>490.5</v>
      </c>
      <c r="L82" s="87">
        <v>1848.1</v>
      </c>
      <c r="M82" s="88">
        <v>34119</v>
      </c>
      <c r="N82" s="68"/>
      <c r="O82" s="70"/>
      <c r="P82" s="66"/>
    </row>
    <row r="83" spans="1:16" ht="17.25" hidden="1" customHeight="1">
      <c r="A83" s="82"/>
      <c r="B83" s="63"/>
      <c r="C83" s="88"/>
      <c r="D83" s="87"/>
      <c r="E83" s="87"/>
      <c r="F83" s="87"/>
      <c r="G83" s="87"/>
      <c r="H83" s="87" t="s">
        <v>296</v>
      </c>
      <c r="I83" s="87" t="s">
        <v>296</v>
      </c>
      <c r="J83" s="87"/>
      <c r="K83" s="87"/>
      <c r="L83" s="87"/>
      <c r="M83" s="88"/>
      <c r="N83" s="68"/>
      <c r="O83" s="66"/>
      <c r="P83" s="66"/>
    </row>
    <row r="84" spans="1:16" ht="17.25" hidden="1" customHeight="1">
      <c r="A84" s="82"/>
      <c r="B84" s="63" t="s">
        <v>305</v>
      </c>
      <c r="C84" s="88">
        <v>25727.3</v>
      </c>
      <c r="D84" s="87">
        <v>495.7</v>
      </c>
      <c r="E84" s="87">
        <v>2.6</v>
      </c>
      <c r="F84" s="87">
        <v>226.7</v>
      </c>
      <c r="G84" s="87">
        <v>0</v>
      </c>
      <c r="H84" s="87">
        <v>1190.5999999999999</v>
      </c>
      <c r="I84" s="87">
        <v>1839.1</v>
      </c>
      <c r="J84" s="87">
        <v>2502.8000000000002</v>
      </c>
      <c r="K84" s="87">
        <v>507.5</v>
      </c>
      <c r="L84" s="87">
        <v>1903.9</v>
      </c>
      <c r="M84" s="88">
        <v>34396.400000000001</v>
      </c>
      <c r="N84" s="68"/>
      <c r="O84" s="70"/>
      <c r="P84" s="66"/>
    </row>
    <row r="85" spans="1:16" ht="17.25" hidden="1" customHeight="1">
      <c r="A85" s="82"/>
      <c r="B85" s="63"/>
      <c r="C85" s="88"/>
      <c r="D85" s="87"/>
      <c r="E85" s="87"/>
      <c r="F85" s="87"/>
      <c r="G85" s="87"/>
      <c r="H85" s="87" t="s">
        <v>296</v>
      </c>
      <c r="I85" s="87" t="s">
        <v>296</v>
      </c>
      <c r="J85" s="87"/>
      <c r="K85" s="87"/>
      <c r="L85" s="87"/>
      <c r="M85" s="88"/>
      <c r="N85" s="68"/>
      <c r="O85" s="66"/>
      <c r="P85" s="66"/>
    </row>
    <row r="86" spans="1:16" ht="17.25" hidden="1" customHeight="1">
      <c r="A86" s="82"/>
      <c r="B86" s="63" t="s">
        <v>306</v>
      </c>
      <c r="C86" s="88">
        <v>27796.5</v>
      </c>
      <c r="D86" s="87">
        <v>494.8</v>
      </c>
      <c r="E86" s="87">
        <v>2.9</v>
      </c>
      <c r="F86" s="87">
        <v>234.8</v>
      </c>
      <c r="G86" s="87">
        <v>0</v>
      </c>
      <c r="H86" s="87">
        <v>1251.0999999999999</v>
      </c>
      <c r="I86" s="87">
        <v>1363.7</v>
      </c>
      <c r="J86" s="87">
        <v>2618.5</v>
      </c>
      <c r="K86" s="87">
        <v>499.7</v>
      </c>
      <c r="L86" s="87">
        <v>1951.4</v>
      </c>
      <c r="M86" s="88">
        <v>36213.5</v>
      </c>
      <c r="N86" s="68"/>
      <c r="O86" s="70"/>
      <c r="P86" s="66"/>
    </row>
    <row r="87" spans="1:16" ht="17.25" hidden="1" customHeight="1">
      <c r="A87" s="82"/>
      <c r="B87" s="63"/>
      <c r="C87" s="88"/>
      <c r="D87" s="87"/>
      <c r="E87" s="87"/>
      <c r="F87" s="87"/>
      <c r="G87" s="87"/>
      <c r="H87" s="87"/>
      <c r="I87" s="87" t="s">
        <v>296</v>
      </c>
      <c r="J87" s="87"/>
      <c r="K87" s="87"/>
      <c r="L87" s="87"/>
      <c r="M87" s="88"/>
      <c r="N87" s="68"/>
      <c r="O87" s="66"/>
      <c r="P87" s="66"/>
    </row>
    <row r="88" spans="1:16" ht="17.25" hidden="1" customHeight="1">
      <c r="A88" s="82"/>
      <c r="B88" s="63" t="s">
        <v>307</v>
      </c>
      <c r="C88" s="88">
        <v>25171.1</v>
      </c>
      <c r="D88" s="87">
        <v>733.1</v>
      </c>
      <c r="E88" s="87">
        <v>1.6</v>
      </c>
      <c r="F88" s="87">
        <f>259.2-2</f>
        <v>257.2</v>
      </c>
      <c r="G88" s="87">
        <v>2</v>
      </c>
      <c r="H88" s="87">
        <v>1228.9000000000001</v>
      </c>
      <c r="I88" s="87">
        <v>1175.2</v>
      </c>
      <c r="J88" s="87">
        <v>2764.4</v>
      </c>
      <c r="K88" s="87">
        <v>539.9</v>
      </c>
      <c r="L88" s="87">
        <v>2025.8</v>
      </c>
      <c r="M88" s="88">
        <v>33899.199999999997</v>
      </c>
      <c r="N88" s="68"/>
      <c r="O88" s="70"/>
      <c r="P88" s="66"/>
    </row>
    <row r="89" spans="1:16" ht="17.25" hidden="1" customHeight="1">
      <c r="A89" s="82"/>
      <c r="B89" s="63"/>
      <c r="C89" s="88"/>
      <c r="D89" s="87"/>
      <c r="E89" s="87"/>
      <c r="F89" s="87"/>
      <c r="G89" s="87"/>
      <c r="H89" s="87" t="s">
        <v>296</v>
      </c>
      <c r="I89" s="87"/>
      <c r="J89" s="87"/>
      <c r="K89" s="87"/>
      <c r="L89" s="87"/>
      <c r="M89" s="88"/>
      <c r="N89" s="68"/>
      <c r="O89" s="66"/>
      <c r="P89" s="66"/>
    </row>
    <row r="90" spans="1:16" ht="17.25" hidden="1" customHeight="1">
      <c r="A90" s="82"/>
      <c r="B90" s="63" t="s">
        <v>308</v>
      </c>
      <c r="C90" s="88">
        <v>23995.7</v>
      </c>
      <c r="D90" s="87">
        <v>135.30000000000001</v>
      </c>
      <c r="E90" s="87">
        <v>0.3</v>
      </c>
      <c r="F90" s="87">
        <f>115.7-2</f>
        <v>113.7</v>
      </c>
      <c r="G90" s="87">
        <v>2</v>
      </c>
      <c r="H90" s="87">
        <v>1516.9</v>
      </c>
      <c r="I90" s="87">
        <v>2880.3</v>
      </c>
      <c r="J90" s="87">
        <v>2895</v>
      </c>
      <c r="K90" s="87">
        <v>596.6</v>
      </c>
      <c r="L90" s="87">
        <v>2084.3000000000002</v>
      </c>
      <c r="M90" s="88">
        <v>34220.300000000003</v>
      </c>
      <c r="N90" s="68"/>
      <c r="O90" s="70"/>
      <c r="P90" s="66"/>
    </row>
    <row r="91" spans="1:16" ht="17.25" hidden="1" customHeight="1">
      <c r="A91" s="82"/>
      <c r="B91" s="63"/>
      <c r="C91" s="88"/>
      <c r="D91" s="87"/>
      <c r="E91" s="87"/>
      <c r="F91" s="87"/>
      <c r="G91" s="87"/>
      <c r="H91" s="87" t="s">
        <v>296</v>
      </c>
      <c r="I91" s="87"/>
      <c r="J91" s="87"/>
      <c r="K91" s="87"/>
      <c r="L91" s="87"/>
      <c r="M91" s="88"/>
      <c r="N91" s="68"/>
      <c r="O91" s="66"/>
      <c r="P91" s="66"/>
    </row>
    <row r="92" spans="1:16" ht="17.25" hidden="1" customHeight="1">
      <c r="A92" s="82"/>
      <c r="B92" s="63" t="s">
        <v>311</v>
      </c>
      <c r="C92" s="88">
        <v>25677</v>
      </c>
      <c r="D92" s="87">
        <v>485</v>
      </c>
      <c r="E92" s="87">
        <v>0.6</v>
      </c>
      <c r="F92" s="87">
        <f>199.2-2</f>
        <v>197.2</v>
      </c>
      <c r="G92" s="87">
        <v>2</v>
      </c>
      <c r="H92" s="87">
        <v>1455.6</v>
      </c>
      <c r="I92" s="87">
        <v>3259</v>
      </c>
      <c r="J92" s="87">
        <v>3048.5</v>
      </c>
      <c r="K92" s="87">
        <v>552.29999999999995</v>
      </c>
      <c r="L92" s="87">
        <v>2134.4</v>
      </c>
      <c r="M92" s="88">
        <v>36811.599999999999</v>
      </c>
      <c r="N92" s="68"/>
      <c r="O92" s="70"/>
      <c r="P92" s="70"/>
    </row>
    <row r="93" spans="1:16" ht="17.25" hidden="1" customHeight="1">
      <c r="A93" s="82"/>
      <c r="B93" s="63"/>
      <c r="C93" s="88"/>
      <c r="D93" s="87"/>
      <c r="E93" s="87"/>
      <c r="F93" s="87"/>
      <c r="G93" s="87"/>
      <c r="H93" s="87"/>
      <c r="I93" s="87"/>
      <c r="J93" s="87"/>
      <c r="K93" s="87"/>
      <c r="L93" s="87"/>
      <c r="M93" s="88"/>
      <c r="N93" s="68"/>
      <c r="O93" s="66"/>
      <c r="P93" s="66"/>
    </row>
    <row r="94" spans="1:16" ht="17.25" hidden="1" customHeight="1">
      <c r="A94" s="82"/>
      <c r="B94" s="57" t="s">
        <v>314</v>
      </c>
      <c r="C94" s="88"/>
      <c r="D94" s="87"/>
      <c r="E94" s="87"/>
      <c r="F94" s="87"/>
      <c r="G94" s="87"/>
      <c r="H94" s="87"/>
      <c r="I94" s="87" t="s">
        <v>296</v>
      </c>
      <c r="J94" s="87"/>
      <c r="K94" s="87"/>
      <c r="L94" s="87"/>
      <c r="M94" s="88"/>
      <c r="N94" s="68"/>
      <c r="O94" s="66"/>
      <c r="P94" s="66"/>
    </row>
    <row r="95" spans="1:16" ht="17.25" hidden="1" customHeight="1">
      <c r="A95" s="82"/>
      <c r="B95" s="59"/>
      <c r="C95" s="88"/>
      <c r="D95" s="87"/>
      <c r="E95" s="87"/>
      <c r="F95" s="87"/>
      <c r="G95" s="87"/>
      <c r="H95" s="87"/>
      <c r="I95" s="87" t="s">
        <v>296</v>
      </c>
      <c r="J95" s="87"/>
      <c r="K95" s="87"/>
      <c r="L95" s="87"/>
      <c r="M95" s="88"/>
      <c r="N95" s="68"/>
      <c r="O95" s="66"/>
      <c r="P95" s="66"/>
    </row>
    <row r="96" spans="1:16" ht="17.25" hidden="1" customHeight="1">
      <c r="A96" s="82"/>
      <c r="B96" s="63" t="s">
        <v>298</v>
      </c>
      <c r="C96" s="88">
        <v>26676.6</v>
      </c>
      <c r="D96" s="87">
        <v>676.3</v>
      </c>
      <c r="E96" s="87">
        <v>0</v>
      </c>
      <c r="F96" s="87">
        <f>450.9-2</f>
        <v>448.9</v>
      </c>
      <c r="G96" s="87">
        <v>2</v>
      </c>
      <c r="H96" s="87">
        <v>1085.0999999999999</v>
      </c>
      <c r="I96" s="87">
        <v>735.2</v>
      </c>
      <c r="J96" s="87">
        <v>3170.7</v>
      </c>
      <c r="K96" s="87">
        <v>609.79999999999995</v>
      </c>
      <c r="L96" s="87">
        <v>2261.6</v>
      </c>
      <c r="M96" s="88">
        <v>35666.300000000003</v>
      </c>
      <c r="N96" s="68"/>
      <c r="O96" s="70"/>
      <c r="P96" s="66"/>
    </row>
    <row r="97" spans="1:16" ht="17.25" hidden="1" customHeight="1">
      <c r="A97" s="82"/>
      <c r="B97" s="63"/>
      <c r="C97" s="88"/>
      <c r="D97" s="87"/>
      <c r="E97" s="87"/>
      <c r="F97" s="87"/>
      <c r="G97" s="87"/>
      <c r="H97" s="87"/>
      <c r="I97" s="87"/>
      <c r="J97" s="87"/>
      <c r="K97" s="87"/>
      <c r="L97" s="87"/>
      <c r="M97" s="88"/>
      <c r="N97" s="68"/>
      <c r="O97" s="66"/>
      <c r="P97" s="66"/>
    </row>
    <row r="98" spans="1:16" ht="17.25" hidden="1" customHeight="1">
      <c r="A98" s="82"/>
      <c r="B98" s="63" t="s">
        <v>299</v>
      </c>
      <c r="C98" s="88">
        <v>27286.6</v>
      </c>
      <c r="D98" s="87">
        <v>646</v>
      </c>
      <c r="E98" s="87">
        <v>0</v>
      </c>
      <c r="F98" s="87">
        <f>128.5-2</f>
        <v>126.5</v>
      </c>
      <c r="G98" s="87">
        <v>2</v>
      </c>
      <c r="H98" s="87">
        <v>875.8</v>
      </c>
      <c r="I98" s="87">
        <v>720.6</v>
      </c>
      <c r="J98" s="87">
        <v>3267</v>
      </c>
      <c r="K98" s="87">
        <v>644.5</v>
      </c>
      <c r="L98" s="87">
        <v>2309.1</v>
      </c>
      <c r="M98" s="88">
        <v>35878.199999999997</v>
      </c>
      <c r="N98" s="68"/>
      <c r="O98" s="70"/>
      <c r="P98" s="66"/>
    </row>
    <row r="99" spans="1:16" ht="17.25" hidden="1" customHeight="1">
      <c r="A99" s="82"/>
      <c r="B99" s="63"/>
      <c r="C99" s="88"/>
      <c r="D99" s="87"/>
      <c r="E99" s="87"/>
      <c r="F99" s="87"/>
      <c r="G99" s="87"/>
      <c r="H99" s="87"/>
      <c r="I99" s="87" t="s">
        <v>296</v>
      </c>
      <c r="J99" s="87"/>
      <c r="K99" s="87"/>
      <c r="L99" s="87"/>
      <c r="M99" s="88"/>
      <c r="N99" s="68"/>
      <c r="O99" s="66"/>
      <c r="P99" s="66"/>
    </row>
    <row r="100" spans="1:16" ht="17.25" hidden="1" customHeight="1">
      <c r="A100" s="82"/>
      <c r="B100" s="63" t="s">
        <v>300</v>
      </c>
      <c r="C100" s="88">
        <v>27794.7</v>
      </c>
      <c r="D100" s="87">
        <v>381.8</v>
      </c>
      <c r="E100" s="87">
        <v>0</v>
      </c>
      <c r="F100" s="87">
        <f>198.9-2.1</f>
        <v>196.8</v>
      </c>
      <c r="G100" s="87">
        <v>2.1</v>
      </c>
      <c r="H100" s="87">
        <v>1121.3</v>
      </c>
      <c r="I100" s="87">
        <v>1329.6</v>
      </c>
      <c r="J100" s="87">
        <v>3360.1</v>
      </c>
      <c r="K100" s="87">
        <v>638.4</v>
      </c>
      <c r="L100" s="87">
        <v>2354.6999999999998</v>
      </c>
      <c r="M100" s="88">
        <v>37179.300000000003</v>
      </c>
      <c r="N100" s="68"/>
      <c r="O100" s="70"/>
      <c r="P100" s="66"/>
    </row>
    <row r="101" spans="1:16" ht="17.25" hidden="1" customHeight="1">
      <c r="A101" s="82"/>
      <c r="B101" s="63"/>
      <c r="C101" s="88"/>
      <c r="D101" s="87"/>
      <c r="E101" s="87"/>
      <c r="F101" s="87"/>
      <c r="G101" s="87"/>
      <c r="H101" s="87" t="s">
        <v>296</v>
      </c>
      <c r="I101" s="87" t="s">
        <v>296</v>
      </c>
      <c r="J101" s="87"/>
      <c r="K101" s="87"/>
      <c r="L101" s="87"/>
      <c r="M101" s="88"/>
      <c r="N101" s="68"/>
      <c r="O101" s="66"/>
      <c r="P101" s="66"/>
    </row>
    <row r="102" spans="1:16" ht="17.25" hidden="1" customHeight="1">
      <c r="A102" s="82"/>
      <c r="B102" s="63" t="s">
        <v>301</v>
      </c>
      <c r="C102" s="88">
        <v>29520.3</v>
      </c>
      <c r="D102" s="87">
        <v>433</v>
      </c>
      <c r="E102" s="87">
        <v>0</v>
      </c>
      <c r="F102" s="87">
        <f>184.9-2.1</f>
        <v>182.8</v>
      </c>
      <c r="G102" s="87">
        <v>2.1</v>
      </c>
      <c r="H102" s="87">
        <v>1148.8</v>
      </c>
      <c r="I102" s="87">
        <v>1190.5</v>
      </c>
      <c r="J102" s="87">
        <v>3459.9</v>
      </c>
      <c r="K102" s="87">
        <v>641.6</v>
      </c>
      <c r="L102" s="87">
        <v>2380.5</v>
      </c>
      <c r="M102" s="88">
        <v>38959.5</v>
      </c>
      <c r="N102" s="68"/>
      <c r="O102" s="70"/>
      <c r="P102" s="70"/>
    </row>
    <row r="103" spans="1:16" ht="17.25" hidden="1" customHeight="1">
      <c r="A103" s="82"/>
      <c r="B103" s="63"/>
      <c r="C103" s="88"/>
      <c r="D103" s="87"/>
      <c r="E103" s="87"/>
      <c r="F103" s="87"/>
      <c r="G103" s="87"/>
      <c r="H103" s="87"/>
      <c r="I103" s="87" t="s">
        <v>296</v>
      </c>
      <c r="J103" s="87"/>
      <c r="K103" s="87"/>
      <c r="L103" s="87"/>
      <c r="M103" s="88"/>
      <c r="N103" s="68"/>
      <c r="O103" s="66"/>
      <c r="P103" s="66"/>
    </row>
    <row r="104" spans="1:16" ht="17.25" hidden="1" customHeight="1">
      <c r="A104" s="82"/>
      <c r="B104" s="63" t="s">
        <v>302</v>
      </c>
      <c r="C104" s="88">
        <v>29967.7</v>
      </c>
      <c r="D104" s="87">
        <v>545</v>
      </c>
      <c r="E104" s="87">
        <v>0.4</v>
      </c>
      <c r="F104" s="87">
        <v>220.1</v>
      </c>
      <c r="G104" s="87">
        <v>0</v>
      </c>
      <c r="H104" s="87">
        <v>977.5</v>
      </c>
      <c r="I104" s="87">
        <v>687.4</v>
      </c>
      <c r="J104" s="87">
        <v>3535</v>
      </c>
      <c r="K104" s="87">
        <v>653.1</v>
      </c>
      <c r="L104" s="87">
        <v>2410.3000000000002</v>
      </c>
      <c r="M104" s="88">
        <v>38996.400000000001</v>
      </c>
      <c r="N104" s="68"/>
      <c r="O104" s="70"/>
      <c r="P104" s="66"/>
    </row>
    <row r="105" spans="1:16" ht="17.25" hidden="1" customHeight="1">
      <c r="A105" s="82"/>
      <c r="B105" s="63"/>
      <c r="C105" s="88"/>
      <c r="D105" s="87"/>
      <c r="E105" s="87"/>
      <c r="F105" s="87"/>
      <c r="G105" s="87"/>
      <c r="H105" s="87"/>
      <c r="I105" s="87"/>
      <c r="J105" s="87"/>
      <c r="K105" s="87"/>
      <c r="L105" s="87"/>
      <c r="M105" s="88"/>
      <c r="N105" s="68"/>
      <c r="O105" s="66"/>
      <c r="P105" s="66"/>
    </row>
    <row r="106" spans="1:16" ht="17.25" hidden="1" customHeight="1">
      <c r="A106" s="82"/>
      <c r="B106" s="63" t="s">
        <v>303</v>
      </c>
      <c r="C106" s="88">
        <v>29347.3</v>
      </c>
      <c r="D106" s="87">
        <v>489.7</v>
      </c>
      <c r="E106" s="87">
        <v>0.3</v>
      </c>
      <c r="F106" s="87">
        <v>208.8</v>
      </c>
      <c r="G106" s="87">
        <v>0</v>
      </c>
      <c r="H106" s="87">
        <v>1030</v>
      </c>
      <c r="I106" s="87">
        <v>1194.4000000000001</v>
      </c>
      <c r="J106" s="87">
        <v>3587.1</v>
      </c>
      <c r="K106" s="87">
        <v>646.29999999999995</v>
      </c>
      <c r="L106" s="87">
        <v>2428.5</v>
      </c>
      <c r="M106" s="88">
        <v>38932.5</v>
      </c>
      <c r="N106" s="68"/>
      <c r="O106" s="70"/>
      <c r="P106" s="66"/>
    </row>
    <row r="107" spans="1:16" ht="17.25" hidden="1" customHeight="1">
      <c r="A107" s="82"/>
      <c r="B107" s="63"/>
      <c r="C107" s="88"/>
      <c r="D107" s="87"/>
      <c r="E107" s="87"/>
      <c r="F107" s="87"/>
      <c r="G107" s="87"/>
      <c r="H107" s="87"/>
      <c r="I107" s="87"/>
      <c r="J107" s="87"/>
      <c r="K107" s="87"/>
      <c r="L107" s="87"/>
      <c r="M107" s="88"/>
      <c r="N107" s="65"/>
      <c r="O107" s="66"/>
      <c r="P107" s="66"/>
    </row>
    <row r="108" spans="1:16" ht="17.25" hidden="1" customHeight="1">
      <c r="B108" s="63" t="s">
        <v>304</v>
      </c>
      <c r="C108" s="88">
        <v>27894.3</v>
      </c>
      <c r="D108" s="87">
        <v>420.5</v>
      </c>
      <c r="E108" s="87">
        <v>0</v>
      </c>
      <c r="F108" s="87">
        <v>217.3</v>
      </c>
      <c r="G108" s="87">
        <v>0</v>
      </c>
      <c r="H108" s="87">
        <v>2272.9</v>
      </c>
      <c r="I108" s="87">
        <v>2117.1</v>
      </c>
      <c r="J108" s="87">
        <v>3662.2</v>
      </c>
      <c r="K108" s="87">
        <v>663</v>
      </c>
      <c r="L108" s="87">
        <v>2472.8000000000002</v>
      </c>
      <c r="M108" s="88">
        <v>39720.199999999997</v>
      </c>
      <c r="N108" s="68"/>
      <c r="O108" s="70"/>
      <c r="P108" s="66"/>
    </row>
    <row r="109" spans="1:16" ht="17.25" hidden="1" customHeight="1">
      <c r="B109" s="63"/>
      <c r="C109" s="88"/>
      <c r="D109" s="87"/>
      <c r="E109" s="87"/>
      <c r="F109" s="87"/>
      <c r="G109" s="87"/>
      <c r="H109" s="87"/>
      <c r="I109" s="87"/>
      <c r="J109" s="87"/>
      <c r="K109" s="87"/>
      <c r="L109" s="87"/>
      <c r="M109" s="88"/>
      <c r="N109" s="68"/>
      <c r="O109" s="70"/>
      <c r="P109" s="66"/>
    </row>
    <row r="110" spans="1:16" ht="17.25" hidden="1" customHeight="1">
      <c r="B110" s="63" t="s">
        <v>305</v>
      </c>
      <c r="C110" s="88">
        <v>29353.7</v>
      </c>
      <c r="D110" s="87">
        <v>356.4</v>
      </c>
      <c r="E110" s="87">
        <v>0</v>
      </c>
      <c r="F110" s="87">
        <v>216.7</v>
      </c>
      <c r="G110" s="87">
        <v>0</v>
      </c>
      <c r="H110" s="87">
        <v>2046</v>
      </c>
      <c r="I110" s="87">
        <v>1224.3</v>
      </c>
      <c r="J110" s="87">
        <v>3723.5</v>
      </c>
      <c r="K110" s="87">
        <v>685.5</v>
      </c>
      <c r="L110" s="87">
        <v>2512.8000000000002</v>
      </c>
      <c r="M110" s="88">
        <v>40119.1</v>
      </c>
      <c r="N110" s="68"/>
      <c r="O110" s="70"/>
      <c r="P110" s="66"/>
    </row>
    <row r="111" spans="1:16" ht="17.25" hidden="1" customHeight="1">
      <c r="B111" s="63"/>
      <c r="C111" s="88"/>
      <c r="D111" s="87"/>
      <c r="E111" s="87"/>
      <c r="F111" s="87"/>
      <c r="G111" s="87"/>
      <c r="H111" s="87"/>
      <c r="I111" s="87"/>
      <c r="J111" s="87"/>
      <c r="K111" s="87"/>
      <c r="L111" s="87"/>
      <c r="M111" s="88"/>
      <c r="N111" s="68"/>
      <c r="O111" s="70"/>
      <c r="P111" s="66"/>
    </row>
    <row r="112" spans="1:16" ht="17.25" hidden="1" customHeight="1">
      <c r="B112" s="63" t="s">
        <v>306</v>
      </c>
      <c r="C112" s="88">
        <v>31254.7</v>
      </c>
      <c r="D112" s="87">
        <v>269</v>
      </c>
      <c r="E112" s="87">
        <v>0</v>
      </c>
      <c r="F112" s="87">
        <v>192</v>
      </c>
      <c r="G112" s="87">
        <v>0</v>
      </c>
      <c r="H112" s="87">
        <v>1336.1</v>
      </c>
      <c r="I112" s="87">
        <v>1051.3</v>
      </c>
      <c r="J112" s="87">
        <v>3791.1</v>
      </c>
      <c r="K112" s="87">
        <v>631.5</v>
      </c>
      <c r="L112" s="87">
        <v>2521.1</v>
      </c>
      <c r="M112" s="88">
        <v>41046.9</v>
      </c>
      <c r="N112" s="68"/>
      <c r="O112" s="70"/>
      <c r="P112" s="66"/>
    </row>
    <row r="113" spans="2:16" ht="17.25" hidden="1" customHeight="1">
      <c r="B113" s="63"/>
      <c r="C113" s="88"/>
      <c r="D113" s="87"/>
      <c r="E113" s="87"/>
      <c r="F113" s="87"/>
      <c r="G113" s="87"/>
      <c r="H113" s="87"/>
      <c r="I113" s="87"/>
      <c r="J113" s="87"/>
      <c r="K113" s="87"/>
      <c r="L113" s="87"/>
      <c r="M113" s="88"/>
      <c r="N113" s="68"/>
      <c r="O113" s="70"/>
      <c r="P113" s="66"/>
    </row>
    <row r="114" spans="2:16" ht="17.25" hidden="1" customHeight="1">
      <c r="B114" s="63" t="s">
        <v>307</v>
      </c>
      <c r="C114" s="88">
        <v>31746.2</v>
      </c>
      <c r="D114" s="87">
        <v>245.3</v>
      </c>
      <c r="E114" s="87">
        <v>0</v>
      </c>
      <c r="F114" s="87">
        <v>296.5</v>
      </c>
      <c r="G114" s="87">
        <v>0</v>
      </c>
      <c r="H114" s="87">
        <v>1934.7</v>
      </c>
      <c r="I114" s="87">
        <v>1871.2</v>
      </c>
      <c r="J114" s="87">
        <v>3873.8</v>
      </c>
      <c r="K114" s="87">
        <v>759.6</v>
      </c>
      <c r="L114" s="87">
        <v>2555.8000000000002</v>
      </c>
      <c r="M114" s="88">
        <v>43283.1</v>
      </c>
      <c r="N114" s="68"/>
      <c r="O114" s="70"/>
      <c r="P114" s="70"/>
    </row>
    <row r="115" spans="2:16" ht="17.25" hidden="1" customHeight="1">
      <c r="B115" s="63"/>
      <c r="C115" s="88"/>
      <c r="D115" s="87"/>
      <c r="E115" s="87"/>
      <c r="F115" s="87"/>
      <c r="G115" s="87"/>
      <c r="H115" s="87"/>
      <c r="I115" s="87"/>
      <c r="J115" s="87"/>
      <c r="K115" s="87"/>
      <c r="L115" s="87"/>
      <c r="M115" s="88"/>
      <c r="N115" s="68"/>
      <c r="O115" s="70"/>
      <c r="P115" s="70"/>
    </row>
    <row r="116" spans="2:16" ht="17.25" hidden="1" customHeight="1">
      <c r="B116" s="63" t="s">
        <v>308</v>
      </c>
      <c r="C116" s="88">
        <v>32744.7</v>
      </c>
      <c r="D116" s="87">
        <v>255.9</v>
      </c>
      <c r="E116" s="87">
        <v>0</v>
      </c>
      <c r="F116" s="87">
        <v>241</v>
      </c>
      <c r="G116" s="87">
        <v>0</v>
      </c>
      <c r="H116" s="87">
        <v>1805.7</v>
      </c>
      <c r="I116" s="87">
        <v>1578.3</v>
      </c>
      <c r="J116" s="87">
        <v>3938.9</v>
      </c>
      <c r="K116" s="87">
        <v>788.8</v>
      </c>
      <c r="L116" s="87">
        <v>2514.4</v>
      </c>
      <c r="M116" s="88">
        <v>43867.7</v>
      </c>
      <c r="N116" s="68"/>
      <c r="O116" s="70"/>
      <c r="P116" s="70"/>
    </row>
    <row r="117" spans="2:16" ht="17.25" hidden="1" customHeight="1">
      <c r="B117" s="63"/>
      <c r="C117" s="88"/>
      <c r="D117" s="87"/>
      <c r="E117" s="87"/>
      <c r="F117" s="87"/>
      <c r="G117" s="87"/>
      <c r="H117" s="87"/>
      <c r="I117" s="87"/>
      <c r="J117" s="87"/>
      <c r="K117" s="87"/>
      <c r="L117" s="87"/>
      <c r="M117" s="88"/>
      <c r="N117" s="68"/>
      <c r="O117" s="70"/>
      <c r="P117" s="70"/>
    </row>
    <row r="118" spans="2:16" ht="17.25" hidden="1" customHeight="1">
      <c r="B118" s="63" t="s">
        <v>311</v>
      </c>
      <c r="C118" s="88">
        <v>37514.199999999997</v>
      </c>
      <c r="D118" s="87">
        <v>689.9</v>
      </c>
      <c r="E118" s="87">
        <v>0</v>
      </c>
      <c r="F118" s="87">
        <v>254.8</v>
      </c>
      <c r="G118" s="87">
        <v>0</v>
      </c>
      <c r="H118" s="87">
        <v>2005.8</v>
      </c>
      <c r="I118" s="87">
        <v>1776.5</v>
      </c>
      <c r="J118" s="87">
        <v>4068</v>
      </c>
      <c r="K118" s="87">
        <v>774.2</v>
      </c>
      <c r="L118" s="87">
        <v>2568.8000000000002</v>
      </c>
      <c r="M118" s="88">
        <v>49652.2</v>
      </c>
      <c r="N118" s="68"/>
      <c r="O118" s="70"/>
      <c r="P118" s="70"/>
    </row>
    <row r="119" spans="2:16" ht="17.25" hidden="1" customHeight="1">
      <c r="B119" s="63"/>
      <c r="C119" s="88"/>
      <c r="D119" s="87"/>
      <c r="E119" s="87"/>
      <c r="F119" s="87"/>
      <c r="G119" s="87"/>
      <c r="H119" s="87"/>
      <c r="I119" s="87"/>
      <c r="J119" s="87"/>
      <c r="K119" s="87"/>
      <c r="L119" s="87"/>
      <c r="M119" s="88"/>
      <c r="N119" s="68"/>
      <c r="O119" s="70"/>
      <c r="P119" s="70"/>
    </row>
    <row r="120" spans="2:16" ht="17.25" hidden="1" customHeight="1">
      <c r="B120" s="57" t="s">
        <v>315</v>
      </c>
      <c r="C120" s="88"/>
      <c r="D120" s="87"/>
      <c r="E120" s="87"/>
      <c r="F120" s="87"/>
      <c r="G120" s="87"/>
      <c r="H120" s="87"/>
      <c r="I120" s="87" t="s">
        <v>296</v>
      </c>
      <c r="J120" s="87"/>
      <c r="K120" s="87"/>
      <c r="L120" s="87"/>
      <c r="M120" s="88"/>
      <c r="N120" s="68"/>
      <c r="O120" s="66"/>
      <c r="P120" s="66"/>
    </row>
    <row r="121" spans="2:16" ht="17.25" hidden="1" customHeight="1">
      <c r="B121" s="59"/>
      <c r="C121" s="88"/>
      <c r="D121" s="87"/>
      <c r="E121" s="87"/>
      <c r="F121" s="87"/>
      <c r="G121" s="87"/>
      <c r="H121" s="87"/>
      <c r="I121" s="87" t="s">
        <v>296</v>
      </c>
      <c r="J121" s="87"/>
      <c r="K121" s="87"/>
      <c r="L121" s="87"/>
      <c r="M121" s="88"/>
      <c r="N121" s="68"/>
      <c r="O121" s="66"/>
      <c r="P121" s="66"/>
    </row>
    <row r="122" spans="2:16" ht="17.25" hidden="1" customHeight="1">
      <c r="B122" s="63" t="s">
        <v>298</v>
      </c>
      <c r="C122" s="88">
        <v>35364.9</v>
      </c>
      <c r="D122" s="87">
        <v>431.7</v>
      </c>
      <c r="E122" s="87">
        <v>0</v>
      </c>
      <c r="F122" s="87">
        <v>244.8</v>
      </c>
      <c r="G122" s="87">
        <v>0</v>
      </c>
      <c r="H122" s="87">
        <v>2116.1</v>
      </c>
      <c r="I122" s="87">
        <v>1908.7</v>
      </c>
      <c r="J122" s="87">
        <v>4215.2</v>
      </c>
      <c r="K122" s="87">
        <v>801.1</v>
      </c>
      <c r="L122" s="87">
        <v>2601.3000000000002</v>
      </c>
      <c r="M122" s="88">
        <v>47683.8</v>
      </c>
      <c r="N122" s="68"/>
      <c r="O122" s="70"/>
      <c r="P122" s="66"/>
    </row>
    <row r="123" spans="2:16" ht="17.25" hidden="1" customHeight="1">
      <c r="B123" s="63"/>
      <c r="C123" s="88"/>
      <c r="D123" s="87"/>
      <c r="E123" s="87"/>
      <c r="F123" s="87"/>
      <c r="G123" s="87"/>
      <c r="H123" s="87"/>
      <c r="I123" s="87"/>
      <c r="J123" s="87"/>
      <c r="K123" s="87"/>
      <c r="L123" s="87"/>
      <c r="M123" s="88"/>
      <c r="N123" s="68"/>
      <c r="O123" s="70"/>
      <c r="P123" s="66"/>
    </row>
    <row r="124" spans="2:16" ht="17.25" hidden="1" customHeight="1">
      <c r="B124" s="63" t="s">
        <v>299</v>
      </c>
      <c r="C124" s="88">
        <v>34099.9</v>
      </c>
      <c r="D124" s="87">
        <v>545.1</v>
      </c>
      <c r="E124" s="87">
        <v>0</v>
      </c>
      <c r="F124" s="87">
        <v>116</v>
      </c>
      <c r="G124" s="87">
        <v>0</v>
      </c>
      <c r="H124" s="87">
        <v>2101.8000000000002</v>
      </c>
      <c r="I124" s="87">
        <v>1891.1</v>
      </c>
      <c r="J124" s="87">
        <v>4309.3999999999996</v>
      </c>
      <c r="K124" s="87">
        <v>811.2</v>
      </c>
      <c r="L124" s="87">
        <v>2540</v>
      </c>
      <c r="M124" s="88">
        <v>46414.400000000001</v>
      </c>
      <c r="N124" s="68"/>
      <c r="O124" s="70"/>
      <c r="P124" s="66"/>
    </row>
    <row r="125" spans="2:16" ht="17.25" hidden="1" customHeight="1">
      <c r="B125" s="63"/>
      <c r="C125" s="88"/>
      <c r="D125" s="87"/>
      <c r="E125" s="87"/>
      <c r="F125" s="87"/>
      <c r="G125" s="87"/>
      <c r="H125" s="87"/>
      <c r="I125" s="87"/>
      <c r="J125" s="87"/>
      <c r="K125" s="87"/>
      <c r="L125" s="87"/>
      <c r="M125" s="88"/>
      <c r="N125" s="68"/>
      <c r="O125" s="70"/>
      <c r="P125" s="66"/>
    </row>
    <row r="126" spans="2:16" ht="17.25" hidden="1" customHeight="1">
      <c r="B126" s="63" t="s">
        <v>300</v>
      </c>
      <c r="C126" s="88">
        <v>34929.599999999999</v>
      </c>
      <c r="D126" s="87">
        <v>494.7</v>
      </c>
      <c r="E126" s="87">
        <v>0</v>
      </c>
      <c r="F126" s="87">
        <v>69.599999999999994</v>
      </c>
      <c r="G126" s="87">
        <v>0</v>
      </c>
      <c r="H126" s="87">
        <v>2218.6999999999998</v>
      </c>
      <c r="I126" s="87">
        <v>1242.0999999999999</v>
      </c>
      <c r="J126" s="87">
        <v>4425.3999999999996</v>
      </c>
      <c r="K126" s="87">
        <v>781.4</v>
      </c>
      <c r="L126" s="87">
        <v>2477.3000000000002</v>
      </c>
      <c r="M126" s="88">
        <v>46638.7</v>
      </c>
      <c r="N126" s="68"/>
      <c r="O126" s="70"/>
      <c r="P126" s="66"/>
    </row>
    <row r="127" spans="2:16" ht="17.25" hidden="1" customHeight="1">
      <c r="B127" s="63"/>
      <c r="C127" s="88"/>
      <c r="D127" s="87"/>
      <c r="E127" s="87"/>
      <c r="F127" s="87"/>
      <c r="G127" s="87"/>
      <c r="H127" s="87"/>
      <c r="I127" s="87"/>
      <c r="J127" s="87"/>
      <c r="K127" s="87"/>
      <c r="L127" s="87"/>
      <c r="M127" s="88"/>
      <c r="N127" s="68"/>
      <c r="O127" s="70"/>
      <c r="P127" s="66"/>
    </row>
    <row r="128" spans="2:16" ht="17.25" hidden="1" customHeight="1">
      <c r="B128" s="63" t="s">
        <v>301</v>
      </c>
      <c r="C128" s="88">
        <v>34873.1</v>
      </c>
      <c r="D128" s="87">
        <v>311.2</v>
      </c>
      <c r="E128" s="87">
        <v>0</v>
      </c>
      <c r="F128" s="87">
        <v>147.80000000000001</v>
      </c>
      <c r="G128" s="87">
        <v>0</v>
      </c>
      <c r="H128" s="87">
        <v>2388.5</v>
      </c>
      <c r="I128" s="87">
        <v>1386</v>
      </c>
      <c r="J128" s="87">
        <v>4486.5</v>
      </c>
      <c r="K128" s="87">
        <v>777.5</v>
      </c>
      <c r="L128" s="87">
        <v>2411</v>
      </c>
      <c r="M128" s="88">
        <v>46781.7</v>
      </c>
      <c r="N128" s="68"/>
      <c r="O128" s="70"/>
      <c r="P128" s="66"/>
    </row>
    <row r="129" spans="2:16" ht="17.25" hidden="1" customHeight="1">
      <c r="B129" s="63"/>
      <c r="C129" s="88"/>
      <c r="D129" s="87"/>
      <c r="E129" s="87"/>
      <c r="F129" s="87"/>
      <c r="G129" s="87"/>
      <c r="H129" s="87"/>
      <c r="I129" s="87"/>
      <c r="J129" s="87"/>
      <c r="K129" s="87"/>
      <c r="L129" s="87"/>
      <c r="M129" s="88"/>
      <c r="N129" s="68"/>
      <c r="O129" s="70"/>
      <c r="P129" s="66"/>
    </row>
    <row r="130" spans="2:16" ht="17.25" hidden="1" customHeight="1">
      <c r="B130" s="63" t="s">
        <v>302</v>
      </c>
      <c r="C130" s="88">
        <v>33262.300000000003</v>
      </c>
      <c r="D130" s="87">
        <v>176.8</v>
      </c>
      <c r="E130" s="87">
        <v>0</v>
      </c>
      <c r="F130" s="87">
        <v>60.4</v>
      </c>
      <c r="G130" s="87">
        <v>0</v>
      </c>
      <c r="H130" s="87">
        <v>2247.6999999999998</v>
      </c>
      <c r="I130" s="87">
        <v>947.7</v>
      </c>
      <c r="J130" s="87">
        <v>4565</v>
      </c>
      <c r="K130" s="87">
        <v>785.2</v>
      </c>
      <c r="L130" s="87">
        <v>2357.3000000000002</v>
      </c>
      <c r="M130" s="88">
        <v>44402.5</v>
      </c>
      <c r="N130" s="68"/>
      <c r="O130" s="70"/>
      <c r="P130" s="66"/>
    </row>
    <row r="131" spans="2:16" ht="17.25" hidden="1" customHeight="1">
      <c r="B131" s="63"/>
      <c r="C131" s="88"/>
      <c r="D131" s="87"/>
      <c r="E131" s="87"/>
      <c r="F131" s="87"/>
      <c r="G131" s="87"/>
      <c r="H131" s="87"/>
      <c r="I131" s="87"/>
      <c r="J131" s="87"/>
      <c r="K131" s="87"/>
      <c r="L131" s="87"/>
      <c r="M131" s="88"/>
      <c r="N131" s="68"/>
      <c r="O131" s="70"/>
      <c r="P131" s="66"/>
    </row>
    <row r="132" spans="2:16" ht="17.25" hidden="1" customHeight="1">
      <c r="B132" s="63" t="s">
        <v>303</v>
      </c>
      <c r="C132" s="88">
        <v>34559.9</v>
      </c>
      <c r="D132" s="87">
        <v>631.79999999999995</v>
      </c>
      <c r="E132" s="87">
        <v>0</v>
      </c>
      <c r="F132" s="87">
        <v>146.5</v>
      </c>
      <c r="G132" s="87">
        <v>0</v>
      </c>
      <c r="H132" s="87">
        <v>2687.6</v>
      </c>
      <c r="I132" s="87">
        <v>1259.5999999999999</v>
      </c>
      <c r="J132" s="87">
        <v>4628.7</v>
      </c>
      <c r="K132" s="87">
        <v>783.1</v>
      </c>
      <c r="L132" s="87">
        <v>2313</v>
      </c>
      <c r="M132" s="88">
        <v>47010</v>
      </c>
      <c r="N132" s="68"/>
      <c r="O132" s="70"/>
      <c r="P132" s="66"/>
    </row>
    <row r="133" spans="2:16" ht="17.25" hidden="1" customHeight="1">
      <c r="B133" s="63"/>
      <c r="C133" s="88"/>
      <c r="D133" s="87"/>
      <c r="E133" s="87"/>
      <c r="F133" s="87"/>
      <c r="G133" s="87"/>
      <c r="H133" s="87"/>
      <c r="I133" s="87"/>
      <c r="J133" s="87"/>
      <c r="K133" s="87"/>
      <c r="L133" s="87"/>
      <c r="M133" s="88"/>
      <c r="N133" s="68"/>
      <c r="O133" s="70"/>
      <c r="P133" s="66"/>
    </row>
    <row r="134" spans="2:16" ht="17.25" hidden="1" customHeight="1">
      <c r="B134" s="63" t="s">
        <v>304</v>
      </c>
      <c r="C134" s="88">
        <v>34940.800000000003</v>
      </c>
      <c r="D134" s="87">
        <v>626</v>
      </c>
      <c r="E134" s="87">
        <v>0</v>
      </c>
      <c r="F134" s="87">
        <v>87.8</v>
      </c>
      <c r="G134" s="87">
        <v>0</v>
      </c>
      <c r="H134" s="87">
        <v>2438.9</v>
      </c>
      <c r="I134" s="87">
        <v>1100.8</v>
      </c>
      <c r="J134" s="87">
        <v>4693.8999999999996</v>
      </c>
      <c r="K134" s="87">
        <v>801.4</v>
      </c>
      <c r="L134" s="87">
        <v>2265.1</v>
      </c>
      <c r="M134" s="88">
        <v>46954.5</v>
      </c>
      <c r="N134" s="68"/>
      <c r="O134" s="70"/>
      <c r="P134" s="66"/>
    </row>
    <row r="135" spans="2:16" ht="17.25" hidden="1" customHeight="1">
      <c r="B135" s="63"/>
      <c r="C135" s="88"/>
      <c r="D135" s="87"/>
      <c r="E135" s="87"/>
      <c r="F135" s="87"/>
      <c r="G135" s="87"/>
      <c r="H135" s="87"/>
      <c r="I135" s="87"/>
      <c r="J135" s="87"/>
      <c r="K135" s="87"/>
      <c r="L135" s="87"/>
      <c r="M135" s="88"/>
      <c r="N135" s="68"/>
      <c r="O135" s="70"/>
      <c r="P135" s="66"/>
    </row>
    <row r="136" spans="2:16" ht="17.25" hidden="1" customHeight="1">
      <c r="B136" s="63" t="s">
        <v>305</v>
      </c>
      <c r="C136" s="88">
        <v>36798.1</v>
      </c>
      <c r="D136" s="87">
        <v>494.5</v>
      </c>
      <c r="E136" s="87">
        <v>0</v>
      </c>
      <c r="F136" s="87">
        <v>100</v>
      </c>
      <c r="G136" s="87">
        <v>0</v>
      </c>
      <c r="H136" s="87">
        <v>2184.6999999999998</v>
      </c>
      <c r="I136" s="87">
        <v>804.2</v>
      </c>
      <c r="J136" s="87">
        <v>4775.8999999999996</v>
      </c>
      <c r="K136" s="87">
        <v>812.3</v>
      </c>
      <c r="L136" s="87">
        <v>2212.8000000000002</v>
      </c>
      <c r="M136" s="88">
        <v>48182.3</v>
      </c>
      <c r="N136" s="68"/>
      <c r="O136" s="70"/>
      <c r="P136" s="66"/>
    </row>
    <row r="137" spans="2:16" ht="17.25" hidden="1" customHeight="1">
      <c r="B137" s="63"/>
      <c r="C137" s="88"/>
      <c r="D137" s="87"/>
      <c r="E137" s="87"/>
      <c r="F137" s="87"/>
      <c r="G137" s="87"/>
      <c r="H137" s="87"/>
      <c r="I137" s="87"/>
      <c r="J137" s="87"/>
      <c r="K137" s="87"/>
      <c r="L137" s="87"/>
      <c r="M137" s="88"/>
      <c r="N137" s="68"/>
      <c r="O137" s="70"/>
      <c r="P137" s="66"/>
    </row>
    <row r="138" spans="2:16" ht="17.25" hidden="1" customHeight="1">
      <c r="B138" s="63" t="s">
        <v>306</v>
      </c>
      <c r="C138" s="88">
        <v>37988.199999999997</v>
      </c>
      <c r="D138" s="87">
        <v>1046.8</v>
      </c>
      <c r="E138" s="87">
        <v>0</v>
      </c>
      <c r="F138" s="87">
        <v>117.5</v>
      </c>
      <c r="G138" s="87">
        <v>0</v>
      </c>
      <c r="H138" s="87">
        <v>2194</v>
      </c>
      <c r="I138" s="87">
        <v>1174.9000000000001</v>
      </c>
      <c r="J138" s="87">
        <v>4836.6000000000004</v>
      </c>
      <c r="K138" s="87">
        <v>801.8</v>
      </c>
      <c r="L138" s="87">
        <v>2158</v>
      </c>
      <c r="M138" s="88">
        <v>50317.8</v>
      </c>
      <c r="N138" s="68"/>
      <c r="O138" s="70"/>
      <c r="P138" s="66"/>
    </row>
    <row r="139" spans="2:16" ht="17.25" hidden="1" customHeight="1">
      <c r="B139" s="63"/>
      <c r="C139" s="88"/>
      <c r="D139" s="87"/>
      <c r="E139" s="87"/>
      <c r="F139" s="87"/>
      <c r="G139" s="87"/>
      <c r="H139" s="87"/>
      <c r="I139" s="87"/>
      <c r="J139" s="87"/>
      <c r="K139" s="87"/>
      <c r="L139" s="87"/>
      <c r="M139" s="88"/>
      <c r="N139" s="68"/>
      <c r="O139" s="70"/>
      <c r="P139" s="66"/>
    </row>
    <row r="140" spans="2:16" ht="17.25" hidden="1" customHeight="1">
      <c r="B140" s="63" t="s">
        <v>307</v>
      </c>
      <c r="C140" s="88">
        <v>38499.4</v>
      </c>
      <c r="D140" s="87">
        <v>1307.9000000000001</v>
      </c>
      <c r="E140" s="87">
        <v>0</v>
      </c>
      <c r="F140" s="87">
        <v>60.7</v>
      </c>
      <c r="G140" s="87">
        <v>0</v>
      </c>
      <c r="H140" s="87">
        <v>2510.4</v>
      </c>
      <c r="I140" s="87">
        <v>828.4</v>
      </c>
      <c r="J140" s="87">
        <v>4867.3</v>
      </c>
      <c r="K140" s="87">
        <v>842.5</v>
      </c>
      <c r="L140" s="87">
        <v>2062.1999999999998</v>
      </c>
      <c r="M140" s="88">
        <v>50977.9</v>
      </c>
      <c r="N140" s="68"/>
      <c r="O140" s="70"/>
      <c r="P140" s="66"/>
    </row>
    <row r="141" spans="2:16" ht="17.25" hidden="1" customHeight="1">
      <c r="B141" s="63"/>
      <c r="C141" s="88"/>
      <c r="D141" s="87"/>
      <c r="E141" s="87"/>
      <c r="F141" s="87"/>
      <c r="G141" s="87"/>
      <c r="H141" s="87"/>
      <c r="I141" s="87"/>
      <c r="J141" s="87"/>
      <c r="K141" s="87"/>
      <c r="L141" s="87"/>
      <c r="M141" s="88"/>
      <c r="N141" s="68"/>
      <c r="O141" s="70"/>
      <c r="P141" s="66"/>
    </row>
    <row r="142" spans="2:16" ht="17.25" hidden="1" customHeight="1">
      <c r="B142" s="63" t="s">
        <v>308</v>
      </c>
      <c r="C142" s="88">
        <v>42596.4</v>
      </c>
      <c r="D142" s="87">
        <v>1088.8</v>
      </c>
      <c r="E142" s="87">
        <v>0</v>
      </c>
      <c r="F142" s="87">
        <v>102.7</v>
      </c>
      <c r="G142" s="87">
        <v>0</v>
      </c>
      <c r="H142" s="87">
        <v>2678.4</v>
      </c>
      <c r="I142" s="87">
        <v>1553.4</v>
      </c>
      <c r="J142" s="87">
        <v>4889.8999999999996</v>
      </c>
      <c r="K142" s="87">
        <v>853.8</v>
      </c>
      <c r="L142" s="87">
        <v>2008</v>
      </c>
      <c r="M142" s="88">
        <v>55771.5</v>
      </c>
      <c r="N142" s="68"/>
      <c r="O142" s="70"/>
      <c r="P142" s="66"/>
    </row>
    <row r="143" spans="2:16" ht="17.25" hidden="1" customHeight="1">
      <c r="B143" s="63"/>
      <c r="C143" s="88"/>
      <c r="D143" s="87"/>
      <c r="E143" s="87"/>
      <c r="F143" s="87"/>
      <c r="G143" s="87"/>
      <c r="H143" s="87"/>
      <c r="I143" s="87"/>
      <c r="J143" s="87"/>
      <c r="K143" s="87"/>
      <c r="L143" s="87"/>
      <c r="M143" s="88"/>
      <c r="N143" s="68"/>
      <c r="O143" s="70"/>
      <c r="P143" s="66"/>
    </row>
    <row r="144" spans="2:16" ht="17.25" hidden="1" customHeight="1">
      <c r="B144" s="63" t="s">
        <v>311</v>
      </c>
      <c r="C144" s="88">
        <v>43133.3</v>
      </c>
      <c r="D144" s="57">
        <v>208.3</v>
      </c>
      <c r="E144" s="87">
        <v>0</v>
      </c>
      <c r="F144" s="87">
        <v>421.3</v>
      </c>
      <c r="G144" s="87">
        <v>0</v>
      </c>
      <c r="H144" s="87">
        <v>2727.7</v>
      </c>
      <c r="I144" s="87">
        <v>1663.1</v>
      </c>
      <c r="J144" s="87">
        <v>4919</v>
      </c>
      <c r="K144" s="87">
        <v>1603.1</v>
      </c>
      <c r="L144" s="87">
        <v>1952</v>
      </c>
      <c r="M144" s="88">
        <v>56627.8</v>
      </c>
      <c r="N144" s="68"/>
      <c r="O144" s="70"/>
      <c r="P144" s="66"/>
    </row>
    <row r="145" spans="2:16" ht="17.25" hidden="1" customHeight="1">
      <c r="B145" s="63"/>
      <c r="C145" s="88"/>
      <c r="D145" s="57"/>
      <c r="E145" s="87"/>
      <c r="F145" s="87"/>
      <c r="G145" s="87"/>
      <c r="H145" s="87"/>
      <c r="I145" s="87"/>
      <c r="J145" s="87"/>
      <c r="K145" s="87"/>
      <c r="L145" s="87"/>
      <c r="M145" s="88"/>
      <c r="N145" s="68"/>
      <c r="O145" s="70"/>
      <c r="P145" s="66"/>
    </row>
    <row r="146" spans="2:16" ht="17.25" hidden="1" customHeight="1">
      <c r="B146" s="57">
        <v>1999</v>
      </c>
      <c r="C146" s="88"/>
      <c r="D146" s="57"/>
      <c r="E146" s="87"/>
      <c r="F146" s="87"/>
      <c r="G146" s="87"/>
      <c r="H146" s="87"/>
      <c r="I146" s="87"/>
      <c r="J146" s="87"/>
      <c r="K146" s="87"/>
      <c r="L146" s="87"/>
      <c r="M146" s="88"/>
      <c r="N146" s="68"/>
      <c r="O146" s="70"/>
      <c r="P146" s="66"/>
    </row>
    <row r="147" spans="2:16" ht="17.25" hidden="1" customHeight="1">
      <c r="B147" s="63"/>
      <c r="C147" s="88"/>
      <c r="D147" s="57"/>
      <c r="E147" s="87"/>
      <c r="F147" s="87"/>
      <c r="G147" s="87"/>
      <c r="H147" s="87"/>
      <c r="I147" s="87"/>
      <c r="J147" s="87"/>
      <c r="K147" s="87"/>
      <c r="L147" s="87"/>
      <c r="M147" s="88"/>
      <c r="N147" s="68"/>
      <c r="O147" s="70"/>
      <c r="P147" s="66"/>
    </row>
    <row r="148" spans="2:16" ht="17.25" hidden="1" customHeight="1">
      <c r="B148" s="63" t="s">
        <v>298</v>
      </c>
      <c r="C148" s="88">
        <v>42530.9</v>
      </c>
      <c r="D148" s="57">
        <v>410.8</v>
      </c>
      <c r="E148" s="87">
        <v>0</v>
      </c>
      <c r="F148" s="87">
        <v>323.2</v>
      </c>
      <c r="G148" s="87">
        <v>0</v>
      </c>
      <c r="H148" s="87">
        <v>3121.9</v>
      </c>
      <c r="I148" s="87">
        <v>1359.7</v>
      </c>
      <c r="J148" s="87">
        <v>4972.2</v>
      </c>
      <c r="K148" s="87">
        <v>1583.3</v>
      </c>
      <c r="L148" s="87">
        <v>1917</v>
      </c>
      <c r="M148" s="88">
        <v>56219.1</v>
      </c>
      <c r="N148" s="68"/>
      <c r="O148" s="70"/>
      <c r="P148" s="66"/>
    </row>
    <row r="149" spans="2:16" ht="17.25" hidden="1" customHeight="1">
      <c r="B149" s="63"/>
      <c r="C149" s="88"/>
      <c r="D149" s="57"/>
      <c r="E149" s="87"/>
      <c r="F149" s="87"/>
      <c r="G149" s="87"/>
      <c r="H149" s="87"/>
      <c r="I149" s="87"/>
      <c r="J149" s="87"/>
      <c r="K149" s="87"/>
      <c r="L149" s="87"/>
      <c r="M149" s="88"/>
      <c r="N149" s="68"/>
      <c r="O149" s="70"/>
      <c r="P149" s="66"/>
    </row>
    <row r="150" spans="2:16" ht="17.25" hidden="1" customHeight="1">
      <c r="B150" s="63" t="s">
        <v>299</v>
      </c>
      <c r="C150" s="88">
        <v>43382</v>
      </c>
      <c r="D150" s="57">
        <v>552.70000000000005</v>
      </c>
      <c r="E150" s="87">
        <v>0</v>
      </c>
      <c r="F150" s="87">
        <v>228.8</v>
      </c>
      <c r="G150" s="87">
        <v>0</v>
      </c>
      <c r="H150" s="87">
        <v>3280.6</v>
      </c>
      <c r="I150" s="87">
        <v>1178.3</v>
      </c>
      <c r="J150" s="87">
        <v>5007.8</v>
      </c>
      <c r="K150" s="87">
        <v>1635</v>
      </c>
      <c r="L150" s="87">
        <v>1872.6</v>
      </c>
      <c r="M150" s="88">
        <v>57137.8</v>
      </c>
      <c r="N150" s="68"/>
      <c r="O150" s="70"/>
      <c r="P150" s="70"/>
    </row>
    <row r="151" spans="2:16" ht="17.25" hidden="1" customHeight="1">
      <c r="B151" s="63"/>
      <c r="C151" s="88"/>
      <c r="D151" s="57"/>
      <c r="E151" s="87"/>
      <c r="F151" s="87"/>
      <c r="G151" s="87"/>
      <c r="H151" s="87"/>
      <c r="I151" s="87"/>
      <c r="J151" s="87"/>
      <c r="K151" s="87"/>
      <c r="L151" s="87"/>
      <c r="M151" s="88"/>
      <c r="N151" s="68"/>
      <c r="O151" s="70"/>
      <c r="P151" s="70"/>
    </row>
    <row r="152" spans="2:16" ht="17.25" hidden="1" customHeight="1">
      <c r="B152" s="63" t="s">
        <v>300</v>
      </c>
      <c r="C152" s="88">
        <v>45768.2</v>
      </c>
      <c r="D152" s="57">
        <v>1401.2</v>
      </c>
      <c r="E152" s="87">
        <v>0</v>
      </c>
      <c r="F152" s="87">
        <v>43.1</v>
      </c>
      <c r="G152" s="87">
        <v>0</v>
      </c>
      <c r="H152" s="87">
        <v>3051.4</v>
      </c>
      <c r="I152" s="87">
        <v>1517.2</v>
      </c>
      <c r="J152" s="87">
        <v>5122</v>
      </c>
      <c r="K152" s="87">
        <v>1644.1</v>
      </c>
      <c r="L152" s="87">
        <v>1863.7</v>
      </c>
      <c r="M152" s="88">
        <v>60410.9</v>
      </c>
      <c r="N152" s="68"/>
      <c r="O152" s="70"/>
      <c r="P152" s="70"/>
    </row>
    <row r="153" spans="2:16" ht="17.25" hidden="1" customHeight="1">
      <c r="B153" s="63"/>
      <c r="C153" s="88"/>
      <c r="D153" s="57"/>
      <c r="E153" s="87"/>
      <c r="F153" s="87"/>
      <c r="G153" s="87"/>
      <c r="H153" s="87"/>
      <c r="I153" s="87"/>
      <c r="J153" s="87"/>
      <c r="K153" s="87"/>
      <c r="L153" s="87"/>
      <c r="M153" s="88"/>
      <c r="N153" s="68"/>
      <c r="O153" s="70"/>
      <c r="P153" s="70"/>
    </row>
    <row r="154" spans="2:16" ht="17.25" hidden="1" customHeight="1">
      <c r="B154" s="63" t="s">
        <v>301</v>
      </c>
      <c r="C154" s="88">
        <v>48516.5</v>
      </c>
      <c r="D154" s="57">
        <v>2101.4</v>
      </c>
      <c r="E154" s="87">
        <v>0</v>
      </c>
      <c r="F154" s="87">
        <v>0.4</v>
      </c>
      <c r="G154" s="87">
        <v>0</v>
      </c>
      <c r="H154" s="87">
        <v>2933.6</v>
      </c>
      <c r="I154" s="87">
        <v>1386.4</v>
      </c>
      <c r="J154" s="87">
        <v>5197.1000000000004</v>
      </c>
      <c r="K154" s="87">
        <v>1681</v>
      </c>
      <c r="L154" s="87">
        <v>1815</v>
      </c>
      <c r="M154" s="88">
        <v>63631.5</v>
      </c>
      <c r="N154" s="68"/>
      <c r="O154" s="70"/>
      <c r="P154" s="70"/>
    </row>
    <row r="155" spans="2:16" ht="17.25" hidden="1" customHeight="1">
      <c r="B155" s="63"/>
      <c r="C155" s="88"/>
      <c r="D155" s="57"/>
      <c r="E155" s="87"/>
      <c r="F155" s="87"/>
      <c r="G155" s="87"/>
      <c r="H155" s="87"/>
      <c r="I155" s="87"/>
      <c r="J155" s="87"/>
      <c r="K155" s="87"/>
      <c r="L155" s="87"/>
      <c r="M155" s="88"/>
      <c r="N155" s="68"/>
      <c r="O155" s="70"/>
      <c r="P155" s="70"/>
    </row>
    <row r="156" spans="2:16" ht="17.25" hidden="1" customHeight="1">
      <c r="B156" s="63" t="s">
        <v>302</v>
      </c>
      <c r="C156" s="88">
        <v>51179.9</v>
      </c>
      <c r="D156" s="57">
        <v>2552.4</v>
      </c>
      <c r="E156" s="87">
        <v>0</v>
      </c>
      <c r="F156" s="87">
        <v>389.5</v>
      </c>
      <c r="G156" s="87">
        <v>0</v>
      </c>
      <c r="H156" s="87">
        <v>3065.6</v>
      </c>
      <c r="I156" s="87">
        <v>1472.8</v>
      </c>
      <c r="J156" s="87">
        <v>5299.6</v>
      </c>
      <c r="K156" s="87">
        <v>1642.3</v>
      </c>
      <c r="L156" s="87">
        <v>1792.2</v>
      </c>
      <c r="M156" s="88">
        <v>67394.100000000006</v>
      </c>
      <c r="N156" s="68"/>
      <c r="O156" s="70"/>
      <c r="P156" s="70"/>
    </row>
    <row r="157" spans="2:16" ht="17.25" hidden="1" customHeight="1">
      <c r="B157" s="63"/>
      <c r="C157" s="88"/>
      <c r="D157" s="57"/>
      <c r="E157" s="87"/>
      <c r="F157" s="87"/>
      <c r="G157" s="87"/>
      <c r="H157" s="87"/>
      <c r="I157" s="87"/>
      <c r="J157" s="87"/>
      <c r="K157" s="87"/>
      <c r="L157" s="87"/>
      <c r="M157" s="88"/>
      <c r="N157" s="68"/>
      <c r="O157" s="70"/>
      <c r="P157" s="70"/>
    </row>
    <row r="158" spans="2:16" ht="17.25" hidden="1" customHeight="1">
      <c r="B158" s="63" t="s">
        <v>303</v>
      </c>
      <c r="C158" s="88">
        <v>52860.9</v>
      </c>
      <c r="D158" s="57">
        <v>1322.9</v>
      </c>
      <c r="E158" s="87">
        <v>0</v>
      </c>
      <c r="F158" s="87">
        <v>131.19999999999999</v>
      </c>
      <c r="G158" s="87">
        <v>0</v>
      </c>
      <c r="H158" s="87">
        <v>3166.9</v>
      </c>
      <c r="I158" s="87">
        <v>1510.3</v>
      </c>
      <c r="J158" s="87">
        <v>5387.1</v>
      </c>
      <c r="K158" s="87">
        <v>1677.7</v>
      </c>
      <c r="L158" s="87">
        <v>1781.3</v>
      </c>
      <c r="M158" s="88">
        <v>67838.5</v>
      </c>
      <c r="N158" s="68"/>
      <c r="O158" s="70"/>
      <c r="P158" s="70"/>
    </row>
    <row r="159" spans="2:16" ht="17.25" hidden="1" customHeight="1">
      <c r="B159" s="63"/>
      <c r="C159" s="88"/>
      <c r="D159" s="57"/>
      <c r="E159" s="87"/>
      <c r="F159" s="87"/>
      <c r="G159" s="87"/>
      <c r="H159" s="87"/>
      <c r="I159" s="87"/>
      <c r="J159" s="87"/>
      <c r="K159" s="87"/>
      <c r="L159" s="87"/>
      <c r="M159" s="88"/>
      <c r="N159" s="68"/>
      <c r="O159" s="70"/>
      <c r="P159" s="70"/>
    </row>
    <row r="160" spans="2:16" ht="17.25" hidden="1" customHeight="1">
      <c r="B160" s="63" t="s">
        <v>304</v>
      </c>
      <c r="C160" s="88">
        <v>55990.8</v>
      </c>
      <c r="D160" s="57">
        <v>2492.1</v>
      </c>
      <c r="E160" s="87">
        <v>0</v>
      </c>
      <c r="F160" s="87">
        <v>60</v>
      </c>
      <c r="G160" s="87">
        <v>0</v>
      </c>
      <c r="H160" s="87">
        <v>3155</v>
      </c>
      <c r="I160" s="87">
        <v>1450</v>
      </c>
      <c r="J160" s="87">
        <v>5526.4</v>
      </c>
      <c r="K160" s="87">
        <v>1769.5</v>
      </c>
      <c r="L160" s="87">
        <v>1790.7</v>
      </c>
      <c r="M160" s="88">
        <v>72234.5</v>
      </c>
      <c r="N160" s="68"/>
      <c r="O160" s="70"/>
      <c r="P160" s="70"/>
    </row>
    <row r="161" spans="2:16" ht="17.25" hidden="1" customHeight="1">
      <c r="B161" s="63"/>
      <c r="C161" s="88"/>
      <c r="D161" s="57"/>
      <c r="E161" s="87"/>
      <c r="F161" s="87"/>
      <c r="G161" s="87"/>
      <c r="H161" s="87"/>
      <c r="I161" s="87"/>
      <c r="J161" s="87"/>
      <c r="K161" s="87"/>
      <c r="L161" s="87"/>
      <c r="M161" s="88"/>
      <c r="N161" s="68"/>
      <c r="O161" s="70"/>
      <c r="P161" s="70"/>
    </row>
    <row r="162" spans="2:16" ht="17.25" hidden="1" customHeight="1">
      <c r="B162" s="63" t="s">
        <v>305</v>
      </c>
      <c r="C162" s="88">
        <v>57150.8</v>
      </c>
      <c r="D162" s="57">
        <v>1423</v>
      </c>
      <c r="E162" s="87">
        <v>0</v>
      </c>
      <c r="F162" s="87">
        <v>100</v>
      </c>
      <c r="G162" s="87">
        <v>0</v>
      </c>
      <c r="H162" s="87">
        <v>2989.5</v>
      </c>
      <c r="I162" s="87">
        <v>1588.3</v>
      </c>
      <c r="J162" s="87">
        <v>5632.2</v>
      </c>
      <c r="K162" s="87">
        <v>1828</v>
      </c>
      <c r="L162" s="87">
        <v>1775.8</v>
      </c>
      <c r="M162" s="88">
        <v>72487.600000000006</v>
      </c>
      <c r="N162" s="68"/>
      <c r="O162" s="70"/>
      <c r="P162" s="70"/>
    </row>
    <row r="163" spans="2:16" ht="17.25" hidden="1" customHeight="1">
      <c r="B163" s="63"/>
      <c r="C163" s="88"/>
      <c r="D163" s="57"/>
      <c r="E163" s="87"/>
      <c r="F163" s="87"/>
      <c r="G163" s="87"/>
      <c r="H163" s="87"/>
      <c r="I163" s="87"/>
      <c r="J163" s="87"/>
      <c r="K163" s="87"/>
      <c r="L163" s="87"/>
      <c r="M163" s="88"/>
      <c r="N163" s="68"/>
      <c r="O163" s="70"/>
      <c r="P163" s="70"/>
    </row>
    <row r="164" spans="2:16" ht="17.25" hidden="1" customHeight="1">
      <c r="B164" s="63" t="s">
        <v>306</v>
      </c>
      <c r="C164" s="88">
        <v>57671.8</v>
      </c>
      <c r="D164" s="57">
        <v>1148.0999999999999</v>
      </c>
      <c r="E164" s="87">
        <v>0</v>
      </c>
      <c r="F164" s="87">
        <v>150</v>
      </c>
      <c r="G164" s="87">
        <v>0</v>
      </c>
      <c r="H164" s="87">
        <v>2546.9</v>
      </c>
      <c r="I164" s="87">
        <v>1871.7</v>
      </c>
      <c r="J164" s="87">
        <v>5725.4</v>
      </c>
      <c r="K164" s="87">
        <v>1804.6</v>
      </c>
      <c r="L164" s="87">
        <v>1762.8</v>
      </c>
      <c r="M164" s="88">
        <v>72681.399999999994</v>
      </c>
      <c r="N164" s="68"/>
      <c r="O164" s="70"/>
      <c r="P164" s="70"/>
    </row>
    <row r="165" spans="2:16" ht="17.25" hidden="1" customHeight="1">
      <c r="B165" s="63"/>
      <c r="C165" s="88"/>
      <c r="D165" s="57"/>
      <c r="E165" s="87"/>
      <c r="F165" s="87"/>
      <c r="G165" s="87"/>
      <c r="H165" s="87"/>
      <c r="I165" s="87"/>
      <c r="J165" s="87"/>
      <c r="K165" s="87"/>
      <c r="L165" s="87"/>
      <c r="M165" s="88"/>
      <c r="N165" s="68"/>
      <c r="O165" s="70"/>
      <c r="P165" s="70"/>
    </row>
    <row r="166" spans="2:16" ht="17.25" hidden="1" customHeight="1">
      <c r="B166" s="63" t="s">
        <v>307</v>
      </c>
      <c r="C166" s="88">
        <v>58375</v>
      </c>
      <c r="D166" s="57">
        <f>1607.2-7</f>
        <v>1600.2</v>
      </c>
      <c r="E166" s="87">
        <v>7</v>
      </c>
      <c r="F166" s="87">
        <v>112.8</v>
      </c>
      <c r="G166" s="87">
        <v>0</v>
      </c>
      <c r="H166" s="87">
        <v>2021.7</v>
      </c>
      <c r="I166" s="87">
        <v>1311.8</v>
      </c>
      <c r="J166" s="87">
        <v>5820.2</v>
      </c>
      <c r="K166" s="87">
        <v>1860.5</v>
      </c>
      <c r="L166" s="87">
        <v>1706.8</v>
      </c>
      <c r="M166" s="88">
        <v>72815.899999999994</v>
      </c>
      <c r="N166" s="68"/>
      <c r="O166" s="70"/>
      <c r="P166" s="70"/>
    </row>
    <row r="167" spans="2:16" ht="17.25" hidden="1" customHeight="1">
      <c r="B167" s="63"/>
      <c r="C167" s="88"/>
      <c r="D167" s="57"/>
      <c r="E167" s="87"/>
      <c r="F167" s="87"/>
      <c r="G167" s="87"/>
      <c r="H167" s="87"/>
      <c r="I167" s="87"/>
      <c r="J167" s="87"/>
      <c r="K167" s="87"/>
      <c r="L167" s="87"/>
      <c r="M167" s="88"/>
      <c r="N167" s="68"/>
      <c r="O167" s="70"/>
      <c r="P167" s="70"/>
    </row>
    <row r="168" spans="2:16" ht="17.25" hidden="1" customHeight="1">
      <c r="B168" s="63" t="s">
        <v>308</v>
      </c>
      <c r="C168" s="88">
        <v>61645</v>
      </c>
      <c r="D168" s="57">
        <f>1932.9-1.4</f>
        <v>1931.5</v>
      </c>
      <c r="E168" s="87">
        <v>1.4</v>
      </c>
      <c r="F168" s="87">
        <f>105-4.2</f>
        <v>100.8</v>
      </c>
      <c r="G168" s="87">
        <v>4.2</v>
      </c>
      <c r="H168" s="87">
        <v>2025.5</v>
      </c>
      <c r="I168" s="87">
        <v>1463.6</v>
      </c>
      <c r="J168" s="87">
        <v>5904.8</v>
      </c>
      <c r="K168" s="87">
        <v>1869.5</v>
      </c>
      <c r="L168" s="87">
        <v>1682.1</v>
      </c>
      <c r="M168" s="88">
        <v>76628.600000000006</v>
      </c>
      <c r="N168" s="68"/>
      <c r="O168" s="70"/>
      <c r="P168" s="70"/>
    </row>
    <row r="169" spans="2:16" ht="17.25" hidden="1" customHeight="1">
      <c r="B169" s="63"/>
      <c r="C169" s="88"/>
      <c r="D169" s="57"/>
      <c r="E169" s="87"/>
      <c r="F169" s="87"/>
      <c r="G169" s="87"/>
      <c r="H169" s="87"/>
      <c r="I169" s="87"/>
      <c r="J169" s="87"/>
      <c r="K169" s="87"/>
      <c r="L169" s="87"/>
      <c r="M169" s="88"/>
      <c r="N169" s="68"/>
      <c r="O169" s="70"/>
      <c r="P169" s="70"/>
    </row>
    <row r="170" spans="2:16" ht="17.25" hidden="1" customHeight="1">
      <c r="B170" s="63" t="s">
        <v>311</v>
      </c>
      <c r="C170" s="88">
        <v>58396.7</v>
      </c>
      <c r="D170" s="57">
        <f>2731-1.1</f>
        <v>2729.9</v>
      </c>
      <c r="E170" s="87">
        <v>1.1000000000000001</v>
      </c>
      <c r="F170" s="87">
        <v>99.7</v>
      </c>
      <c r="G170" s="87">
        <v>0</v>
      </c>
      <c r="H170" s="87">
        <v>1844.8</v>
      </c>
      <c r="I170" s="87">
        <v>914.2</v>
      </c>
      <c r="J170" s="87">
        <v>6026.2</v>
      </c>
      <c r="K170" s="87">
        <v>1865.6</v>
      </c>
      <c r="L170" s="87">
        <v>1641.2</v>
      </c>
      <c r="M170" s="88">
        <v>73519.199999999997</v>
      </c>
      <c r="N170" s="68"/>
      <c r="O170" s="70"/>
      <c r="P170" s="70"/>
    </row>
    <row r="171" spans="2:16" ht="17.25" hidden="1" customHeight="1">
      <c r="B171" s="63"/>
      <c r="C171" s="88"/>
      <c r="D171" s="57"/>
      <c r="E171" s="87"/>
      <c r="F171" s="87"/>
      <c r="G171" s="87"/>
      <c r="H171" s="87"/>
      <c r="I171" s="87"/>
      <c r="J171" s="87"/>
      <c r="K171" s="87"/>
      <c r="L171" s="87"/>
      <c r="M171" s="88"/>
      <c r="N171" s="68"/>
      <c r="O171" s="70"/>
      <c r="P171" s="70"/>
    </row>
    <row r="172" spans="2:16" ht="15.6" hidden="1">
      <c r="B172" s="57">
        <v>2000</v>
      </c>
      <c r="C172" s="88"/>
      <c r="D172" s="57"/>
      <c r="E172" s="87"/>
      <c r="F172" s="87"/>
      <c r="G172" s="87"/>
      <c r="H172" s="87"/>
      <c r="I172" s="87"/>
      <c r="J172" s="87"/>
      <c r="K172" s="87"/>
      <c r="L172" s="87"/>
      <c r="M172" s="88"/>
      <c r="N172" s="68"/>
      <c r="O172" s="70"/>
      <c r="P172" s="70"/>
    </row>
    <row r="173" spans="2:16" ht="15.6" hidden="1">
      <c r="B173" s="57"/>
      <c r="C173" s="88"/>
      <c r="D173" s="57"/>
      <c r="E173" s="87"/>
      <c r="F173" s="87"/>
      <c r="G173" s="87"/>
      <c r="H173" s="87"/>
      <c r="I173" s="87"/>
      <c r="J173" s="87"/>
      <c r="K173" s="87"/>
      <c r="L173" s="87"/>
      <c r="M173" s="88"/>
      <c r="N173" s="68"/>
      <c r="O173" s="70"/>
      <c r="P173" s="70"/>
    </row>
    <row r="174" spans="2:16" ht="15.6" hidden="1">
      <c r="B174" s="59" t="s">
        <v>298</v>
      </c>
      <c r="C174" s="88">
        <v>65694</v>
      </c>
      <c r="D174" s="57">
        <f>2116-12.3</f>
        <v>2103.6999999999998</v>
      </c>
      <c r="E174" s="87">
        <v>12.3</v>
      </c>
      <c r="F174" s="87">
        <v>64.900000000000006</v>
      </c>
      <c r="G174" s="87">
        <v>0</v>
      </c>
      <c r="H174" s="87">
        <v>2371</v>
      </c>
      <c r="I174" s="87">
        <v>1523.9</v>
      </c>
      <c r="J174" s="87">
        <v>6115.5</v>
      </c>
      <c r="K174" s="87">
        <v>1898.8</v>
      </c>
      <c r="L174" s="87">
        <v>1639.3</v>
      </c>
      <c r="M174" s="88">
        <v>81423.3</v>
      </c>
      <c r="N174" s="68"/>
      <c r="O174" s="70"/>
      <c r="P174" s="70"/>
    </row>
    <row r="175" spans="2:16" ht="15.6" hidden="1">
      <c r="B175" s="59"/>
      <c r="C175" s="88"/>
      <c r="D175" s="57"/>
      <c r="E175" s="87"/>
      <c r="F175" s="87"/>
      <c r="G175" s="87"/>
      <c r="H175" s="87"/>
      <c r="I175" s="87"/>
      <c r="J175" s="87"/>
      <c r="K175" s="87"/>
      <c r="L175" s="87"/>
      <c r="M175" s="88"/>
      <c r="N175" s="68"/>
      <c r="O175" s="70"/>
      <c r="P175" s="70"/>
    </row>
    <row r="176" spans="2:16" ht="15.6" hidden="1">
      <c r="B176" s="59" t="s">
        <v>299</v>
      </c>
      <c r="C176" s="88">
        <v>64969.5</v>
      </c>
      <c r="D176" s="57">
        <f>1739.3-1.8</f>
        <v>1737.5</v>
      </c>
      <c r="E176" s="87">
        <v>1.8</v>
      </c>
      <c r="F176" s="87">
        <v>136</v>
      </c>
      <c r="G176" s="87">
        <v>0</v>
      </c>
      <c r="H176" s="87">
        <v>2378.3000000000002</v>
      </c>
      <c r="I176" s="87">
        <v>1304.4000000000001</v>
      </c>
      <c r="J176" s="87">
        <v>6166.7</v>
      </c>
      <c r="K176" s="87">
        <v>1941.6</v>
      </c>
      <c r="L176" s="87">
        <v>1624.1</v>
      </c>
      <c r="M176" s="88">
        <v>80259.899999999994</v>
      </c>
      <c r="N176" s="68"/>
      <c r="O176" s="70"/>
      <c r="P176" s="70"/>
    </row>
    <row r="177" spans="2:16" ht="15.6" hidden="1">
      <c r="B177" s="59"/>
      <c r="C177" s="88"/>
      <c r="D177" s="57"/>
      <c r="E177" s="87"/>
      <c r="F177" s="87"/>
      <c r="G177" s="87"/>
      <c r="H177" s="87"/>
      <c r="I177" s="87"/>
      <c r="J177" s="87"/>
      <c r="K177" s="87"/>
      <c r="L177" s="87"/>
      <c r="M177" s="88"/>
      <c r="N177" s="68"/>
      <c r="O177" s="70"/>
      <c r="P177" s="70"/>
    </row>
    <row r="178" spans="2:16" ht="15.6" hidden="1">
      <c r="B178" s="59" t="s">
        <v>300</v>
      </c>
      <c r="C178" s="88">
        <v>69000</v>
      </c>
      <c r="D178" s="57">
        <f>3027.4-2</f>
        <v>3025.4</v>
      </c>
      <c r="E178" s="87">
        <v>2</v>
      </c>
      <c r="F178" s="87">
        <v>100</v>
      </c>
      <c r="G178" s="87">
        <v>0</v>
      </c>
      <c r="H178" s="87">
        <v>1379.6</v>
      </c>
      <c r="I178" s="87">
        <v>2009.9</v>
      </c>
      <c r="J178" s="87">
        <v>6262.2</v>
      </c>
      <c r="K178" s="87">
        <v>1958.9</v>
      </c>
      <c r="L178" s="87">
        <v>1617.9</v>
      </c>
      <c r="M178" s="88">
        <v>85355.9</v>
      </c>
      <c r="N178" s="68"/>
      <c r="O178" s="70"/>
      <c r="P178" s="70"/>
    </row>
    <row r="179" spans="2:16" ht="15.6" hidden="1">
      <c r="B179" s="59"/>
      <c r="C179" s="88"/>
      <c r="D179" s="57"/>
      <c r="E179" s="87"/>
      <c r="F179" s="87"/>
      <c r="G179" s="87"/>
      <c r="H179" s="87"/>
      <c r="I179" s="87"/>
      <c r="J179" s="87"/>
      <c r="K179" s="87"/>
      <c r="L179" s="87"/>
      <c r="M179" s="88"/>
      <c r="N179" s="68"/>
      <c r="O179" s="70"/>
      <c r="P179" s="70"/>
    </row>
    <row r="180" spans="2:16" ht="15.6" hidden="1">
      <c r="B180" s="59" t="s">
        <v>301</v>
      </c>
      <c r="C180" s="88">
        <v>72336.2</v>
      </c>
      <c r="D180" s="57">
        <f>3059.2-1.1</f>
        <v>3058.1</v>
      </c>
      <c r="E180" s="87">
        <v>1.1000000000000001</v>
      </c>
      <c r="F180" s="87">
        <v>120</v>
      </c>
      <c r="G180" s="87">
        <v>0</v>
      </c>
      <c r="H180" s="87">
        <v>2495.1999999999998</v>
      </c>
      <c r="I180" s="87">
        <v>1549</v>
      </c>
      <c r="J180" s="87">
        <v>6321.1</v>
      </c>
      <c r="K180" s="87">
        <v>2395</v>
      </c>
      <c r="L180" s="87">
        <v>1565.1</v>
      </c>
      <c r="M180" s="88">
        <v>89840.6</v>
      </c>
      <c r="N180" s="68"/>
      <c r="O180" s="70"/>
      <c r="P180" s="70"/>
    </row>
    <row r="181" spans="2:16" ht="15.6" hidden="1">
      <c r="B181" s="59"/>
      <c r="C181" s="88"/>
      <c r="D181" s="57"/>
      <c r="E181" s="87"/>
      <c r="F181" s="87"/>
      <c r="G181" s="87"/>
      <c r="H181" s="87"/>
      <c r="I181" s="87"/>
      <c r="J181" s="87"/>
      <c r="K181" s="87"/>
      <c r="L181" s="87"/>
      <c r="M181" s="88"/>
      <c r="N181" s="68"/>
      <c r="O181" s="70"/>
      <c r="P181" s="70"/>
    </row>
    <row r="182" spans="2:16" ht="15.6" hidden="1">
      <c r="B182" s="59" t="s">
        <v>302</v>
      </c>
      <c r="C182" s="88">
        <v>74604.100000000006</v>
      </c>
      <c r="D182" s="57">
        <f>2938.6-1.4</f>
        <v>2937.2</v>
      </c>
      <c r="E182" s="87">
        <v>1.4</v>
      </c>
      <c r="F182" s="87">
        <v>123.3</v>
      </c>
      <c r="G182" s="87">
        <v>0</v>
      </c>
      <c r="H182" s="87">
        <v>2603.9</v>
      </c>
      <c r="I182" s="87">
        <v>2241.5</v>
      </c>
      <c r="J182" s="87">
        <v>6358.3</v>
      </c>
      <c r="K182" s="87">
        <v>2389</v>
      </c>
      <c r="L182" s="87">
        <v>1538.3</v>
      </c>
      <c r="M182" s="88">
        <v>92796.9</v>
      </c>
      <c r="N182" s="68"/>
      <c r="O182" s="70"/>
      <c r="P182" s="70"/>
    </row>
    <row r="183" spans="2:16" ht="15.6" hidden="1">
      <c r="B183" s="59"/>
      <c r="C183" s="88"/>
      <c r="D183" s="57"/>
      <c r="E183" s="87"/>
      <c r="F183" s="87"/>
      <c r="G183" s="87"/>
      <c r="H183" s="87"/>
      <c r="I183" s="87"/>
      <c r="J183" s="87"/>
      <c r="K183" s="87"/>
      <c r="L183" s="87"/>
      <c r="M183" s="88"/>
      <c r="N183" s="68"/>
      <c r="O183" s="70"/>
      <c r="P183" s="70"/>
    </row>
    <row r="184" spans="2:16" ht="15.6" hidden="1">
      <c r="B184" s="59" t="s">
        <v>303</v>
      </c>
      <c r="C184" s="88">
        <v>76062.2</v>
      </c>
      <c r="D184" s="57">
        <f>2807-1.4</f>
        <v>2805.6</v>
      </c>
      <c r="E184" s="87">
        <v>1.4</v>
      </c>
      <c r="F184" s="87">
        <v>119.1</v>
      </c>
      <c r="G184" s="87">
        <v>0</v>
      </c>
      <c r="H184" s="87">
        <v>2263.3000000000002</v>
      </c>
      <c r="I184" s="87">
        <v>4445.1000000000004</v>
      </c>
      <c r="J184" s="87">
        <v>6465.9</v>
      </c>
      <c r="K184" s="87">
        <v>2410.6999999999998</v>
      </c>
      <c r="L184" s="87">
        <v>1523.3</v>
      </c>
      <c r="M184" s="88">
        <v>96096.7</v>
      </c>
      <c r="N184" s="68"/>
      <c r="O184" s="70"/>
      <c r="P184" s="70"/>
    </row>
    <row r="185" spans="2:16" ht="15.6" hidden="1">
      <c r="B185" s="59"/>
      <c r="C185" s="88"/>
      <c r="D185" s="57"/>
      <c r="E185" s="87"/>
      <c r="F185" s="87"/>
      <c r="G185" s="87"/>
      <c r="H185" s="87"/>
      <c r="I185" s="87"/>
      <c r="J185" s="87"/>
      <c r="K185" s="87"/>
      <c r="L185" s="87"/>
      <c r="M185" s="88"/>
      <c r="N185" s="68"/>
      <c r="O185" s="70"/>
      <c r="P185" s="70"/>
    </row>
    <row r="186" spans="2:16" ht="15.6" hidden="1">
      <c r="B186" s="59" t="s">
        <v>304</v>
      </c>
      <c r="C186" s="88">
        <v>79822.2</v>
      </c>
      <c r="D186" s="57">
        <f>3635.6-8.3</f>
        <v>3627.2999999999997</v>
      </c>
      <c r="E186" s="87">
        <v>8.3000000000000007</v>
      </c>
      <c r="F186" s="87">
        <v>121.6</v>
      </c>
      <c r="G186" s="87">
        <v>0</v>
      </c>
      <c r="H186" s="87">
        <v>2190</v>
      </c>
      <c r="I186" s="87">
        <v>3208.4</v>
      </c>
      <c r="J186" s="87">
        <v>6551.1</v>
      </c>
      <c r="K186" s="87">
        <v>2471.1999999999998</v>
      </c>
      <c r="L186" s="87">
        <v>1524.8</v>
      </c>
      <c r="M186" s="88">
        <v>99524.9</v>
      </c>
      <c r="N186" s="68"/>
      <c r="O186" s="70"/>
      <c r="P186" s="70"/>
    </row>
    <row r="187" spans="2:16" ht="15.6" hidden="1">
      <c r="B187" s="59"/>
      <c r="C187" s="88"/>
      <c r="D187" s="57"/>
      <c r="E187" s="87"/>
      <c r="F187" s="87"/>
      <c r="G187" s="87"/>
      <c r="H187" s="87"/>
      <c r="I187" s="87"/>
      <c r="J187" s="87"/>
      <c r="K187" s="87"/>
      <c r="L187" s="87"/>
      <c r="M187" s="88"/>
      <c r="N187" s="68"/>
      <c r="O187" s="70"/>
      <c r="P187" s="70"/>
    </row>
    <row r="188" spans="2:16" ht="15.6" hidden="1">
      <c r="B188" s="59" t="s">
        <v>305</v>
      </c>
      <c r="C188" s="88">
        <v>85822.5</v>
      </c>
      <c r="D188" s="57">
        <f>3218.9-1.5</f>
        <v>3217.4</v>
      </c>
      <c r="E188" s="87">
        <v>1.5</v>
      </c>
      <c r="F188" s="87">
        <v>441.5</v>
      </c>
      <c r="G188" s="87">
        <v>0</v>
      </c>
      <c r="H188" s="87">
        <v>2551.6999999999998</v>
      </c>
      <c r="I188" s="87">
        <v>2683.7</v>
      </c>
      <c r="J188" s="87">
        <v>6631.3</v>
      </c>
      <c r="K188" s="87">
        <v>2552.1999999999998</v>
      </c>
      <c r="L188" s="87">
        <v>1508.2</v>
      </c>
      <c r="M188" s="88">
        <v>105410.1</v>
      </c>
      <c r="N188" s="68"/>
      <c r="O188" s="70"/>
      <c r="P188" s="70"/>
    </row>
    <row r="189" spans="2:16" ht="15.6" hidden="1">
      <c r="B189" s="59"/>
      <c r="C189" s="88"/>
      <c r="D189" s="57"/>
      <c r="E189" s="87"/>
      <c r="F189" s="87"/>
      <c r="G189" s="87"/>
      <c r="H189" s="87"/>
      <c r="I189" s="87"/>
      <c r="J189" s="87"/>
      <c r="K189" s="87"/>
      <c r="L189" s="87"/>
      <c r="M189" s="88"/>
      <c r="N189" s="68"/>
      <c r="O189" s="70"/>
      <c r="P189" s="70"/>
    </row>
    <row r="190" spans="2:16" ht="15.6" hidden="1">
      <c r="B190" s="59" t="s">
        <v>306</v>
      </c>
      <c r="C190" s="88">
        <v>87010.1</v>
      </c>
      <c r="D190" s="57">
        <f>2864.6-11</f>
        <v>2853.6</v>
      </c>
      <c r="E190" s="87">
        <v>11</v>
      </c>
      <c r="F190" s="87">
        <v>491</v>
      </c>
      <c r="G190" s="87">
        <v>0</v>
      </c>
      <c r="H190" s="87">
        <v>2573.9</v>
      </c>
      <c r="I190" s="87">
        <v>4911.8999999999996</v>
      </c>
      <c r="J190" s="87">
        <v>6724.5</v>
      </c>
      <c r="K190" s="87">
        <v>2521.6</v>
      </c>
      <c r="L190" s="87">
        <v>1499.9</v>
      </c>
      <c r="M190" s="88">
        <v>108597.5</v>
      </c>
      <c r="N190" s="68"/>
      <c r="O190" s="70"/>
      <c r="P190" s="70"/>
    </row>
    <row r="191" spans="2:16" ht="15.6" hidden="1">
      <c r="B191" s="59"/>
      <c r="C191" s="88"/>
      <c r="D191" s="57"/>
      <c r="E191" s="87"/>
      <c r="F191" s="87"/>
      <c r="G191" s="87"/>
      <c r="H191" s="87"/>
      <c r="I191" s="87"/>
      <c r="J191" s="87"/>
      <c r="K191" s="87"/>
      <c r="L191" s="87"/>
      <c r="M191" s="88"/>
      <c r="N191" s="68"/>
      <c r="O191" s="70"/>
      <c r="P191" s="70"/>
    </row>
    <row r="192" spans="2:16" ht="15.6" hidden="1">
      <c r="B192" s="59" t="s">
        <v>307</v>
      </c>
      <c r="C192" s="88">
        <v>97175.5</v>
      </c>
      <c r="D192" s="57">
        <f>2480.9-12.8</f>
        <v>2468.1</v>
      </c>
      <c r="E192" s="87">
        <v>12.8</v>
      </c>
      <c r="F192" s="87">
        <v>127.9</v>
      </c>
      <c r="G192" s="87">
        <v>0</v>
      </c>
      <c r="H192" s="87">
        <v>1939.2</v>
      </c>
      <c r="I192" s="87">
        <v>4848.5</v>
      </c>
      <c r="J192" s="87">
        <v>6798.2</v>
      </c>
      <c r="K192" s="87">
        <v>2530.4</v>
      </c>
      <c r="L192" s="87">
        <v>1481</v>
      </c>
      <c r="M192" s="88">
        <v>117381.6</v>
      </c>
      <c r="N192" s="68"/>
      <c r="O192" s="70"/>
      <c r="P192" s="70"/>
    </row>
    <row r="193" spans="2:16" ht="15.6" hidden="1">
      <c r="B193" s="59"/>
      <c r="C193" s="88"/>
      <c r="D193" s="57"/>
      <c r="E193" s="87"/>
      <c r="F193" s="87"/>
      <c r="G193" s="87"/>
      <c r="H193" s="87"/>
      <c r="I193" s="87"/>
      <c r="J193" s="87"/>
      <c r="K193" s="87"/>
      <c r="L193" s="87"/>
      <c r="M193" s="88"/>
      <c r="N193" s="68"/>
      <c r="O193" s="70"/>
      <c r="P193" s="70"/>
    </row>
    <row r="194" spans="2:16" ht="15.6" hidden="1">
      <c r="B194" s="59" t="s">
        <v>308</v>
      </c>
      <c r="C194" s="88">
        <v>97945.3</v>
      </c>
      <c r="D194" s="57">
        <f>2405.6-2.4</f>
        <v>2403.1999999999998</v>
      </c>
      <c r="E194" s="87">
        <v>2.4</v>
      </c>
      <c r="F194" s="87">
        <v>480.9</v>
      </c>
      <c r="G194" s="87">
        <v>0</v>
      </c>
      <c r="H194" s="87">
        <v>1728</v>
      </c>
      <c r="I194" s="87">
        <v>4838.3999999999996</v>
      </c>
      <c r="J194" s="87">
        <v>6915.8</v>
      </c>
      <c r="K194" s="87">
        <v>2462.3000000000002</v>
      </c>
      <c r="L194" s="87">
        <v>1466.7</v>
      </c>
      <c r="M194" s="88">
        <v>118243.3</v>
      </c>
      <c r="N194" s="68"/>
      <c r="O194" s="70"/>
      <c r="P194" s="70"/>
    </row>
    <row r="195" spans="2:16" ht="15.6" hidden="1">
      <c r="B195" s="59"/>
      <c r="C195" s="88"/>
      <c r="D195" s="57"/>
      <c r="E195" s="87"/>
      <c r="F195" s="87"/>
      <c r="G195" s="87"/>
      <c r="H195" s="87"/>
      <c r="I195" s="87"/>
      <c r="J195" s="87"/>
      <c r="K195" s="87"/>
      <c r="L195" s="87"/>
      <c r="M195" s="88"/>
      <c r="N195" s="68"/>
      <c r="O195" s="70"/>
      <c r="P195" s="70"/>
    </row>
    <row r="196" spans="2:16" ht="15.6" hidden="1">
      <c r="B196" s="59" t="s">
        <v>311</v>
      </c>
      <c r="C196" s="88">
        <v>99448.7</v>
      </c>
      <c r="D196" s="57">
        <f>2805.8-1</f>
        <v>2804.8</v>
      </c>
      <c r="E196" s="87">
        <v>1</v>
      </c>
      <c r="F196" s="87">
        <v>707.4</v>
      </c>
      <c r="G196" s="87">
        <v>0</v>
      </c>
      <c r="H196" s="87">
        <v>232.1</v>
      </c>
      <c r="I196" s="87">
        <v>3399.4</v>
      </c>
      <c r="J196" s="87">
        <v>6981.6</v>
      </c>
      <c r="K196" s="87">
        <v>2540.3000000000002</v>
      </c>
      <c r="L196" s="87">
        <v>1443.4</v>
      </c>
      <c r="M196" s="88">
        <v>117558.7</v>
      </c>
      <c r="N196" s="68"/>
      <c r="O196" s="70"/>
      <c r="P196" s="70"/>
    </row>
    <row r="197" spans="2:16" ht="15.6" hidden="1">
      <c r="B197" s="59"/>
      <c r="C197" s="69"/>
      <c r="D197" s="65"/>
      <c r="E197" s="68"/>
      <c r="F197" s="68"/>
      <c r="G197" s="68"/>
      <c r="H197" s="68"/>
      <c r="I197" s="68"/>
      <c r="J197" s="68"/>
      <c r="K197" s="68"/>
      <c r="L197" s="68"/>
      <c r="M197" s="69"/>
      <c r="N197" s="68"/>
      <c r="O197" s="70"/>
      <c r="P197" s="70"/>
    </row>
    <row r="198" spans="2:16" ht="15.6" hidden="1">
      <c r="B198" s="57">
        <v>2001</v>
      </c>
      <c r="C198" s="69"/>
      <c r="D198" s="65"/>
      <c r="E198" s="68"/>
      <c r="F198" s="68"/>
      <c r="G198" s="68"/>
      <c r="H198" s="68"/>
      <c r="I198" s="68"/>
      <c r="J198" s="68"/>
      <c r="K198" s="68"/>
      <c r="L198" s="68"/>
      <c r="M198" s="69"/>
      <c r="N198" s="68"/>
      <c r="O198" s="70"/>
      <c r="P198" s="70"/>
    </row>
    <row r="199" spans="2:16" ht="15.6" hidden="1">
      <c r="B199" s="59"/>
      <c r="C199" s="69"/>
      <c r="D199" s="65"/>
      <c r="E199" s="68"/>
      <c r="F199" s="68"/>
      <c r="G199" s="68"/>
      <c r="H199" s="68"/>
      <c r="I199" s="68"/>
      <c r="J199" s="68"/>
      <c r="K199" s="68"/>
      <c r="L199" s="68"/>
      <c r="M199" s="69"/>
      <c r="N199" s="68"/>
      <c r="O199" s="70"/>
      <c r="P199" s="70"/>
    </row>
    <row r="200" spans="2:16" ht="15.6" hidden="1">
      <c r="B200" s="59" t="s">
        <v>298</v>
      </c>
      <c r="C200" s="88">
        <v>104035.8</v>
      </c>
      <c r="D200" s="57">
        <f>4233.3-2.4</f>
        <v>4230.9000000000005</v>
      </c>
      <c r="E200" s="87">
        <v>2.4</v>
      </c>
      <c r="F200" s="87">
        <v>95.7</v>
      </c>
      <c r="G200" s="87">
        <v>0</v>
      </c>
      <c r="H200" s="87">
        <v>1154.9000000000001</v>
      </c>
      <c r="I200" s="87">
        <v>7017.6</v>
      </c>
      <c r="J200" s="87">
        <v>7147.8</v>
      </c>
      <c r="K200" s="87">
        <v>2657.4</v>
      </c>
      <c r="L200" s="87">
        <v>1520.5</v>
      </c>
      <c r="M200" s="88">
        <v>127863</v>
      </c>
      <c r="N200" s="68"/>
      <c r="O200" s="70"/>
      <c r="P200" s="70"/>
    </row>
    <row r="201" spans="2:16" ht="15.6" hidden="1">
      <c r="B201" s="59"/>
      <c r="C201" s="88"/>
      <c r="D201" s="57"/>
      <c r="E201" s="87"/>
      <c r="F201" s="87"/>
      <c r="G201" s="87"/>
      <c r="H201" s="87"/>
      <c r="I201" s="87"/>
      <c r="J201" s="87"/>
      <c r="K201" s="87"/>
      <c r="L201" s="87"/>
      <c r="M201" s="88"/>
      <c r="N201" s="68"/>
      <c r="O201" s="70"/>
      <c r="P201" s="70"/>
    </row>
    <row r="202" spans="2:16" ht="15.6" hidden="1">
      <c r="B202" s="59" t="s">
        <v>299</v>
      </c>
      <c r="C202" s="88">
        <v>111461</v>
      </c>
      <c r="D202" s="57">
        <f>4244.5-2.4</f>
        <v>4242.1000000000004</v>
      </c>
      <c r="E202" s="87">
        <v>2.4</v>
      </c>
      <c r="F202" s="87">
        <v>166.3</v>
      </c>
      <c r="G202" s="87">
        <v>0</v>
      </c>
      <c r="H202" s="87">
        <v>1156.9000000000001</v>
      </c>
      <c r="I202" s="87">
        <v>6139.9</v>
      </c>
      <c r="J202" s="87">
        <v>7370.8</v>
      </c>
      <c r="K202" s="87">
        <v>2689.2</v>
      </c>
      <c r="L202" s="87">
        <v>1533.4</v>
      </c>
      <c r="M202" s="88">
        <v>134762.29999999999</v>
      </c>
      <c r="N202" s="68"/>
      <c r="O202" s="70"/>
      <c r="P202" s="70"/>
    </row>
    <row r="203" spans="2:16" ht="15.6" hidden="1">
      <c r="B203" s="59"/>
      <c r="C203" s="88"/>
      <c r="D203" s="57"/>
      <c r="E203" s="87"/>
      <c r="F203" s="87"/>
      <c r="G203" s="87"/>
      <c r="H203" s="87"/>
      <c r="I203" s="87"/>
      <c r="J203" s="87"/>
      <c r="K203" s="87"/>
      <c r="L203" s="87"/>
      <c r="M203" s="88"/>
      <c r="N203" s="68"/>
      <c r="O203" s="70"/>
      <c r="P203" s="70"/>
    </row>
    <row r="204" spans="2:16" ht="15.6" hidden="1">
      <c r="B204" s="59" t="s">
        <v>300</v>
      </c>
      <c r="C204" s="88">
        <v>117614.7</v>
      </c>
      <c r="D204" s="57">
        <f>3550.5-7.6</f>
        <v>3542.9</v>
      </c>
      <c r="E204" s="87">
        <v>7.6</v>
      </c>
      <c r="F204" s="87">
        <f>242.3-116.3</f>
        <v>126.00000000000001</v>
      </c>
      <c r="G204" s="87">
        <v>116.3</v>
      </c>
      <c r="H204" s="87">
        <v>1511.5</v>
      </c>
      <c r="I204" s="87">
        <v>7664.7</v>
      </c>
      <c r="J204" s="87">
        <v>7883.4</v>
      </c>
      <c r="K204" s="87">
        <v>3571.2</v>
      </c>
      <c r="L204" s="87">
        <v>1574.1</v>
      </c>
      <c r="M204" s="88">
        <v>143612.4</v>
      </c>
      <c r="N204" s="68"/>
      <c r="O204" s="70"/>
      <c r="P204" s="70"/>
    </row>
    <row r="205" spans="2:16" ht="15.6" hidden="1">
      <c r="B205" s="59"/>
      <c r="C205" s="88"/>
      <c r="D205" s="57"/>
      <c r="E205" s="87"/>
      <c r="F205" s="87"/>
      <c r="G205" s="87"/>
      <c r="H205" s="87"/>
      <c r="I205" s="87"/>
      <c r="J205" s="87"/>
      <c r="K205" s="87"/>
      <c r="L205" s="87"/>
      <c r="M205" s="88"/>
      <c r="N205" s="68"/>
      <c r="O205" s="70"/>
      <c r="P205" s="70"/>
    </row>
    <row r="206" spans="2:16" ht="15.6" hidden="1">
      <c r="B206" s="59" t="s">
        <v>301</v>
      </c>
      <c r="C206" s="88">
        <v>122489.7</v>
      </c>
      <c r="D206" s="57">
        <f>4610.5-E206</f>
        <v>4610.3</v>
      </c>
      <c r="E206" s="87">
        <v>0.2</v>
      </c>
      <c r="F206" s="87">
        <f>196.6-G206</f>
        <v>87.699999999999989</v>
      </c>
      <c r="G206" s="87">
        <v>108.9</v>
      </c>
      <c r="H206" s="87">
        <v>1545.9</v>
      </c>
      <c r="I206" s="87">
        <v>7431.3</v>
      </c>
      <c r="J206" s="87">
        <v>8328.7999999999993</v>
      </c>
      <c r="K206" s="87">
        <v>3699.1</v>
      </c>
      <c r="L206" s="87">
        <v>1609.4</v>
      </c>
      <c r="M206" s="88">
        <v>149911.20000000001</v>
      </c>
      <c r="N206" s="68"/>
      <c r="O206" s="70"/>
      <c r="P206" s="70"/>
    </row>
    <row r="207" spans="2:16" ht="15.6" hidden="1">
      <c r="B207" s="59"/>
      <c r="C207" s="88"/>
      <c r="D207" s="57"/>
      <c r="E207" s="87"/>
      <c r="F207" s="87"/>
      <c r="G207" s="87"/>
      <c r="H207" s="87"/>
      <c r="I207" s="87"/>
      <c r="J207" s="87"/>
      <c r="K207" s="87"/>
      <c r="L207" s="87"/>
      <c r="M207" s="88"/>
      <c r="N207" s="68"/>
      <c r="O207" s="70"/>
      <c r="P207" s="70"/>
    </row>
    <row r="208" spans="2:16" ht="15.6" hidden="1">
      <c r="B208" s="59" t="s">
        <v>302</v>
      </c>
      <c r="C208" s="88">
        <v>135258.70000000001</v>
      </c>
      <c r="D208" s="57">
        <v>4213.8999999999996</v>
      </c>
      <c r="E208" s="87">
        <v>0</v>
      </c>
      <c r="F208" s="87">
        <f>209.8-148.7</f>
        <v>61.100000000000023</v>
      </c>
      <c r="G208" s="87">
        <v>148.69999999999999</v>
      </c>
      <c r="H208" s="87">
        <v>3014.4</v>
      </c>
      <c r="I208" s="87">
        <v>4228.3999999999996</v>
      </c>
      <c r="J208" s="87">
        <v>8750.9</v>
      </c>
      <c r="K208" s="87">
        <v>3599.5</v>
      </c>
      <c r="L208" s="87">
        <v>1675.6</v>
      </c>
      <c r="M208" s="88">
        <v>160951.20000000001</v>
      </c>
      <c r="N208" s="68"/>
      <c r="O208" s="70"/>
      <c r="P208" s="70"/>
    </row>
    <row r="209" spans="2:16" ht="15.6" hidden="1">
      <c r="B209" s="59"/>
      <c r="C209" s="88"/>
      <c r="D209" s="57"/>
      <c r="E209" s="87"/>
      <c r="F209" s="87"/>
      <c r="G209" s="87"/>
      <c r="H209" s="87"/>
      <c r="I209" s="87"/>
      <c r="J209" s="87"/>
      <c r="K209" s="87"/>
      <c r="L209" s="87"/>
      <c r="M209" s="88"/>
      <c r="N209" s="68"/>
      <c r="O209" s="70"/>
      <c r="P209" s="70"/>
    </row>
    <row r="210" spans="2:16" ht="15.6" hidden="1">
      <c r="B210" s="59" t="s">
        <v>303</v>
      </c>
      <c r="C210" s="88">
        <v>139444.79999999999</v>
      </c>
      <c r="D210" s="57">
        <f>5594.4-6.1</f>
        <v>5588.2999999999993</v>
      </c>
      <c r="E210" s="87">
        <v>6.1</v>
      </c>
      <c r="F210" s="87">
        <f>568.3-140.7</f>
        <v>427.59999999999997</v>
      </c>
      <c r="G210" s="87">
        <v>140.69999999999999</v>
      </c>
      <c r="H210" s="87">
        <v>3923.3</v>
      </c>
      <c r="I210" s="87">
        <v>2939.9</v>
      </c>
      <c r="J210" s="87">
        <v>9273.2999999999993</v>
      </c>
      <c r="K210" s="87">
        <v>3617.7</v>
      </c>
      <c r="L210" s="87">
        <v>1754.5</v>
      </c>
      <c r="M210" s="88">
        <v>167116</v>
      </c>
      <c r="N210" s="68"/>
      <c r="O210" s="70"/>
      <c r="P210" s="70"/>
    </row>
    <row r="211" spans="2:16" ht="15.6" hidden="1">
      <c r="B211" s="59"/>
      <c r="C211" s="88"/>
      <c r="D211" s="57"/>
      <c r="E211" s="87"/>
      <c r="F211" s="87"/>
      <c r="G211" s="87"/>
      <c r="H211" s="87"/>
      <c r="I211" s="87"/>
      <c r="J211" s="87"/>
      <c r="K211" s="87"/>
      <c r="L211" s="87"/>
      <c r="M211" s="88"/>
      <c r="N211" s="68"/>
      <c r="O211" s="70"/>
      <c r="P211" s="70"/>
    </row>
    <row r="212" spans="2:16" ht="15.6" hidden="1">
      <c r="B212" s="59" t="s">
        <v>304</v>
      </c>
      <c r="C212" s="88">
        <v>151754.4</v>
      </c>
      <c r="D212" s="57">
        <f>8421.1-6.2</f>
        <v>8414.9</v>
      </c>
      <c r="E212" s="87">
        <v>6.2</v>
      </c>
      <c r="F212" s="87">
        <f>426.8-130.9</f>
        <v>295.89999999999998</v>
      </c>
      <c r="G212" s="87">
        <v>130.9</v>
      </c>
      <c r="H212" s="87">
        <v>3576.8</v>
      </c>
      <c r="I212" s="87">
        <v>2539.1999999999998</v>
      </c>
      <c r="J212" s="87">
        <v>9585</v>
      </c>
      <c r="K212" s="87">
        <v>3643.5</v>
      </c>
      <c r="L212" s="87">
        <v>1999.7</v>
      </c>
      <c r="M212" s="88">
        <v>181946.5</v>
      </c>
      <c r="N212" s="68"/>
      <c r="O212" s="70"/>
      <c r="P212" s="70"/>
    </row>
    <row r="213" spans="2:16" ht="15.6" hidden="1">
      <c r="B213" s="59"/>
      <c r="C213" s="88"/>
      <c r="D213" s="57"/>
      <c r="E213" s="87"/>
      <c r="F213" s="87"/>
      <c r="G213" s="87"/>
      <c r="H213" s="87"/>
      <c r="I213" s="87"/>
      <c r="J213" s="87"/>
      <c r="K213" s="87"/>
      <c r="L213" s="87"/>
      <c r="M213" s="88"/>
      <c r="N213" s="68"/>
      <c r="O213" s="70"/>
      <c r="P213" s="70"/>
    </row>
    <row r="214" spans="2:16" ht="15.6" hidden="1">
      <c r="B214" s="59" t="s">
        <v>305</v>
      </c>
      <c r="C214" s="88">
        <v>157103.6</v>
      </c>
      <c r="D214" s="57">
        <v>7371.5</v>
      </c>
      <c r="E214" s="87">
        <v>0</v>
      </c>
      <c r="F214" s="87">
        <f>497.7-148.9</f>
        <v>348.79999999999995</v>
      </c>
      <c r="G214" s="87">
        <v>148.9</v>
      </c>
      <c r="H214" s="87">
        <v>3760.8</v>
      </c>
      <c r="I214" s="87">
        <v>4933.3999999999996</v>
      </c>
      <c r="J214" s="87">
        <v>9847.7000000000007</v>
      </c>
      <c r="K214" s="87">
        <v>3705.4</v>
      </c>
      <c r="L214" s="87">
        <v>2027.7</v>
      </c>
      <c r="M214" s="88">
        <v>189247.8</v>
      </c>
      <c r="N214" s="68"/>
      <c r="O214" s="70"/>
      <c r="P214" s="70"/>
    </row>
    <row r="215" spans="2:16" ht="15.6" hidden="1">
      <c r="B215" s="59"/>
      <c r="C215" s="88"/>
      <c r="D215" s="57"/>
      <c r="E215" s="87"/>
      <c r="F215" s="87"/>
      <c r="G215" s="87"/>
      <c r="H215" s="87"/>
      <c r="I215" s="87"/>
      <c r="J215" s="87"/>
      <c r="K215" s="87"/>
      <c r="L215" s="87"/>
      <c r="M215" s="88"/>
      <c r="N215" s="68"/>
      <c r="O215" s="70"/>
      <c r="P215" s="70"/>
    </row>
    <row r="216" spans="2:16" ht="15.6" hidden="1">
      <c r="B216" s="59" t="s">
        <v>306</v>
      </c>
      <c r="C216" s="88">
        <v>165060.9</v>
      </c>
      <c r="D216" s="57">
        <v>10268.6</v>
      </c>
      <c r="E216" s="87">
        <v>0</v>
      </c>
      <c r="F216" s="87">
        <f>301.2-145.1</f>
        <v>156.1</v>
      </c>
      <c r="G216" s="87">
        <v>145.1</v>
      </c>
      <c r="H216" s="87">
        <v>4009.5</v>
      </c>
      <c r="I216" s="87">
        <v>4436.6000000000004</v>
      </c>
      <c r="J216" s="87">
        <v>10127.6</v>
      </c>
      <c r="K216" s="87">
        <v>3701</v>
      </c>
      <c r="L216" s="87">
        <v>1982</v>
      </c>
      <c r="M216" s="88">
        <v>199887.4</v>
      </c>
      <c r="N216" s="68"/>
      <c r="O216" s="70"/>
      <c r="P216" s="70"/>
    </row>
    <row r="217" spans="2:16" ht="15.6" hidden="1">
      <c r="B217" s="59"/>
      <c r="C217" s="88"/>
      <c r="D217" s="57"/>
      <c r="E217" s="87"/>
      <c r="F217" s="87"/>
      <c r="G217" s="87"/>
      <c r="H217" s="87"/>
      <c r="I217" s="87"/>
      <c r="J217" s="87"/>
      <c r="K217" s="87"/>
      <c r="L217" s="87"/>
      <c r="M217" s="88"/>
      <c r="N217" s="68"/>
      <c r="O217" s="70"/>
      <c r="P217" s="70"/>
    </row>
    <row r="218" spans="2:16" ht="15.6" hidden="1">
      <c r="B218" s="59" t="s">
        <v>307</v>
      </c>
      <c r="C218" s="88">
        <v>177809.1</v>
      </c>
      <c r="D218" s="57">
        <v>18419.5</v>
      </c>
      <c r="E218" s="87">
        <v>0</v>
      </c>
      <c r="F218" s="87">
        <f>330.1-117.3</f>
        <v>212.8</v>
      </c>
      <c r="G218" s="87">
        <v>117.3</v>
      </c>
      <c r="H218" s="87">
        <v>3947.4</v>
      </c>
      <c r="I218" s="87">
        <v>5478.6</v>
      </c>
      <c r="J218" s="87">
        <v>10410.6</v>
      </c>
      <c r="K218" s="87">
        <v>3651.7</v>
      </c>
      <c r="L218" s="87">
        <v>2006.6</v>
      </c>
      <c r="M218" s="88">
        <v>222053.6</v>
      </c>
      <c r="N218" s="68"/>
      <c r="O218" s="70"/>
      <c r="P218" s="70"/>
    </row>
    <row r="219" spans="2:16" ht="15.6" hidden="1">
      <c r="B219" s="59"/>
      <c r="C219" s="88"/>
      <c r="D219" s="57"/>
      <c r="E219" s="87"/>
      <c r="F219" s="87"/>
      <c r="G219" s="87"/>
      <c r="H219" s="87"/>
      <c r="I219" s="87"/>
      <c r="J219" s="87"/>
      <c r="K219" s="87"/>
      <c r="L219" s="87"/>
      <c r="M219" s="88"/>
      <c r="N219" s="68"/>
      <c r="O219" s="70"/>
      <c r="P219" s="70"/>
    </row>
    <row r="220" spans="2:16" ht="15.6" hidden="1">
      <c r="B220" s="59" t="s">
        <v>308</v>
      </c>
      <c r="C220" s="88">
        <v>192731.7</v>
      </c>
      <c r="D220" s="57">
        <v>18920.8</v>
      </c>
      <c r="E220" s="87">
        <v>0</v>
      </c>
      <c r="F220" s="87">
        <f>149-93</f>
        <v>56</v>
      </c>
      <c r="G220" s="87">
        <v>93</v>
      </c>
      <c r="H220" s="87">
        <v>4193.8</v>
      </c>
      <c r="I220" s="87">
        <v>2782.7</v>
      </c>
      <c r="J220" s="87">
        <v>10616.3</v>
      </c>
      <c r="K220" s="87">
        <v>3640.3</v>
      </c>
      <c r="L220" s="87">
        <v>2027.1</v>
      </c>
      <c r="M220" s="88">
        <v>235061.7</v>
      </c>
      <c r="N220" s="68"/>
      <c r="O220" s="70"/>
      <c r="P220" s="70"/>
    </row>
    <row r="221" spans="2:16" ht="15.6" hidden="1">
      <c r="B221" s="59"/>
      <c r="C221" s="88"/>
      <c r="D221" s="57"/>
      <c r="E221" s="87"/>
      <c r="F221" s="87"/>
      <c r="G221" s="87"/>
      <c r="H221" s="87"/>
      <c r="I221" s="87"/>
      <c r="J221" s="87"/>
      <c r="K221" s="87"/>
      <c r="L221" s="87"/>
      <c r="M221" s="88"/>
      <c r="N221" s="68"/>
      <c r="O221" s="70"/>
      <c r="P221" s="70"/>
    </row>
    <row r="222" spans="2:16" ht="15.6" hidden="1">
      <c r="B222" s="59" t="s">
        <v>311</v>
      </c>
      <c r="C222" s="88">
        <v>196858</v>
      </c>
      <c r="D222" s="57">
        <v>18019.7</v>
      </c>
      <c r="E222" s="87">
        <v>0</v>
      </c>
      <c r="F222" s="87">
        <f>300-122.6</f>
        <v>177.4</v>
      </c>
      <c r="G222" s="87">
        <v>122.6</v>
      </c>
      <c r="H222" s="87">
        <v>4245.8</v>
      </c>
      <c r="I222" s="87">
        <v>2284</v>
      </c>
      <c r="J222" s="87">
        <v>10885.4</v>
      </c>
      <c r="K222" s="87">
        <v>3661.4</v>
      </c>
      <c r="L222" s="87">
        <v>2046.3</v>
      </c>
      <c r="M222" s="88">
        <v>238300.5</v>
      </c>
      <c r="N222" s="68"/>
      <c r="O222" s="70"/>
      <c r="P222" s="70"/>
    </row>
    <row r="223" spans="2:16" ht="15.6" hidden="1">
      <c r="B223" s="59"/>
      <c r="C223" s="88"/>
      <c r="D223" s="57"/>
      <c r="E223" s="87"/>
      <c r="F223" s="87"/>
      <c r="G223" s="87"/>
      <c r="H223" s="87"/>
      <c r="I223" s="87"/>
      <c r="J223" s="87"/>
      <c r="K223" s="87"/>
      <c r="L223" s="87"/>
      <c r="M223" s="88"/>
      <c r="N223" s="68"/>
      <c r="O223" s="70"/>
      <c r="P223" s="70"/>
    </row>
    <row r="224" spans="2:16" ht="15.6" hidden="1">
      <c r="B224" s="57">
        <v>2002</v>
      </c>
      <c r="C224" s="88"/>
      <c r="D224" s="57"/>
      <c r="E224" s="87"/>
      <c r="F224" s="87"/>
      <c r="G224" s="87"/>
      <c r="H224" s="87"/>
      <c r="I224" s="87"/>
      <c r="J224" s="87"/>
      <c r="K224" s="87"/>
      <c r="L224" s="87"/>
      <c r="M224" s="88"/>
      <c r="N224" s="68"/>
      <c r="O224" s="70"/>
      <c r="P224" s="70"/>
    </row>
    <row r="225" spans="2:16" ht="15.6" hidden="1">
      <c r="B225" s="57"/>
      <c r="C225" s="88"/>
      <c r="D225" s="57"/>
      <c r="E225" s="87"/>
      <c r="F225" s="87"/>
      <c r="G225" s="87"/>
      <c r="H225" s="87"/>
      <c r="I225" s="87"/>
      <c r="J225" s="87"/>
      <c r="K225" s="87"/>
      <c r="L225" s="87"/>
      <c r="M225" s="88"/>
      <c r="N225" s="68"/>
      <c r="O225" s="70"/>
      <c r="P225" s="70"/>
    </row>
    <row r="226" spans="2:16" ht="19.5" hidden="1" customHeight="1">
      <c r="B226" s="59" t="s">
        <v>298</v>
      </c>
      <c r="C226" s="88">
        <v>214888.9</v>
      </c>
      <c r="D226" s="57">
        <v>16406.3</v>
      </c>
      <c r="E226" s="87">
        <v>0</v>
      </c>
      <c r="F226" s="87">
        <f>246.2-118.2</f>
        <v>127.99999999999999</v>
      </c>
      <c r="G226" s="87">
        <v>118.2</v>
      </c>
      <c r="H226" s="87">
        <v>5670.2</v>
      </c>
      <c r="I226" s="87">
        <v>1054.5</v>
      </c>
      <c r="J226" s="87">
        <v>11044.3</v>
      </c>
      <c r="K226" s="87">
        <v>3685.5</v>
      </c>
      <c r="L226" s="87">
        <v>2152.9</v>
      </c>
      <c r="M226" s="88">
        <v>255149</v>
      </c>
      <c r="N226" s="68"/>
      <c r="O226" s="70"/>
      <c r="P226" s="70"/>
    </row>
    <row r="227" spans="2:16" ht="19.5" hidden="1" customHeight="1">
      <c r="B227" s="59"/>
      <c r="C227" s="88"/>
      <c r="D227" s="57"/>
      <c r="E227" s="87"/>
      <c r="F227" s="87"/>
      <c r="G227" s="87"/>
      <c r="H227" s="87"/>
      <c r="I227" s="87"/>
      <c r="J227" s="87"/>
      <c r="K227" s="87"/>
      <c r="L227" s="87"/>
      <c r="M227" s="88"/>
      <c r="N227" s="68"/>
      <c r="O227" s="70"/>
      <c r="P227" s="70"/>
    </row>
    <row r="228" spans="2:16" ht="19.5" hidden="1" customHeight="1">
      <c r="B228" s="59" t="s">
        <v>299</v>
      </c>
      <c r="C228" s="88">
        <v>232084.2</v>
      </c>
      <c r="D228" s="87">
        <v>22247</v>
      </c>
      <c r="E228" s="87">
        <v>0</v>
      </c>
      <c r="F228" s="87">
        <f>1219.1-106.6</f>
        <v>1112.5</v>
      </c>
      <c r="G228" s="87">
        <v>106.6</v>
      </c>
      <c r="H228" s="87">
        <v>5225.3999999999996</v>
      </c>
      <c r="I228" s="87">
        <v>502.8</v>
      </c>
      <c r="J228" s="87">
        <v>11332.8</v>
      </c>
      <c r="K228" s="87">
        <v>3740.9</v>
      </c>
      <c r="L228" s="87">
        <v>2156</v>
      </c>
      <c r="M228" s="88">
        <v>278508.3</v>
      </c>
      <c r="N228" s="68"/>
      <c r="O228" s="70"/>
      <c r="P228" s="70"/>
    </row>
    <row r="229" spans="2:16" ht="19.5" hidden="1" customHeight="1">
      <c r="B229" s="59"/>
      <c r="C229" s="88"/>
      <c r="D229" s="87"/>
      <c r="E229" s="87"/>
      <c r="F229" s="87"/>
      <c r="G229" s="87"/>
      <c r="H229" s="87"/>
      <c r="I229" s="87"/>
      <c r="J229" s="87"/>
      <c r="K229" s="87"/>
      <c r="L229" s="87"/>
      <c r="M229" s="88"/>
      <c r="N229" s="68"/>
      <c r="O229" s="70"/>
      <c r="P229" s="70"/>
    </row>
    <row r="230" spans="2:16" ht="19.5" hidden="1" customHeight="1">
      <c r="B230" s="59" t="s">
        <v>300</v>
      </c>
      <c r="C230" s="88">
        <v>244865.4</v>
      </c>
      <c r="D230" s="87">
        <v>19996.099999999999</v>
      </c>
      <c r="E230" s="87">
        <v>0</v>
      </c>
      <c r="F230" s="87">
        <f>675.8-132.5</f>
        <v>543.29999999999995</v>
      </c>
      <c r="G230" s="87">
        <v>132.5</v>
      </c>
      <c r="H230" s="87">
        <v>3351.7</v>
      </c>
      <c r="I230" s="87">
        <v>790.2</v>
      </c>
      <c r="J230" s="87">
        <v>11587.2</v>
      </c>
      <c r="K230" s="87">
        <v>3724.3</v>
      </c>
      <c r="L230" s="87">
        <v>2181.1</v>
      </c>
      <c r="M230" s="88">
        <v>287171.90000000002</v>
      </c>
      <c r="N230" s="68"/>
      <c r="O230" s="70"/>
      <c r="P230" s="70"/>
    </row>
    <row r="231" spans="2:16" ht="19.5" hidden="1" customHeight="1">
      <c r="B231" s="59"/>
      <c r="C231" s="88"/>
      <c r="D231" s="87"/>
      <c r="E231" s="87"/>
      <c r="F231" s="87"/>
      <c r="G231" s="87"/>
      <c r="H231" s="87"/>
      <c r="I231" s="87"/>
      <c r="J231" s="87"/>
      <c r="K231" s="87"/>
      <c r="L231" s="87"/>
      <c r="M231" s="88"/>
      <c r="N231" s="68"/>
      <c r="O231" s="70"/>
      <c r="P231" s="70"/>
    </row>
    <row r="232" spans="2:16" ht="19.5" hidden="1" customHeight="1">
      <c r="B232" s="59" t="s">
        <v>301</v>
      </c>
      <c r="C232" s="88">
        <v>268030.8</v>
      </c>
      <c r="D232" s="87">
        <v>23810.9</v>
      </c>
      <c r="E232" s="87">
        <v>18.2</v>
      </c>
      <c r="F232" s="87">
        <v>2480.1999999999998</v>
      </c>
      <c r="G232" s="87">
        <v>129.30000000000001</v>
      </c>
      <c r="H232" s="87">
        <v>4399</v>
      </c>
      <c r="I232" s="87">
        <v>3716.2</v>
      </c>
      <c r="J232" s="87">
        <v>11870.1</v>
      </c>
      <c r="K232" s="87">
        <v>3792.6</v>
      </c>
      <c r="L232" s="87">
        <v>2146.4</v>
      </c>
      <c r="M232" s="88">
        <v>320393.8</v>
      </c>
      <c r="N232" s="68"/>
      <c r="O232" s="70"/>
      <c r="P232" s="70"/>
    </row>
    <row r="233" spans="2:16" ht="19.5" hidden="1" customHeight="1">
      <c r="B233" s="59"/>
      <c r="C233" s="88"/>
      <c r="D233" s="87"/>
      <c r="E233" s="87"/>
      <c r="F233" s="87"/>
      <c r="G233" s="87"/>
      <c r="H233" s="87"/>
      <c r="I233" s="87"/>
      <c r="J233" s="87"/>
      <c r="K233" s="87"/>
      <c r="L233" s="87"/>
      <c r="M233" s="88"/>
      <c r="N233" s="68"/>
      <c r="O233" s="70"/>
      <c r="P233" s="70"/>
    </row>
    <row r="234" spans="2:16" ht="19.5" hidden="1" customHeight="1">
      <c r="B234" s="59" t="s">
        <v>302</v>
      </c>
      <c r="C234" s="88">
        <v>274255.7</v>
      </c>
      <c r="D234" s="87">
        <f>21352-282</f>
        <v>21070</v>
      </c>
      <c r="E234" s="87">
        <f>261.5+20.5</f>
        <v>282</v>
      </c>
      <c r="F234" s="87">
        <f>1890.3-145</f>
        <v>1745.3</v>
      </c>
      <c r="G234" s="87">
        <v>145</v>
      </c>
      <c r="H234" s="87">
        <v>5950.8</v>
      </c>
      <c r="I234" s="87">
        <v>4792.1000000000004</v>
      </c>
      <c r="J234" s="87">
        <v>12165.5</v>
      </c>
      <c r="K234" s="87">
        <v>3862.1</v>
      </c>
      <c r="L234" s="87">
        <v>2139.6999999999998</v>
      </c>
      <c r="M234" s="88">
        <v>326408.09999999998</v>
      </c>
      <c r="N234" s="68"/>
      <c r="O234" s="70"/>
      <c r="P234" s="70"/>
    </row>
    <row r="235" spans="2:16" ht="19.5" hidden="1" customHeight="1">
      <c r="B235" s="59"/>
      <c r="C235" s="88"/>
      <c r="D235" s="87"/>
      <c r="E235" s="87"/>
      <c r="F235" s="87"/>
      <c r="G235" s="87"/>
      <c r="H235" s="87"/>
      <c r="I235" s="87"/>
      <c r="J235" s="87"/>
      <c r="K235" s="87"/>
      <c r="L235" s="87"/>
      <c r="M235" s="88"/>
      <c r="N235" s="68"/>
      <c r="O235" s="70"/>
      <c r="P235" s="70"/>
    </row>
    <row r="236" spans="2:16" ht="19.5" hidden="1" customHeight="1">
      <c r="B236" s="59" t="s">
        <v>303</v>
      </c>
      <c r="C236" s="88">
        <v>283888.7</v>
      </c>
      <c r="D236" s="87">
        <f>19431.4-649.5</f>
        <v>18781.900000000001</v>
      </c>
      <c r="E236" s="87">
        <f>626.5+23</f>
        <v>649.5</v>
      </c>
      <c r="F236" s="87">
        <f>3653-164.6</f>
        <v>3488.4</v>
      </c>
      <c r="G236" s="87">
        <v>164.6</v>
      </c>
      <c r="H236" s="87">
        <v>6184.9</v>
      </c>
      <c r="I236" s="87">
        <v>5318</v>
      </c>
      <c r="J236" s="87">
        <v>12573.8</v>
      </c>
      <c r="K236" s="87">
        <v>4686.6000000000004</v>
      </c>
      <c r="L236" s="87">
        <v>2138</v>
      </c>
      <c r="M236" s="88">
        <v>337874.4</v>
      </c>
      <c r="N236" s="68"/>
      <c r="O236" s="70"/>
      <c r="P236" s="70"/>
    </row>
    <row r="237" spans="2:16" ht="19.5" hidden="1" customHeight="1">
      <c r="B237" s="59"/>
      <c r="C237" s="88"/>
      <c r="D237" s="87"/>
      <c r="E237" s="87"/>
      <c r="F237" s="87"/>
      <c r="G237" s="87"/>
      <c r="H237" s="87"/>
      <c r="I237" s="87"/>
      <c r="J237" s="87"/>
      <c r="K237" s="87"/>
      <c r="L237" s="87"/>
      <c r="M237" s="88"/>
      <c r="N237" s="68"/>
      <c r="O237" s="70"/>
      <c r="P237" s="70"/>
    </row>
    <row r="238" spans="2:16" ht="19.5" hidden="1" customHeight="1">
      <c r="B238" s="59" t="s">
        <v>304</v>
      </c>
      <c r="C238" s="88">
        <v>323174.5</v>
      </c>
      <c r="D238" s="87">
        <f>19485-701.3</f>
        <v>18783.7</v>
      </c>
      <c r="E238" s="87">
        <f>28.3+673</f>
        <v>701.3</v>
      </c>
      <c r="F238" s="87">
        <f>3115.6-134.2</f>
        <v>2981.4</v>
      </c>
      <c r="G238" s="87">
        <v>134.19999999999999</v>
      </c>
      <c r="H238" s="87">
        <v>6250.4</v>
      </c>
      <c r="I238" s="87">
        <v>5480</v>
      </c>
      <c r="J238" s="87">
        <v>12996.9</v>
      </c>
      <c r="K238" s="87">
        <v>4921.6000000000004</v>
      </c>
      <c r="L238" s="87">
        <v>2217.1999999999998</v>
      </c>
      <c r="M238" s="88">
        <v>377641.1</v>
      </c>
      <c r="N238" s="68"/>
      <c r="O238" s="70"/>
      <c r="P238" s="70"/>
    </row>
    <row r="239" spans="2:16" ht="19.5" hidden="1" customHeight="1">
      <c r="B239" s="63"/>
      <c r="C239" s="88"/>
      <c r="D239" s="87"/>
      <c r="E239" s="87"/>
      <c r="F239" s="87"/>
      <c r="G239" s="87"/>
      <c r="H239" s="87"/>
      <c r="I239" s="87"/>
      <c r="J239" s="87"/>
      <c r="K239" s="87"/>
      <c r="L239" s="87"/>
      <c r="M239" s="88"/>
      <c r="N239" s="68"/>
      <c r="O239" s="70"/>
      <c r="P239" s="70"/>
    </row>
    <row r="240" spans="2:16" ht="19.5" hidden="1" customHeight="1">
      <c r="B240" s="59" t="s">
        <v>305</v>
      </c>
      <c r="C240" s="88">
        <v>344529.4</v>
      </c>
      <c r="D240" s="87">
        <f>23641-703.1</f>
        <v>22937.9</v>
      </c>
      <c r="E240" s="87">
        <f>673+30.1</f>
        <v>703.1</v>
      </c>
      <c r="F240" s="87">
        <f>1977.6-235.1</f>
        <v>1742.5</v>
      </c>
      <c r="G240" s="87">
        <v>235.1</v>
      </c>
      <c r="H240" s="87">
        <v>6990.8</v>
      </c>
      <c r="I240" s="87">
        <v>6327.6</v>
      </c>
      <c r="J240" s="87">
        <v>13395.8</v>
      </c>
      <c r="K240" s="87">
        <v>5075</v>
      </c>
      <c r="L240" s="87">
        <v>2227.4</v>
      </c>
      <c r="M240" s="88">
        <v>404164.6</v>
      </c>
      <c r="N240" s="68"/>
      <c r="O240" s="70"/>
      <c r="P240" s="70"/>
    </row>
    <row r="241" spans="2:16" ht="19.5" hidden="1" customHeight="1">
      <c r="B241" s="59"/>
      <c r="C241" s="88"/>
      <c r="D241" s="87"/>
      <c r="E241" s="87"/>
      <c r="F241" s="87"/>
      <c r="G241" s="87"/>
      <c r="H241" s="87"/>
      <c r="I241" s="87"/>
      <c r="J241" s="87"/>
      <c r="K241" s="87"/>
      <c r="L241" s="87"/>
      <c r="M241" s="88"/>
      <c r="N241" s="68"/>
      <c r="O241" s="70"/>
      <c r="P241" s="70"/>
    </row>
    <row r="242" spans="2:16" ht="19.5" hidden="1" customHeight="1">
      <c r="B242" s="59" t="s">
        <v>306</v>
      </c>
      <c r="C242" s="88">
        <v>384199.2</v>
      </c>
      <c r="D242" s="87">
        <f>27707.7-702.6</f>
        <v>27005.100000000002</v>
      </c>
      <c r="E242" s="87">
        <f>29.6+673</f>
        <v>702.6</v>
      </c>
      <c r="F242" s="87">
        <f>2612-792.4</f>
        <v>1819.6</v>
      </c>
      <c r="G242" s="87">
        <v>792.4</v>
      </c>
      <c r="H242" s="87">
        <v>8275.5</v>
      </c>
      <c r="I242" s="87">
        <v>4390.8</v>
      </c>
      <c r="J242" s="87">
        <v>13850.9</v>
      </c>
      <c r="K242" s="87">
        <v>5141.8</v>
      </c>
      <c r="L242" s="87">
        <v>2250.8000000000002</v>
      </c>
      <c r="M242" s="88">
        <v>448428.9</v>
      </c>
      <c r="N242" s="68"/>
      <c r="O242" s="70"/>
      <c r="P242" s="70"/>
    </row>
    <row r="243" spans="2:16" ht="19.5" hidden="1" customHeight="1">
      <c r="B243" s="59"/>
      <c r="C243" s="88"/>
      <c r="D243" s="87"/>
      <c r="E243" s="87"/>
      <c r="F243" s="87"/>
      <c r="G243" s="87"/>
      <c r="H243" s="87"/>
      <c r="I243" s="87"/>
      <c r="J243" s="87"/>
      <c r="K243" s="87"/>
      <c r="L243" s="87"/>
      <c r="M243" s="88"/>
      <c r="N243" s="68"/>
      <c r="O243" s="70"/>
      <c r="P243" s="70"/>
    </row>
    <row r="244" spans="2:16" ht="19.5" hidden="1" customHeight="1">
      <c r="B244" s="59" t="s">
        <v>307</v>
      </c>
      <c r="C244" s="88">
        <v>443779.7</v>
      </c>
      <c r="D244" s="87">
        <v>16258.1</v>
      </c>
      <c r="E244" s="87">
        <v>0</v>
      </c>
      <c r="F244" s="87">
        <f>6057.5-791.4</f>
        <v>5266.1</v>
      </c>
      <c r="G244" s="87">
        <v>791.4</v>
      </c>
      <c r="H244" s="87">
        <v>8957</v>
      </c>
      <c r="I244" s="87">
        <v>5579.6</v>
      </c>
      <c r="J244" s="87">
        <v>14346</v>
      </c>
      <c r="K244" s="87">
        <v>5364.4</v>
      </c>
      <c r="L244" s="87">
        <v>2253.8000000000002</v>
      </c>
      <c r="M244" s="88">
        <v>502596.1</v>
      </c>
      <c r="N244" s="68"/>
      <c r="O244" s="70"/>
      <c r="P244" s="70"/>
    </row>
    <row r="245" spans="2:16" ht="19.5" hidden="1" customHeight="1">
      <c r="B245" s="59"/>
      <c r="C245" s="88"/>
      <c r="D245" s="87"/>
      <c r="E245" s="87"/>
      <c r="F245" s="87"/>
      <c r="G245" s="87"/>
      <c r="H245" s="87"/>
      <c r="I245" s="87"/>
      <c r="J245" s="87"/>
      <c r="K245" s="87"/>
      <c r="L245" s="87"/>
      <c r="M245" s="88"/>
      <c r="N245" s="68"/>
      <c r="O245" s="70"/>
      <c r="P245" s="70"/>
    </row>
    <row r="246" spans="2:16" ht="19.5" hidden="1" customHeight="1">
      <c r="B246" s="59" t="s">
        <v>308</v>
      </c>
      <c r="C246" s="88">
        <v>503586.1</v>
      </c>
      <c r="D246" s="87">
        <f>28299.8-1523.5</f>
        <v>26776.3</v>
      </c>
      <c r="E246" s="87">
        <f>31.9+1491.6</f>
        <v>1523.5</v>
      </c>
      <c r="F246" s="87">
        <f>18169.5-785.6</f>
        <v>17383.900000000001</v>
      </c>
      <c r="G246" s="87">
        <v>785.6</v>
      </c>
      <c r="H246" s="87">
        <v>10393.299999999999</v>
      </c>
      <c r="I246" s="87">
        <v>2007.8</v>
      </c>
      <c r="J246" s="87">
        <v>14925.8</v>
      </c>
      <c r="K246" s="87">
        <v>5462</v>
      </c>
      <c r="L246" s="87">
        <v>2296.6</v>
      </c>
      <c r="M246" s="88">
        <v>585140.9</v>
      </c>
      <c r="N246" s="68"/>
      <c r="O246" s="70"/>
      <c r="P246" s="70"/>
    </row>
    <row r="247" spans="2:16" ht="19.5" hidden="1" customHeight="1">
      <c r="B247" s="59"/>
      <c r="C247" s="88"/>
      <c r="D247" s="87"/>
      <c r="E247" s="87"/>
      <c r="F247" s="87"/>
      <c r="G247" s="87"/>
      <c r="H247" s="87"/>
      <c r="I247" s="87"/>
      <c r="J247" s="87"/>
      <c r="K247" s="87"/>
      <c r="L247" s="87"/>
      <c r="M247" s="88"/>
      <c r="N247" s="68"/>
      <c r="O247" s="70"/>
      <c r="P247" s="70"/>
    </row>
    <row r="248" spans="2:16" ht="19.5" hidden="1" customHeight="1">
      <c r="B248" s="59" t="s">
        <v>311</v>
      </c>
      <c r="C248" s="88">
        <v>549034.4</v>
      </c>
      <c r="D248" s="87">
        <f>27649.1-1038.3</f>
        <v>26610.799999999999</v>
      </c>
      <c r="E248" s="87">
        <f>35.2+1003.1</f>
        <v>1038.3</v>
      </c>
      <c r="F248" s="87">
        <f>14050.7-95.8</f>
        <v>13954.900000000001</v>
      </c>
      <c r="G248" s="87">
        <v>95.8</v>
      </c>
      <c r="H248" s="87">
        <v>14831.8</v>
      </c>
      <c r="I248" s="87">
        <v>1643</v>
      </c>
      <c r="J248" s="87">
        <v>15863</v>
      </c>
      <c r="K248" s="87">
        <v>5554.5</v>
      </c>
      <c r="L248" s="87">
        <v>2343.1999999999998</v>
      </c>
      <c r="M248" s="88">
        <v>630969.69999999995</v>
      </c>
      <c r="N248" s="68"/>
      <c r="O248" s="70"/>
      <c r="P248" s="70"/>
    </row>
    <row r="249" spans="2:16" ht="19.5" hidden="1" customHeight="1">
      <c r="B249" s="59"/>
      <c r="C249" s="88"/>
      <c r="D249" s="87"/>
      <c r="E249" s="87"/>
      <c r="F249" s="87"/>
      <c r="G249" s="87"/>
      <c r="H249" s="87"/>
      <c r="I249" s="87"/>
      <c r="J249" s="87"/>
      <c r="K249" s="87"/>
      <c r="L249" s="87"/>
      <c r="M249" s="88"/>
      <c r="N249" s="68"/>
      <c r="O249" s="70"/>
      <c r="P249" s="70"/>
    </row>
    <row r="250" spans="2:16" ht="19.5" hidden="1" customHeight="1">
      <c r="B250" s="57">
        <v>2003</v>
      </c>
      <c r="C250" s="88"/>
      <c r="D250" s="87"/>
      <c r="E250" s="87"/>
      <c r="F250" s="87"/>
      <c r="G250" s="87"/>
      <c r="H250" s="87"/>
      <c r="I250" s="87"/>
      <c r="J250" s="87"/>
      <c r="K250" s="87"/>
      <c r="L250" s="87"/>
      <c r="M250" s="88"/>
      <c r="N250" s="68"/>
      <c r="O250" s="70"/>
      <c r="P250" s="70"/>
    </row>
    <row r="251" spans="2:16" ht="19.5" hidden="1" customHeight="1">
      <c r="B251" s="57"/>
      <c r="C251" s="88"/>
      <c r="D251" s="87"/>
      <c r="E251" s="87"/>
      <c r="F251" s="87"/>
      <c r="G251" s="87"/>
      <c r="H251" s="87"/>
      <c r="I251" s="87"/>
      <c r="J251" s="87"/>
      <c r="K251" s="87"/>
      <c r="L251" s="87"/>
      <c r="M251" s="88"/>
      <c r="N251" s="68"/>
      <c r="O251" s="70"/>
      <c r="P251" s="70"/>
    </row>
    <row r="252" spans="2:16" ht="19.5" hidden="1" customHeight="1">
      <c r="B252" s="59" t="s">
        <v>298</v>
      </c>
      <c r="C252" s="88">
        <v>602429.69999999995</v>
      </c>
      <c r="D252" s="87">
        <f>28104-E252</f>
        <v>27198.3</v>
      </c>
      <c r="E252" s="87">
        <f>37.6+868.1</f>
        <v>905.7</v>
      </c>
      <c r="F252" s="87">
        <f>10129.1-G252</f>
        <v>10087.700000000001</v>
      </c>
      <c r="G252" s="87">
        <v>41.4</v>
      </c>
      <c r="H252" s="87">
        <v>12228.7</v>
      </c>
      <c r="I252" s="87">
        <v>4629.8999999999996</v>
      </c>
      <c r="J252" s="87">
        <v>16462.8</v>
      </c>
      <c r="K252" s="87">
        <v>5671.6</v>
      </c>
      <c r="L252" s="87">
        <v>2478.5</v>
      </c>
      <c r="M252" s="88">
        <v>682134.4</v>
      </c>
      <c r="N252" s="68"/>
      <c r="O252" s="70"/>
      <c r="P252" s="70"/>
    </row>
    <row r="253" spans="2:16" ht="19.5" hidden="1" customHeight="1">
      <c r="B253" s="59"/>
      <c r="C253" s="88"/>
      <c r="D253" s="87"/>
      <c r="E253" s="87"/>
      <c r="F253" s="87"/>
      <c r="G253" s="87"/>
      <c r="H253" s="87"/>
      <c r="I253" s="87"/>
      <c r="J253" s="87"/>
      <c r="K253" s="87"/>
      <c r="L253" s="87"/>
      <c r="M253" s="88"/>
      <c r="N253" s="68"/>
      <c r="O253" s="70"/>
      <c r="P253" s="70"/>
    </row>
    <row r="254" spans="2:16" ht="19.5" hidden="1" customHeight="1">
      <c r="B254" s="59" t="s">
        <v>299</v>
      </c>
      <c r="C254" s="88">
        <v>640067.6</v>
      </c>
      <c r="D254" s="87">
        <f>42644.6-E254</f>
        <v>41372.5</v>
      </c>
      <c r="E254" s="87">
        <v>1272.0999999999999</v>
      </c>
      <c r="F254" s="87">
        <f>11765.6-G254</f>
        <v>11729.800000000001</v>
      </c>
      <c r="G254" s="87">
        <v>35.799999999999997</v>
      </c>
      <c r="H254" s="87">
        <v>10114.299999999999</v>
      </c>
      <c r="I254" s="87">
        <v>91.5</v>
      </c>
      <c r="J254" s="87">
        <v>16763.599999999999</v>
      </c>
      <c r="K254" s="87">
        <v>4679.5</v>
      </c>
      <c r="L254" s="87">
        <v>2528.4</v>
      </c>
      <c r="M254" s="88">
        <v>728655.1</v>
      </c>
      <c r="N254" s="68"/>
      <c r="O254" s="70"/>
      <c r="P254" s="70"/>
    </row>
    <row r="255" spans="2:16" ht="19.5" hidden="1" customHeight="1">
      <c r="B255" s="59"/>
      <c r="C255" s="88"/>
      <c r="D255" s="87"/>
      <c r="E255" s="87"/>
      <c r="F255" s="87"/>
      <c r="G255" s="87"/>
      <c r="H255" s="87"/>
      <c r="I255" s="87"/>
      <c r="J255" s="87"/>
      <c r="K255" s="87"/>
      <c r="L255" s="87"/>
      <c r="M255" s="88"/>
      <c r="N255" s="68"/>
      <c r="O255" s="70"/>
      <c r="P255" s="70"/>
    </row>
    <row r="256" spans="2:16" ht="19.5" hidden="1" customHeight="1">
      <c r="B256" s="59" t="s">
        <v>300</v>
      </c>
      <c r="C256" s="88">
        <v>772762.5</v>
      </c>
      <c r="D256" s="87">
        <f>58240-868.1</f>
        <v>57371.9</v>
      </c>
      <c r="E256" s="87">
        <v>868.1</v>
      </c>
      <c r="F256" s="87">
        <f>12944.3-504.1</f>
        <v>12440.199999999999</v>
      </c>
      <c r="G256" s="87">
        <v>504.1</v>
      </c>
      <c r="H256" s="87">
        <v>12014.3</v>
      </c>
      <c r="I256" s="87">
        <v>104.9</v>
      </c>
      <c r="J256" s="87">
        <v>17441</v>
      </c>
      <c r="K256" s="87">
        <v>4794.5</v>
      </c>
      <c r="L256" s="87">
        <v>2592.6</v>
      </c>
      <c r="M256" s="88">
        <v>880893.9</v>
      </c>
      <c r="N256" s="68"/>
      <c r="O256" s="70"/>
      <c r="P256" s="70"/>
    </row>
    <row r="257" spans="2:16" ht="19.5" hidden="1" customHeight="1">
      <c r="B257" s="59"/>
      <c r="C257" s="88"/>
      <c r="D257" s="87"/>
      <c r="E257" s="87"/>
      <c r="F257" s="87"/>
      <c r="G257" s="87"/>
      <c r="H257" s="87"/>
      <c r="I257" s="87"/>
      <c r="J257" s="87"/>
      <c r="K257" s="87"/>
      <c r="L257" s="87"/>
      <c r="M257" s="88"/>
      <c r="N257" s="68"/>
      <c r="O257" s="70"/>
      <c r="P257" s="70"/>
    </row>
    <row r="258" spans="2:16" ht="19.5" hidden="1" customHeight="1">
      <c r="B258" s="76" t="s">
        <v>301</v>
      </c>
      <c r="C258" s="88">
        <v>894276.2</v>
      </c>
      <c r="D258" s="87">
        <f>99385.2-E258</f>
        <v>88528.7</v>
      </c>
      <c r="E258" s="87">
        <v>10856.5</v>
      </c>
      <c r="F258" s="87">
        <f>15699-G258</f>
        <v>14484.9</v>
      </c>
      <c r="G258" s="87">
        <v>1214.0999999999999</v>
      </c>
      <c r="H258" s="87">
        <v>9839.4</v>
      </c>
      <c r="I258" s="87">
        <v>1069.8</v>
      </c>
      <c r="J258" s="87">
        <v>18217.7</v>
      </c>
      <c r="K258" s="87">
        <v>5369.9</v>
      </c>
      <c r="L258" s="87">
        <v>2623.7</v>
      </c>
      <c r="M258" s="88">
        <v>1046480.8</v>
      </c>
      <c r="N258" s="68"/>
      <c r="O258" s="70"/>
      <c r="P258" s="70"/>
    </row>
    <row r="259" spans="2:16" ht="19.5" hidden="1" customHeight="1">
      <c r="B259" s="127"/>
      <c r="C259" s="88"/>
      <c r="D259" s="87"/>
      <c r="E259" s="87"/>
      <c r="F259" s="87"/>
      <c r="G259" s="87"/>
      <c r="H259" s="87"/>
      <c r="I259" s="87"/>
      <c r="J259" s="87"/>
      <c r="K259" s="87"/>
      <c r="L259" s="87"/>
      <c r="M259" s="88"/>
      <c r="N259" s="68"/>
      <c r="O259" s="70"/>
      <c r="P259" s="70"/>
    </row>
    <row r="260" spans="2:16" ht="19.5" hidden="1" customHeight="1">
      <c r="B260" s="76" t="s">
        <v>302</v>
      </c>
      <c r="C260" s="88">
        <v>988137</v>
      </c>
      <c r="D260" s="87">
        <f>100179.2-E260</f>
        <v>98913.3</v>
      </c>
      <c r="E260" s="87">
        <v>1265.9000000000001</v>
      </c>
      <c r="F260" s="87">
        <f>8713-G260</f>
        <v>7598.7</v>
      </c>
      <c r="G260" s="87">
        <v>1114.3</v>
      </c>
      <c r="H260" s="87">
        <v>11116.2</v>
      </c>
      <c r="I260" s="87">
        <v>586.4</v>
      </c>
      <c r="J260" s="87">
        <v>18803.7</v>
      </c>
      <c r="K260" s="87">
        <v>5466.5</v>
      </c>
      <c r="L260" s="87">
        <v>2703.2</v>
      </c>
      <c r="M260" s="88">
        <v>1135705.3</v>
      </c>
      <c r="N260" s="68"/>
      <c r="O260" s="70"/>
      <c r="P260" s="70"/>
    </row>
    <row r="261" spans="2:16" ht="19.5" hidden="1" customHeight="1">
      <c r="B261" s="127"/>
      <c r="C261" s="88"/>
      <c r="D261" s="87"/>
      <c r="E261" s="87"/>
      <c r="F261" s="87"/>
      <c r="G261" s="87"/>
      <c r="H261" s="87"/>
      <c r="I261" s="87"/>
      <c r="J261" s="87"/>
      <c r="K261" s="87"/>
      <c r="L261" s="87"/>
      <c r="M261" s="88"/>
      <c r="N261" s="68"/>
      <c r="O261" s="70"/>
      <c r="P261" s="70"/>
    </row>
    <row r="262" spans="2:16" ht="19.5" hidden="1" customHeight="1">
      <c r="B262" s="76" t="s">
        <v>303</v>
      </c>
      <c r="C262" s="88">
        <v>1111506.2</v>
      </c>
      <c r="D262" s="87">
        <f>106340.3-E262</f>
        <v>104860.2</v>
      </c>
      <c r="E262" s="87">
        <v>1480.1</v>
      </c>
      <c r="F262" s="87">
        <f>14171.3-G262</f>
        <v>13876.699999999999</v>
      </c>
      <c r="G262" s="87">
        <v>294.60000000000002</v>
      </c>
      <c r="H262" s="87">
        <v>8733.2000000000007</v>
      </c>
      <c r="I262" s="87">
        <v>767.6</v>
      </c>
      <c r="J262" s="87">
        <v>19589.5</v>
      </c>
      <c r="K262" s="87">
        <v>6001.5</v>
      </c>
      <c r="L262" s="87">
        <v>2741.8</v>
      </c>
      <c r="M262" s="88">
        <v>1269851.5</v>
      </c>
      <c r="N262" s="68"/>
      <c r="O262" s="70"/>
      <c r="P262" s="70"/>
    </row>
    <row r="263" spans="2:16" ht="19.5" hidden="1" customHeight="1">
      <c r="B263" s="76"/>
      <c r="C263" s="88"/>
      <c r="D263" s="87"/>
      <c r="E263" s="87"/>
      <c r="F263" s="87"/>
      <c r="G263" s="87"/>
      <c r="H263" s="87"/>
      <c r="I263" s="87"/>
      <c r="J263" s="87"/>
      <c r="K263" s="87"/>
      <c r="L263" s="87"/>
      <c r="M263" s="88"/>
      <c r="N263" s="68"/>
      <c r="O263" s="70"/>
      <c r="P263" s="70"/>
    </row>
    <row r="264" spans="2:16" ht="19.5" hidden="1" customHeight="1">
      <c r="B264" s="76" t="s">
        <v>304</v>
      </c>
      <c r="C264" s="88">
        <v>1375578.2</v>
      </c>
      <c r="D264" s="87">
        <f>101630.6-E264</f>
        <v>99737.5</v>
      </c>
      <c r="E264" s="87">
        <v>1893.1</v>
      </c>
      <c r="F264" s="87">
        <f>6103.2-G264</f>
        <v>4924.3999999999996</v>
      </c>
      <c r="G264" s="87">
        <v>1178.8</v>
      </c>
      <c r="H264" s="87">
        <f>4920100299/1000</f>
        <v>4920100.2989999996</v>
      </c>
      <c r="I264" s="87">
        <v>725</v>
      </c>
      <c r="J264" s="87">
        <v>20317.900000000001</v>
      </c>
      <c r="K264" s="87">
        <v>6141.1</v>
      </c>
      <c r="L264" s="87">
        <v>2915.6</v>
      </c>
      <c r="M264" s="88">
        <v>1524437.5</v>
      </c>
      <c r="N264" s="68"/>
      <c r="O264" s="70"/>
      <c r="P264" s="70"/>
    </row>
    <row r="265" spans="2:16" ht="19.5" hidden="1" customHeight="1">
      <c r="B265" s="59"/>
      <c r="C265" s="88"/>
      <c r="D265" s="87"/>
      <c r="E265" s="87"/>
      <c r="F265" s="87"/>
      <c r="G265" s="87"/>
      <c r="H265" s="87">
        <f>4698281252/1000</f>
        <v>4698281.2520000003</v>
      </c>
      <c r="I265" s="87">
        <v>20</v>
      </c>
      <c r="J265" s="87"/>
      <c r="K265" s="87"/>
      <c r="L265" s="87"/>
      <c r="M265" s="88"/>
      <c r="N265" s="68"/>
      <c r="O265" s="70"/>
      <c r="P265" s="70"/>
    </row>
    <row r="266" spans="2:16" ht="19.5" hidden="1" customHeight="1">
      <c r="B266" s="59" t="s">
        <v>305</v>
      </c>
      <c r="C266" s="88">
        <v>1706165.6</v>
      </c>
      <c r="D266" s="87">
        <f>90084.9-2757.8</f>
        <v>87327.099999999991</v>
      </c>
      <c r="E266" s="87">
        <f>15.4+2742.4</f>
        <v>2757.8</v>
      </c>
      <c r="F266" s="87">
        <f>1830.3-1450.4</f>
        <v>379.89999999999986</v>
      </c>
      <c r="G266" s="87">
        <v>1450.4</v>
      </c>
      <c r="H266" s="87">
        <f>6895867959/1000</f>
        <v>6895867.9589999998</v>
      </c>
      <c r="I266" s="87">
        <v>572.70000000000005</v>
      </c>
      <c r="J266" s="87">
        <v>21169.1</v>
      </c>
      <c r="K266" s="87">
        <v>6222.2</v>
      </c>
      <c r="L266" s="87">
        <v>2984.3</v>
      </c>
      <c r="M266" s="88">
        <v>1841379</v>
      </c>
      <c r="N266" s="68"/>
      <c r="O266" s="70"/>
      <c r="P266" s="70"/>
    </row>
    <row r="267" spans="2:16" ht="19.5" hidden="1" customHeight="1">
      <c r="B267" s="59"/>
      <c r="C267" s="88"/>
      <c r="D267" s="87"/>
      <c r="E267" s="87"/>
      <c r="F267" s="87"/>
      <c r="G267" s="87"/>
      <c r="H267" s="87"/>
      <c r="I267" s="87"/>
      <c r="J267" s="87"/>
      <c r="K267" s="87"/>
      <c r="L267" s="87"/>
      <c r="M267" s="88"/>
      <c r="N267" s="68"/>
      <c r="O267" s="70"/>
      <c r="P267" s="70"/>
    </row>
    <row r="268" spans="2:16" ht="19.5" hidden="1" customHeight="1">
      <c r="B268" s="59" t="s">
        <v>306</v>
      </c>
      <c r="C268" s="88">
        <v>2173446.4</v>
      </c>
      <c r="D268" s="87">
        <f>97964.1-3386.2</f>
        <v>94577.900000000009</v>
      </c>
      <c r="E268" s="87">
        <v>3386.2</v>
      </c>
      <c r="F268" s="87">
        <f>1000-465.6</f>
        <v>534.4</v>
      </c>
      <c r="G268" s="87">
        <v>465.6</v>
      </c>
      <c r="H268" s="87">
        <v>21138.3</v>
      </c>
      <c r="I268" s="87">
        <v>750</v>
      </c>
      <c r="J268" s="87">
        <v>22319.7</v>
      </c>
      <c r="K268" s="87">
        <v>6229.5</v>
      </c>
      <c r="L268" s="87">
        <v>3089.5</v>
      </c>
      <c r="M268" s="88">
        <v>2325937.5</v>
      </c>
      <c r="N268" s="68"/>
      <c r="O268" s="70"/>
      <c r="P268" s="70"/>
    </row>
    <row r="269" spans="2:16" ht="19.5" hidden="1" customHeight="1">
      <c r="B269" s="59"/>
      <c r="C269" s="88"/>
      <c r="D269" s="87"/>
      <c r="E269" s="87"/>
      <c r="F269" s="87"/>
      <c r="G269" s="87"/>
      <c r="H269" s="87"/>
      <c r="I269" s="87"/>
      <c r="J269" s="87"/>
      <c r="K269" s="87"/>
      <c r="L269" s="87"/>
      <c r="M269" s="88"/>
      <c r="N269" s="68"/>
      <c r="O269" s="70"/>
      <c r="P269" s="70"/>
    </row>
    <row r="270" spans="2:16" ht="19.5" hidden="1" customHeight="1">
      <c r="B270" s="59" t="s">
        <v>307</v>
      </c>
      <c r="C270" s="88">
        <v>2497666.1</v>
      </c>
      <c r="D270" s="87">
        <f>140150.5-3554.9</f>
        <v>136595.6</v>
      </c>
      <c r="E270" s="87">
        <v>3554.9</v>
      </c>
      <c r="F270" s="87">
        <f>13300.2-1231.2</f>
        <v>12069</v>
      </c>
      <c r="G270" s="87">
        <v>1231.2</v>
      </c>
      <c r="H270" s="87">
        <v>17373.099999999999</v>
      </c>
      <c r="I270" s="87">
        <v>103.2</v>
      </c>
      <c r="J270" s="87">
        <v>24287.1</v>
      </c>
      <c r="K270" s="87">
        <v>6516.3</v>
      </c>
      <c r="L270" s="87">
        <v>3203.9</v>
      </c>
      <c r="M270" s="88">
        <v>2702600.5</v>
      </c>
      <c r="N270" s="68"/>
      <c r="O270" s="70"/>
      <c r="P270" s="70"/>
    </row>
    <row r="271" spans="2:16" ht="19.5" hidden="1" customHeight="1">
      <c r="B271" s="59"/>
      <c r="C271" s="88"/>
      <c r="D271" s="87"/>
      <c r="E271" s="87"/>
      <c r="F271" s="87"/>
      <c r="G271" s="87"/>
      <c r="H271" s="87"/>
      <c r="I271" s="87"/>
      <c r="J271" s="87"/>
      <c r="K271" s="87"/>
      <c r="L271" s="87"/>
      <c r="M271" s="88"/>
      <c r="N271" s="68"/>
      <c r="O271" s="70"/>
      <c r="P271" s="70"/>
    </row>
    <row r="272" spans="2:16" ht="19.5" hidden="1" customHeight="1">
      <c r="B272" s="59" t="s">
        <v>308</v>
      </c>
      <c r="C272" s="88">
        <v>2901496.9</v>
      </c>
      <c r="D272" s="87">
        <f>198008.5-E272</f>
        <v>194179.4</v>
      </c>
      <c r="E272" s="87">
        <v>3829.1</v>
      </c>
      <c r="F272" s="87">
        <f>4788.2-G272</f>
        <v>3680.2999999999997</v>
      </c>
      <c r="G272" s="87">
        <v>1107.9000000000001</v>
      </c>
      <c r="H272" s="87">
        <v>10882.2</v>
      </c>
      <c r="I272" s="87">
        <v>849.1</v>
      </c>
      <c r="J272" s="87">
        <v>25552.3</v>
      </c>
      <c r="K272" s="87">
        <v>6667.8</v>
      </c>
      <c r="L272" s="87">
        <v>3285.7</v>
      </c>
      <c r="M272" s="88">
        <v>3151530.5</v>
      </c>
      <c r="N272" s="68"/>
      <c r="O272" s="70"/>
      <c r="P272" s="70"/>
    </row>
    <row r="273" spans="2:16" ht="19.5" hidden="1" customHeight="1">
      <c r="B273" s="59"/>
      <c r="C273" s="88"/>
      <c r="D273" s="87"/>
      <c r="E273" s="87"/>
      <c r="F273" s="87"/>
      <c r="G273" s="87"/>
      <c r="H273" s="87"/>
      <c r="I273" s="87"/>
      <c r="J273" s="87"/>
      <c r="K273" s="87"/>
      <c r="L273" s="87"/>
      <c r="M273" s="88"/>
      <c r="N273" s="68"/>
      <c r="O273" s="70"/>
      <c r="P273" s="70"/>
    </row>
    <row r="274" spans="2:16" ht="19.5" hidden="1" customHeight="1">
      <c r="B274" s="59" t="s">
        <v>311</v>
      </c>
      <c r="C274" s="88">
        <v>2985267.8</v>
      </c>
      <c r="D274" s="87">
        <f>181259.1-E274</f>
        <v>179375</v>
      </c>
      <c r="E274" s="87">
        <v>1884.1</v>
      </c>
      <c r="F274" s="87">
        <f>8335.6-G274</f>
        <v>7980.7000000000007</v>
      </c>
      <c r="G274" s="87">
        <v>354.9</v>
      </c>
      <c r="H274" s="87">
        <v>9409.6</v>
      </c>
      <c r="I274" s="87">
        <v>18795.8</v>
      </c>
      <c r="J274" s="87">
        <v>26730.3</v>
      </c>
      <c r="K274" s="87">
        <v>7045.4</v>
      </c>
      <c r="L274" s="87">
        <v>3427.7</v>
      </c>
      <c r="M274" s="88">
        <v>3240271.4</v>
      </c>
      <c r="N274" s="68"/>
      <c r="O274" s="70"/>
      <c r="P274" s="70"/>
    </row>
    <row r="275" spans="2:16" ht="19.5" hidden="1" customHeight="1">
      <c r="B275" s="59"/>
      <c r="C275" s="88"/>
      <c r="D275" s="87"/>
      <c r="E275" s="87"/>
      <c r="F275" s="87"/>
      <c r="G275" s="87"/>
      <c r="H275" s="87"/>
      <c r="I275" s="87"/>
      <c r="J275" s="87"/>
      <c r="K275" s="87"/>
      <c r="L275" s="87"/>
      <c r="M275" s="88"/>
      <c r="N275" s="68"/>
      <c r="O275" s="70"/>
      <c r="P275" s="70"/>
    </row>
    <row r="276" spans="2:16" ht="19.5" hidden="1" customHeight="1">
      <c r="B276" s="57">
        <v>2004</v>
      </c>
      <c r="C276" s="88"/>
      <c r="D276" s="87"/>
      <c r="E276" s="87"/>
      <c r="F276" s="87"/>
      <c r="G276" s="87"/>
      <c r="H276" s="87"/>
      <c r="I276" s="87"/>
      <c r="J276" s="87"/>
      <c r="K276" s="87"/>
      <c r="L276" s="87"/>
      <c r="M276" s="88"/>
      <c r="N276" s="68"/>
      <c r="O276" s="70"/>
      <c r="P276" s="70"/>
    </row>
    <row r="277" spans="2:16" ht="19.5" hidden="1" customHeight="1">
      <c r="B277" s="59"/>
      <c r="C277" s="88"/>
      <c r="D277" s="87"/>
      <c r="E277" s="87"/>
      <c r="F277" s="87"/>
      <c r="G277" s="87"/>
      <c r="H277" s="87"/>
      <c r="I277" s="87"/>
      <c r="J277" s="87"/>
      <c r="K277" s="87"/>
      <c r="L277" s="87"/>
      <c r="M277" s="88"/>
      <c r="N277" s="68"/>
      <c r="O277" s="70"/>
      <c r="P277" s="70"/>
    </row>
    <row r="278" spans="2:16" ht="19.5" hidden="1" customHeight="1">
      <c r="B278" s="59" t="s">
        <v>298</v>
      </c>
      <c r="C278" s="88">
        <v>3845642.3</v>
      </c>
      <c r="D278" s="87">
        <f>117146.6-E278</f>
        <v>115262.5</v>
      </c>
      <c r="E278" s="87">
        <v>1884.1</v>
      </c>
      <c r="F278" s="87">
        <f>8096.5-G278</f>
        <v>6659.9</v>
      </c>
      <c r="G278" s="87">
        <v>1436.6</v>
      </c>
      <c r="H278" s="87">
        <v>13674.3</v>
      </c>
      <c r="I278" s="87">
        <v>799.9</v>
      </c>
      <c r="J278" s="87">
        <v>28208.7</v>
      </c>
      <c r="K278" s="87">
        <v>13353.4</v>
      </c>
      <c r="L278" s="87">
        <v>3733.4</v>
      </c>
      <c r="M278" s="88">
        <v>4030655.1</v>
      </c>
      <c r="N278" s="68"/>
      <c r="O278" s="70"/>
      <c r="P278" s="70"/>
    </row>
    <row r="279" spans="2:16" ht="19.5" hidden="1" customHeight="1">
      <c r="B279" s="59"/>
      <c r="C279" s="88"/>
      <c r="D279" s="87"/>
      <c r="E279" s="87"/>
      <c r="F279" s="87"/>
      <c r="G279" s="87"/>
      <c r="H279" s="87"/>
      <c r="I279" s="87"/>
      <c r="J279" s="87"/>
      <c r="K279" s="87"/>
      <c r="L279" s="87"/>
      <c r="M279" s="88"/>
      <c r="N279" s="68"/>
      <c r="O279" s="70"/>
      <c r="P279" s="70"/>
    </row>
    <row r="280" spans="2:16" ht="19.5" hidden="1" customHeight="1">
      <c r="B280" s="59" t="s">
        <v>299</v>
      </c>
      <c r="C280" s="88">
        <v>3907874.7</v>
      </c>
      <c r="D280" s="87">
        <v>80105</v>
      </c>
      <c r="E280" s="87">
        <v>0</v>
      </c>
      <c r="F280" s="87">
        <f>16612.2-G280</f>
        <v>14845.7</v>
      </c>
      <c r="G280" s="87">
        <v>1766.5</v>
      </c>
      <c r="H280" s="87">
        <v>9593.6</v>
      </c>
      <c r="I280" s="87">
        <v>849.6</v>
      </c>
      <c r="J280" s="87">
        <v>29553</v>
      </c>
      <c r="K280" s="87">
        <v>13434.8</v>
      </c>
      <c r="L280" s="87">
        <v>3930.2</v>
      </c>
      <c r="M280" s="88">
        <v>4061952.9</v>
      </c>
      <c r="N280" s="68"/>
      <c r="O280" s="70"/>
      <c r="P280" s="70"/>
    </row>
    <row r="281" spans="2:16" ht="19.5" hidden="1" customHeight="1">
      <c r="B281" s="59"/>
      <c r="C281" s="88"/>
      <c r="D281" s="87"/>
      <c r="E281" s="87"/>
      <c r="F281" s="87"/>
      <c r="G281" s="87"/>
      <c r="H281" s="87"/>
      <c r="I281" s="87"/>
      <c r="J281" s="87"/>
      <c r="K281" s="87"/>
      <c r="L281" s="87"/>
      <c r="M281" s="88"/>
      <c r="N281" s="68"/>
      <c r="O281" s="70"/>
      <c r="P281" s="70"/>
    </row>
    <row r="282" spans="2:16" ht="19.5" hidden="1" customHeight="1">
      <c r="B282" s="59" t="s">
        <v>300</v>
      </c>
      <c r="C282" s="88">
        <v>4437432.7</v>
      </c>
      <c r="D282" s="87">
        <v>80754.399999999994</v>
      </c>
      <c r="E282" s="87">
        <v>0</v>
      </c>
      <c r="F282" s="87">
        <f>16858.4-G282</f>
        <v>15154.000000000002</v>
      </c>
      <c r="G282" s="87">
        <v>1704.4</v>
      </c>
      <c r="H282" s="87">
        <v>11390.4</v>
      </c>
      <c r="I282" s="87">
        <v>957.3</v>
      </c>
      <c r="J282" s="87">
        <v>31265.8</v>
      </c>
      <c r="K282" s="87">
        <v>13468</v>
      </c>
      <c r="L282" s="87">
        <v>4250</v>
      </c>
      <c r="M282" s="88">
        <v>4596377.0999999996</v>
      </c>
      <c r="N282" s="68"/>
      <c r="O282" s="70"/>
      <c r="P282" s="70"/>
    </row>
    <row r="283" spans="2:16" ht="19.5" hidden="1" customHeight="1">
      <c r="B283" s="59"/>
      <c r="C283" s="88"/>
      <c r="D283" s="87"/>
      <c r="E283" s="87"/>
      <c r="F283" s="87"/>
      <c r="G283" s="87"/>
      <c r="H283" s="87"/>
      <c r="I283" s="87"/>
      <c r="J283" s="87"/>
      <c r="K283" s="87"/>
      <c r="L283" s="87"/>
      <c r="M283" s="88"/>
      <c r="N283" s="68"/>
      <c r="O283" s="70"/>
      <c r="P283" s="70"/>
    </row>
    <row r="284" spans="2:16" ht="19.5" hidden="1" customHeight="1">
      <c r="B284" s="59" t="s">
        <v>301</v>
      </c>
      <c r="C284" s="88">
        <v>4923644.8</v>
      </c>
      <c r="D284" s="87">
        <v>215112.7</v>
      </c>
      <c r="E284" s="87">
        <v>0</v>
      </c>
      <c r="F284" s="87">
        <v>24650.2</v>
      </c>
      <c r="G284" s="87">
        <v>1897.1</v>
      </c>
      <c r="H284" s="87">
        <v>14072</v>
      </c>
      <c r="I284" s="87">
        <v>800</v>
      </c>
      <c r="J284" s="87">
        <v>32310.1</v>
      </c>
      <c r="K284" s="87">
        <v>12621.3</v>
      </c>
      <c r="L284" s="87">
        <v>4521.2</v>
      </c>
      <c r="M284" s="88">
        <v>5229629.4000000004</v>
      </c>
      <c r="N284" s="68"/>
      <c r="O284" s="70"/>
      <c r="P284" s="70"/>
    </row>
    <row r="285" spans="2:16" ht="19.5" hidden="1" customHeight="1">
      <c r="B285" s="59"/>
      <c r="C285" s="88"/>
      <c r="D285" s="87"/>
      <c r="E285" s="87"/>
      <c r="F285" s="87"/>
      <c r="G285" s="87"/>
      <c r="H285" s="87"/>
      <c r="I285" s="87"/>
      <c r="J285" s="87"/>
      <c r="K285" s="87"/>
      <c r="L285" s="87"/>
      <c r="M285" s="88"/>
      <c r="N285" s="68"/>
      <c r="O285" s="70"/>
      <c r="P285" s="70"/>
    </row>
    <row r="286" spans="2:16" ht="19.5" hidden="1" customHeight="1">
      <c r="B286" s="59" t="s">
        <v>302</v>
      </c>
      <c r="C286" s="88">
        <v>5405766</v>
      </c>
      <c r="D286" s="87">
        <v>152423.6</v>
      </c>
      <c r="E286" s="87">
        <v>0</v>
      </c>
      <c r="F286" s="87">
        <v>42701.3</v>
      </c>
      <c r="G286" s="87">
        <v>2018.9</v>
      </c>
      <c r="H286" s="87">
        <v>26416.1</v>
      </c>
      <c r="I286" s="87">
        <v>950</v>
      </c>
      <c r="J286" s="87">
        <v>33861.4</v>
      </c>
      <c r="K286" s="87">
        <v>12822.3</v>
      </c>
      <c r="L286" s="87">
        <v>4886.8999999999996</v>
      </c>
      <c r="M286" s="88">
        <v>5681846.5</v>
      </c>
      <c r="N286" s="68"/>
      <c r="O286" s="70"/>
      <c r="P286" s="70"/>
    </row>
    <row r="287" spans="2:16" ht="19.5" hidden="1" customHeight="1">
      <c r="B287" s="59"/>
      <c r="C287" s="88"/>
      <c r="D287" s="87"/>
      <c r="E287" s="87"/>
      <c r="F287" s="87"/>
      <c r="G287" s="87"/>
      <c r="H287" s="87"/>
      <c r="I287" s="87"/>
      <c r="J287" s="87"/>
      <c r="K287" s="87"/>
      <c r="L287" s="87"/>
      <c r="M287" s="88"/>
      <c r="N287" s="68"/>
      <c r="O287" s="70"/>
      <c r="P287" s="70"/>
    </row>
    <row r="288" spans="2:16" ht="19.5" hidden="1" customHeight="1">
      <c r="B288" s="59" t="s">
        <v>303</v>
      </c>
      <c r="C288" s="88">
        <v>6245470.5</v>
      </c>
      <c r="D288" s="87">
        <f>115057.1-E288</f>
        <v>115057.1</v>
      </c>
      <c r="E288" s="87">
        <v>0</v>
      </c>
      <c r="F288" s="87">
        <f>43088.2-G288</f>
        <v>40980.5</v>
      </c>
      <c r="G288" s="87">
        <v>2107.6999999999998</v>
      </c>
      <c r="H288" s="87">
        <v>19227.2</v>
      </c>
      <c r="I288" s="87">
        <v>960</v>
      </c>
      <c r="J288" s="87">
        <v>35831.4</v>
      </c>
      <c r="K288" s="87">
        <v>13620.2</v>
      </c>
      <c r="L288" s="87">
        <v>5330.2</v>
      </c>
      <c r="M288" s="88">
        <v>6478584.7999999998</v>
      </c>
      <c r="N288" s="68"/>
      <c r="O288" s="70">
        <f>+M288-SUM(C288:L288)</f>
        <v>0</v>
      </c>
      <c r="P288" s="70"/>
    </row>
    <row r="289" spans="2:16" ht="19.5" hidden="1" customHeight="1">
      <c r="B289" s="59"/>
      <c r="C289" s="88"/>
      <c r="D289" s="87"/>
      <c r="E289" s="87"/>
      <c r="F289" s="87"/>
      <c r="G289" s="87"/>
      <c r="H289" s="87"/>
      <c r="I289" s="87"/>
      <c r="J289" s="87"/>
      <c r="K289" s="87"/>
      <c r="L289" s="87"/>
      <c r="M289" s="88"/>
      <c r="N289" s="68"/>
      <c r="O289" s="70"/>
      <c r="P289" s="70"/>
    </row>
    <row r="290" spans="2:16" ht="19.5" hidden="1" customHeight="1">
      <c r="B290" s="59" t="s">
        <v>304</v>
      </c>
      <c r="C290" s="88">
        <v>6315173</v>
      </c>
      <c r="D290" s="87">
        <v>161170.4</v>
      </c>
      <c r="E290" s="87">
        <v>0</v>
      </c>
      <c r="F290" s="87">
        <f>52147.7-G290</f>
        <v>50050.6</v>
      </c>
      <c r="G290" s="87">
        <v>2097.1</v>
      </c>
      <c r="H290" s="87">
        <v>35219.300000000003</v>
      </c>
      <c r="I290" s="87">
        <v>2928.9</v>
      </c>
      <c r="J290" s="87">
        <v>45610.3</v>
      </c>
      <c r="K290" s="87">
        <v>22371.9</v>
      </c>
      <c r="L290" s="87">
        <v>6060.1</v>
      </c>
      <c r="M290" s="88">
        <v>6640681.5</v>
      </c>
      <c r="N290" s="68"/>
      <c r="O290" s="70">
        <f>+M290-SUM(C290:L290)</f>
        <v>-9.999999962747097E-2</v>
      </c>
      <c r="P290" s="70"/>
    </row>
    <row r="291" spans="2:16" ht="19.5" hidden="1" customHeight="1">
      <c r="B291" s="59"/>
      <c r="C291" s="88"/>
      <c r="D291" s="87"/>
      <c r="E291" s="87"/>
      <c r="F291" s="87"/>
      <c r="G291" s="87"/>
      <c r="H291" s="87"/>
      <c r="I291" s="87"/>
      <c r="J291" s="87"/>
      <c r="K291" s="87"/>
      <c r="L291" s="87"/>
      <c r="M291" s="88"/>
      <c r="N291" s="68"/>
      <c r="O291" s="70"/>
      <c r="P291" s="70"/>
    </row>
    <row r="292" spans="2:16" ht="19.5" hidden="1" customHeight="1">
      <c r="B292" s="59" t="s">
        <v>305</v>
      </c>
      <c r="C292" s="88">
        <v>7276266.0999999996</v>
      </c>
      <c r="D292" s="87">
        <v>282968.5</v>
      </c>
      <c r="E292" s="87">
        <v>0</v>
      </c>
      <c r="F292" s="87">
        <f>59217-G292</f>
        <v>57153</v>
      </c>
      <c r="G292" s="87">
        <v>2064</v>
      </c>
      <c r="H292" s="87">
        <v>39072.9</v>
      </c>
      <c r="I292" s="87">
        <v>3000</v>
      </c>
      <c r="J292" s="87">
        <v>54909.9</v>
      </c>
      <c r="K292" s="87">
        <v>23024.1</v>
      </c>
      <c r="L292" s="87">
        <v>6551.9</v>
      </c>
      <c r="M292" s="88">
        <v>7745010.2999999998</v>
      </c>
      <c r="N292" s="68"/>
      <c r="O292" s="70">
        <f>+M292-SUM(C292:L292)</f>
        <v>-0.10000000055879354</v>
      </c>
      <c r="P292" s="70"/>
    </row>
    <row r="293" spans="2:16" ht="19.5" hidden="1" customHeight="1">
      <c r="B293" s="59"/>
      <c r="C293" s="88"/>
      <c r="D293" s="87"/>
      <c r="E293" s="87"/>
      <c r="F293" s="87"/>
      <c r="G293" s="87"/>
      <c r="H293" s="87"/>
      <c r="I293" s="87"/>
      <c r="J293" s="87"/>
      <c r="K293" s="87"/>
      <c r="L293" s="87"/>
      <c r="M293" s="88"/>
      <c r="N293" s="68"/>
      <c r="O293" s="70"/>
      <c r="P293" s="70"/>
    </row>
    <row r="294" spans="2:16" ht="19.5" hidden="1" customHeight="1">
      <c r="B294" s="59" t="s">
        <v>306</v>
      </c>
      <c r="C294" s="88">
        <v>7984878</v>
      </c>
      <c r="D294" s="87">
        <v>196281.4</v>
      </c>
      <c r="E294" s="87">
        <v>0</v>
      </c>
      <c r="F294" s="87">
        <f>73854.3-G294</f>
        <v>71713.8</v>
      </c>
      <c r="G294" s="87">
        <v>2140.5</v>
      </c>
      <c r="H294" s="87">
        <v>41195</v>
      </c>
      <c r="I294" s="87">
        <v>42168.1</v>
      </c>
      <c r="J294" s="87">
        <v>57538.7</v>
      </c>
      <c r="K294" s="87">
        <v>23078.6</v>
      </c>
      <c r="L294" s="87">
        <v>7180.1</v>
      </c>
      <c r="M294" s="88">
        <v>8426174.1999999993</v>
      </c>
      <c r="N294" s="68"/>
      <c r="O294" s="70">
        <f>+M294-SUM(C294:L294)</f>
        <v>0</v>
      </c>
      <c r="P294" s="70"/>
    </row>
    <row r="295" spans="2:16" ht="19.5" hidden="1" customHeight="1">
      <c r="B295" s="59"/>
      <c r="C295" s="88"/>
      <c r="D295" s="87"/>
      <c r="E295" s="87"/>
      <c r="F295" s="87"/>
      <c r="G295" s="87"/>
      <c r="H295" s="87"/>
      <c r="I295" s="87"/>
      <c r="J295" s="87"/>
      <c r="K295" s="87"/>
      <c r="L295" s="87"/>
      <c r="M295" s="88"/>
      <c r="N295" s="68"/>
      <c r="O295" s="70"/>
      <c r="P295" s="70"/>
    </row>
    <row r="296" spans="2:16" ht="19.5" hidden="1" customHeight="1">
      <c r="B296" s="59" t="s">
        <v>307</v>
      </c>
      <c r="C296" s="88">
        <v>8140530.5</v>
      </c>
      <c r="D296" s="87">
        <v>467994</v>
      </c>
      <c r="E296" s="87">
        <v>0</v>
      </c>
      <c r="F296" s="87">
        <f>68303.8-G296</f>
        <v>66059.199999999997</v>
      </c>
      <c r="G296" s="87">
        <v>2244.6</v>
      </c>
      <c r="H296" s="87">
        <v>34663.4</v>
      </c>
      <c r="I296" s="87">
        <v>29604.9</v>
      </c>
      <c r="J296" s="87">
        <v>54350.5</v>
      </c>
      <c r="K296" s="87">
        <v>31854.6</v>
      </c>
      <c r="L296" s="87">
        <v>7803.6</v>
      </c>
      <c r="M296" s="88">
        <v>8835105.3000000007</v>
      </c>
      <c r="N296" s="68"/>
      <c r="O296" s="70">
        <f>+M296-SUM(C296:L296)</f>
        <v>0</v>
      </c>
      <c r="P296" s="70"/>
    </row>
    <row r="297" spans="2:16" ht="19.5" hidden="1" customHeight="1">
      <c r="B297" s="59"/>
      <c r="C297" s="88"/>
      <c r="D297" s="87"/>
      <c r="E297" s="87"/>
      <c r="F297" s="87"/>
      <c r="G297" s="87"/>
      <c r="H297" s="87"/>
      <c r="I297" s="87"/>
      <c r="J297" s="87"/>
      <c r="K297" s="87"/>
      <c r="L297" s="87"/>
      <c r="M297" s="88"/>
      <c r="N297" s="68"/>
      <c r="O297" s="70"/>
      <c r="P297" s="70"/>
    </row>
    <row r="298" spans="2:16" ht="19.5" hidden="1" customHeight="1">
      <c r="B298" s="59" t="s">
        <v>308</v>
      </c>
      <c r="C298" s="88">
        <v>9217598.4000000004</v>
      </c>
      <c r="D298" s="87">
        <v>581626</v>
      </c>
      <c r="E298" s="87">
        <v>0</v>
      </c>
      <c r="F298" s="87">
        <f>64730.4-G298</f>
        <v>62131.5</v>
      </c>
      <c r="G298" s="87">
        <v>2598.9</v>
      </c>
      <c r="H298" s="87">
        <v>65207.199999999997</v>
      </c>
      <c r="I298" s="87">
        <v>35196.5</v>
      </c>
      <c r="J298" s="87">
        <v>66599.5</v>
      </c>
      <c r="K298" s="87">
        <v>25522.6</v>
      </c>
      <c r="L298" s="87">
        <v>8549.6</v>
      </c>
      <c r="M298" s="88">
        <v>10065030.300000001</v>
      </c>
      <c r="N298" s="68"/>
      <c r="O298" s="70">
        <f>+M298-SUM(C298:L298)</f>
        <v>0.10000000149011612</v>
      </c>
      <c r="P298" s="70"/>
    </row>
    <row r="299" spans="2:16" ht="19.5" hidden="1" customHeight="1">
      <c r="B299" s="59"/>
      <c r="C299" s="88"/>
      <c r="D299" s="87"/>
      <c r="E299" s="87"/>
      <c r="F299" s="87"/>
      <c r="G299" s="87"/>
      <c r="H299" s="87"/>
      <c r="I299" s="87"/>
      <c r="J299" s="87"/>
      <c r="K299" s="87"/>
      <c r="L299" s="87"/>
      <c r="M299" s="88"/>
      <c r="N299" s="68"/>
      <c r="O299" s="70"/>
      <c r="P299" s="70"/>
    </row>
    <row r="300" spans="2:16" ht="19.5" hidden="1" customHeight="1">
      <c r="B300" s="59" t="s">
        <v>311</v>
      </c>
      <c r="C300" s="88">
        <v>9219055.0999999996</v>
      </c>
      <c r="D300" s="87">
        <v>1020699.4</v>
      </c>
      <c r="E300" s="87">
        <v>0</v>
      </c>
      <c r="F300" s="87">
        <f>55246.3-G300</f>
        <v>52589.100000000006</v>
      </c>
      <c r="G300" s="87">
        <v>2657.2</v>
      </c>
      <c r="H300" s="87">
        <v>43505.9</v>
      </c>
      <c r="I300" s="87">
        <v>4288.6000000000004</v>
      </c>
      <c r="J300" s="87">
        <v>70194.600000000006</v>
      </c>
      <c r="K300" s="87">
        <v>32014</v>
      </c>
      <c r="L300" s="87">
        <v>9383.2999999999993</v>
      </c>
      <c r="M300" s="88">
        <v>10454387.199999999</v>
      </c>
      <c r="N300" s="68"/>
      <c r="O300" s="70">
        <f>+M300-SUM(C300:L300)</f>
        <v>0</v>
      </c>
      <c r="P300" s="70"/>
    </row>
    <row r="301" spans="2:16" ht="19.5" hidden="1" customHeight="1">
      <c r="B301" s="59"/>
      <c r="C301" s="88"/>
      <c r="D301" s="87"/>
      <c r="E301" s="87"/>
      <c r="F301" s="87"/>
      <c r="G301" s="87"/>
      <c r="H301" s="87"/>
      <c r="I301" s="87"/>
      <c r="J301" s="87"/>
      <c r="K301" s="87"/>
      <c r="L301" s="87"/>
      <c r="M301" s="88"/>
      <c r="N301" s="68"/>
      <c r="O301" s="70"/>
      <c r="P301" s="70"/>
    </row>
    <row r="302" spans="2:16" ht="19.5" hidden="1" customHeight="1">
      <c r="B302" s="57">
        <v>2005</v>
      </c>
      <c r="C302" s="88"/>
      <c r="D302" s="87"/>
      <c r="E302" s="87"/>
      <c r="F302" s="87"/>
      <c r="G302" s="87"/>
      <c r="H302" s="87"/>
      <c r="I302" s="87"/>
      <c r="J302" s="87"/>
      <c r="K302" s="87"/>
      <c r="L302" s="87"/>
      <c r="M302" s="88"/>
      <c r="N302" s="68"/>
      <c r="O302" s="70"/>
      <c r="P302" s="70"/>
    </row>
    <row r="303" spans="2:16" ht="19.5" hidden="1" customHeight="1">
      <c r="B303" s="57"/>
      <c r="C303" s="88"/>
      <c r="D303" s="87"/>
      <c r="E303" s="87"/>
      <c r="F303" s="87"/>
      <c r="G303" s="87"/>
      <c r="H303" s="87"/>
      <c r="I303" s="87"/>
      <c r="J303" s="87"/>
      <c r="K303" s="87"/>
      <c r="L303" s="87"/>
      <c r="M303" s="88"/>
      <c r="N303" s="68"/>
      <c r="O303" s="70"/>
      <c r="P303" s="70"/>
    </row>
    <row r="304" spans="2:16" ht="19.5" hidden="1" customHeight="1">
      <c r="B304" s="59" t="s">
        <v>298</v>
      </c>
      <c r="C304" s="88">
        <v>10130401.800000001</v>
      </c>
      <c r="D304" s="87">
        <f>839259.1-E304</f>
        <v>837064.2</v>
      </c>
      <c r="E304" s="87">
        <v>2194.9</v>
      </c>
      <c r="F304" s="87">
        <f>59453.3-G304</f>
        <v>59453.3</v>
      </c>
      <c r="G304" s="87">
        <v>0</v>
      </c>
      <c r="H304" s="87">
        <v>32125.4</v>
      </c>
      <c r="I304" s="87">
        <v>8176.7</v>
      </c>
      <c r="J304" s="87">
        <v>76559.100000000006</v>
      </c>
      <c r="K304" s="87">
        <v>32151.9</v>
      </c>
      <c r="L304" s="87">
        <v>10687.5</v>
      </c>
      <c r="M304" s="88">
        <v>11188814.800000001</v>
      </c>
      <c r="N304" s="68"/>
      <c r="O304" s="70">
        <f>+M304-SUM(C304:L304)</f>
        <v>0</v>
      </c>
      <c r="P304" s="70"/>
    </row>
    <row r="305" spans="2:16" ht="19.5" hidden="1" customHeight="1">
      <c r="B305" s="57"/>
      <c r="C305" s="88"/>
      <c r="D305" s="87"/>
      <c r="E305" s="87"/>
      <c r="F305" s="87"/>
      <c r="G305" s="87"/>
      <c r="H305" s="87"/>
      <c r="I305" s="87"/>
      <c r="J305" s="87"/>
      <c r="K305" s="87"/>
      <c r="L305" s="87"/>
      <c r="M305" s="88"/>
      <c r="N305" s="68"/>
      <c r="O305" s="70"/>
      <c r="P305" s="70"/>
    </row>
    <row r="306" spans="2:16" ht="15.6" hidden="1">
      <c r="B306" s="128" t="s">
        <v>299</v>
      </c>
      <c r="C306" s="88">
        <v>11745874.5</v>
      </c>
      <c r="D306" s="87">
        <f>834444.8-E306</f>
        <v>832700.5</v>
      </c>
      <c r="E306" s="87">
        <v>1744.3</v>
      </c>
      <c r="F306" s="87">
        <f>132932-G306</f>
        <v>132932</v>
      </c>
      <c r="G306" s="87">
        <v>0</v>
      </c>
      <c r="H306" s="87">
        <v>30587.7</v>
      </c>
      <c r="I306" s="87">
        <v>72056.399999999994</v>
      </c>
      <c r="J306" s="87">
        <v>81909.100000000006</v>
      </c>
      <c r="K306" s="87">
        <v>25722.1</v>
      </c>
      <c r="L306" s="87">
        <v>11866.6</v>
      </c>
      <c r="M306" s="88">
        <v>12935393.300000001</v>
      </c>
      <c r="N306" s="68"/>
      <c r="O306" s="70">
        <f>+M306-SUM(C306:L306)</f>
        <v>0.10000000149011612</v>
      </c>
      <c r="P306" s="70"/>
    </row>
    <row r="307" spans="2:16" ht="19.5" hidden="1" customHeight="1">
      <c r="B307" s="59"/>
      <c r="C307" s="88"/>
      <c r="D307" s="87"/>
      <c r="E307" s="87"/>
      <c r="F307" s="87"/>
      <c r="G307" s="87"/>
      <c r="H307" s="87"/>
      <c r="I307" s="87"/>
      <c r="J307" s="87"/>
      <c r="K307" s="87"/>
      <c r="L307" s="87"/>
      <c r="M307" s="88"/>
      <c r="N307" s="68"/>
      <c r="O307" s="70"/>
      <c r="P307" s="70"/>
    </row>
    <row r="308" spans="2:16" ht="19.5" hidden="1" customHeight="1">
      <c r="B308" s="59" t="s">
        <v>300</v>
      </c>
      <c r="C308" s="88">
        <v>12981816.4</v>
      </c>
      <c r="D308" s="87">
        <f>812712.2-E308</f>
        <v>810545.7</v>
      </c>
      <c r="E308" s="87">
        <v>2166.5</v>
      </c>
      <c r="F308" s="87">
        <f>116138.6-G308</f>
        <v>116138.6</v>
      </c>
      <c r="G308" s="87">
        <v>0</v>
      </c>
      <c r="H308" s="87">
        <v>23937.8</v>
      </c>
      <c r="I308" s="87">
        <v>200434.8</v>
      </c>
      <c r="J308" s="87">
        <v>90925.3</v>
      </c>
      <c r="K308" s="87">
        <v>25941.599999999999</v>
      </c>
      <c r="L308" s="87">
        <v>13183.9</v>
      </c>
      <c r="M308" s="88">
        <v>14265090.5</v>
      </c>
      <c r="N308" s="68"/>
      <c r="O308" s="70">
        <f>+M308-SUM(C308:L308)</f>
        <v>-0.10000000149011612</v>
      </c>
      <c r="P308" s="70"/>
    </row>
    <row r="309" spans="2:16" ht="19.5" hidden="1" customHeight="1">
      <c r="B309" s="59"/>
      <c r="C309" s="88"/>
      <c r="D309" s="87"/>
      <c r="E309" s="87"/>
      <c r="F309" s="87"/>
      <c r="G309" s="87"/>
      <c r="H309" s="87"/>
      <c r="I309" s="87"/>
      <c r="J309" s="87"/>
      <c r="K309" s="87"/>
      <c r="L309" s="87"/>
      <c r="M309" s="88"/>
      <c r="N309" s="68"/>
      <c r="O309" s="70"/>
      <c r="P309" s="70"/>
    </row>
    <row r="310" spans="2:16" ht="19.5" hidden="1" customHeight="1">
      <c r="B310" s="59" t="s">
        <v>301</v>
      </c>
      <c r="C310" s="88">
        <v>15021513.1</v>
      </c>
      <c r="D310" s="87">
        <f>662472.6-E310</f>
        <v>662472.6</v>
      </c>
      <c r="E310" s="87">
        <v>0</v>
      </c>
      <c r="F310" s="87">
        <f>96467.6-G310</f>
        <v>96467.6</v>
      </c>
      <c r="G310" s="87">
        <v>0</v>
      </c>
      <c r="H310" s="87">
        <v>29974</v>
      </c>
      <c r="I310" s="87">
        <v>168664</v>
      </c>
      <c r="J310" s="87">
        <v>64629.5</v>
      </c>
      <c r="K310" s="87">
        <v>23806.3</v>
      </c>
      <c r="L310" s="87">
        <v>18060.5</v>
      </c>
      <c r="M310" s="88">
        <v>16085587.5</v>
      </c>
      <c r="N310" s="68"/>
      <c r="O310" s="70">
        <f>+M310-SUM(C310:L310)</f>
        <v>-9.999999962747097E-2</v>
      </c>
      <c r="P310" s="70"/>
    </row>
    <row r="311" spans="2:16" ht="19.5" hidden="1" customHeight="1">
      <c r="B311" s="59"/>
      <c r="C311" s="88"/>
      <c r="D311" s="87"/>
      <c r="E311" s="87"/>
      <c r="F311" s="87"/>
      <c r="G311" s="87"/>
      <c r="H311" s="87"/>
      <c r="I311" s="87"/>
      <c r="J311" s="87"/>
      <c r="K311" s="87"/>
      <c r="L311" s="87"/>
      <c r="M311" s="88"/>
      <c r="N311" s="68"/>
      <c r="O311" s="70"/>
      <c r="P311" s="70"/>
    </row>
    <row r="312" spans="2:16" ht="19.5" hidden="1" customHeight="1">
      <c r="B312" s="59" t="s">
        <v>302</v>
      </c>
      <c r="C312" s="88">
        <v>17735202.800000001</v>
      </c>
      <c r="D312" s="87">
        <f>802292.5-E312</f>
        <v>802292.5</v>
      </c>
      <c r="E312" s="87">
        <v>0</v>
      </c>
      <c r="F312" s="87">
        <f>67565.6-G312</f>
        <v>47156.900000000009</v>
      </c>
      <c r="G312" s="87">
        <v>20408.7</v>
      </c>
      <c r="H312" s="87">
        <v>62724.9</v>
      </c>
      <c r="I312" s="87">
        <v>261538.4</v>
      </c>
      <c r="J312" s="87">
        <v>74796.3</v>
      </c>
      <c r="K312" s="87">
        <v>29860.3</v>
      </c>
      <c r="L312" s="87">
        <v>19948.900000000001</v>
      </c>
      <c r="M312" s="88">
        <v>19053929.600000001</v>
      </c>
      <c r="N312" s="68"/>
      <c r="O312" s="70">
        <f>+M312-SUM(C312:L312)</f>
        <v>-9.9999994039535522E-2</v>
      </c>
      <c r="P312" s="70"/>
    </row>
    <row r="313" spans="2:16" ht="19.5" hidden="1" customHeight="1">
      <c r="B313" s="59"/>
      <c r="C313" s="88"/>
      <c r="D313" s="87"/>
      <c r="E313" s="87"/>
      <c r="F313" s="87"/>
      <c r="G313" s="87"/>
      <c r="H313" s="87"/>
      <c r="I313" s="87"/>
      <c r="J313" s="87"/>
      <c r="K313" s="87"/>
      <c r="L313" s="87"/>
      <c r="M313" s="88"/>
      <c r="N313" s="68"/>
      <c r="O313" s="70"/>
      <c r="P313" s="70"/>
    </row>
    <row r="314" spans="2:16" ht="19.5" hidden="1" customHeight="1">
      <c r="B314" s="59" t="s">
        <v>303</v>
      </c>
      <c r="C314" s="88">
        <v>19129.100300000002</v>
      </c>
      <c r="D314" s="87">
        <v>811.35329999999999</v>
      </c>
      <c r="E314" s="87">
        <v>0</v>
      </c>
      <c r="F314" s="87">
        <v>251.31200000000001</v>
      </c>
      <c r="G314" s="87">
        <v>0</v>
      </c>
      <c r="H314" s="87">
        <v>59.688499999999998</v>
      </c>
      <c r="I314" s="87">
        <v>286.91629999999998</v>
      </c>
      <c r="J314" s="87">
        <v>81.784600000000012</v>
      </c>
      <c r="K314" s="87">
        <v>31.8749</v>
      </c>
      <c r="L314" s="87">
        <v>19.266400000000001</v>
      </c>
      <c r="M314" s="88">
        <v>20671.296399999999</v>
      </c>
      <c r="N314" s="68"/>
      <c r="O314" s="70">
        <f>+M314-SUM(C314:L314)</f>
        <v>9.9999997473787516E-5</v>
      </c>
      <c r="P314" s="70"/>
    </row>
    <row r="315" spans="2:16" ht="19.5" hidden="1" customHeight="1">
      <c r="B315" s="59"/>
      <c r="C315" s="88"/>
      <c r="D315" s="88"/>
      <c r="E315" s="88"/>
      <c r="F315" s="88"/>
      <c r="G315" s="88"/>
      <c r="H315" s="88"/>
      <c r="I315" s="88"/>
      <c r="J315" s="88"/>
      <c r="K315" s="88"/>
      <c r="L315" s="88"/>
      <c r="M315" s="88"/>
      <c r="N315" s="68"/>
      <c r="O315" s="70"/>
      <c r="P315" s="70"/>
    </row>
    <row r="316" spans="2:16" ht="19.5" hidden="1" customHeight="1">
      <c r="B316" s="59" t="s">
        <v>304</v>
      </c>
      <c r="C316" s="88">
        <v>21784.204100000003</v>
      </c>
      <c r="D316" s="87">
        <v>1216.4038999999998</v>
      </c>
      <c r="E316" s="87">
        <v>0</v>
      </c>
      <c r="F316" s="87">
        <v>316.00170000000003</v>
      </c>
      <c r="G316" s="87">
        <v>0</v>
      </c>
      <c r="H316" s="87">
        <v>71.139300000000006</v>
      </c>
      <c r="I316" s="87">
        <v>360.03500000000003</v>
      </c>
      <c r="J316" s="87">
        <v>94.536699999999996</v>
      </c>
      <c r="K316" s="87">
        <v>33.831300000000006</v>
      </c>
      <c r="L316" s="87">
        <v>21.922099999999997</v>
      </c>
      <c r="M316" s="88">
        <v>23898.074100000002</v>
      </c>
      <c r="N316" s="68"/>
      <c r="O316" s="70">
        <f>+M316-SUM(C316:L316)</f>
        <v>0</v>
      </c>
      <c r="P316" s="70"/>
    </row>
    <row r="317" spans="2:16" ht="19.5" hidden="1" customHeight="1">
      <c r="B317" s="59"/>
      <c r="C317" s="88"/>
      <c r="D317" s="88"/>
      <c r="E317" s="88"/>
      <c r="F317" s="88"/>
      <c r="G317" s="88"/>
      <c r="H317" s="88"/>
      <c r="I317" s="88"/>
      <c r="J317" s="88"/>
      <c r="K317" s="88"/>
      <c r="L317" s="88"/>
      <c r="M317" s="88"/>
      <c r="N317" s="68"/>
      <c r="O317" s="70"/>
      <c r="P317" s="70"/>
    </row>
    <row r="318" spans="2:16" ht="19.5" hidden="1" customHeight="1">
      <c r="B318" s="59" t="s">
        <v>305</v>
      </c>
      <c r="C318" s="88">
        <v>24247.981</v>
      </c>
      <c r="D318" s="87">
        <v>1555.7206999999999</v>
      </c>
      <c r="E318" s="87">
        <v>0</v>
      </c>
      <c r="F318" s="87">
        <v>414.88509999999997</v>
      </c>
      <c r="G318" s="87">
        <v>0</v>
      </c>
      <c r="H318" s="87">
        <v>52.352899999999998</v>
      </c>
      <c r="I318" s="87">
        <v>598.29200000000003</v>
      </c>
      <c r="J318" s="87">
        <v>98.677999999999997</v>
      </c>
      <c r="K318" s="87">
        <v>103.46130000000001</v>
      </c>
      <c r="L318" s="87">
        <v>31.0641</v>
      </c>
      <c r="M318" s="88">
        <v>27102.4352</v>
      </c>
      <c r="N318" s="68"/>
      <c r="O318" s="70">
        <f>+M318-SUM(C318:L318)</f>
        <v>1.0000000111176632E-4</v>
      </c>
      <c r="P318" s="70"/>
    </row>
    <row r="319" spans="2:16" ht="19.5" hidden="1" customHeight="1">
      <c r="B319" s="59"/>
      <c r="C319" s="88"/>
      <c r="D319" s="88"/>
      <c r="E319" s="88"/>
      <c r="F319" s="88"/>
      <c r="G319" s="88"/>
      <c r="H319" s="88"/>
      <c r="I319" s="88"/>
      <c r="J319" s="88"/>
      <c r="K319" s="88"/>
      <c r="L319" s="88"/>
      <c r="M319" s="88"/>
      <c r="N319" s="68"/>
      <c r="O319" s="70"/>
      <c r="P319" s="70"/>
    </row>
    <row r="320" spans="2:16" ht="19.5" hidden="1" customHeight="1">
      <c r="B320" s="59" t="s">
        <v>306</v>
      </c>
      <c r="C320" s="88">
        <v>27740.880100000002</v>
      </c>
      <c r="D320" s="87">
        <v>1438.5562</v>
      </c>
      <c r="E320" s="87">
        <v>0</v>
      </c>
      <c r="F320" s="87">
        <v>485.89240000000001</v>
      </c>
      <c r="G320" s="87">
        <v>0</v>
      </c>
      <c r="H320" s="87">
        <v>67.7851</v>
      </c>
      <c r="I320" s="87">
        <v>821.15180000000009</v>
      </c>
      <c r="J320" s="87">
        <v>103.0943</v>
      </c>
      <c r="K320" s="87">
        <v>137.3613</v>
      </c>
      <c r="L320" s="87">
        <v>22.739799999999999</v>
      </c>
      <c r="M320" s="88">
        <v>30817.460800000001</v>
      </c>
      <c r="N320" s="68"/>
      <c r="O320" s="70">
        <f>+M320-SUM(C320:L320)</f>
        <v>-2.0000000222353265E-4</v>
      </c>
      <c r="P320" s="70"/>
    </row>
    <row r="321" spans="2:16" ht="19.5" hidden="1" customHeight="1">
      <c r="B321" s="59"/>
      <c r="C321" s="88"/>
      <c r="D321" s="88"/>
      <c r="E321" s="88"/>
      <c r="F321" s="88"/>
      <c r="G321" s="88"/>
      <c r="H321" s="88"/>
      <c r="I321" s="88"/>
      <c r="J321" s="88"/>
      <c r="K321" s="88"/>
      <c r="L321" s="88"/>
      <c r="M321" s="88"/>
      <c r="N321" s="68"/>
      <c r="O321" s="70"/>
      <c r="P321" s="70"/>
    </row>
    <row r="322" spans="2:16" ht="19.5" hidden="1" customHeight="1">
      <c r="B322" s="59" t="s">
        <v>307</v>
      </c>
      <c r="C322" s="88">
        <v>38686.329399999995</v>
      </c>
      <c r="D322" s="87">
        <v>1219.3708999999999</v>
      </c>
      <c r="E322" s="87">
        <v>0</v>
      </c>
      <c r="F322" s="87">
        <v>989.66309999999999</v>
      </c>
      <c r="G322" s="87">
        <v>0</v>
      </c>
      <c r="H322" s="87">
        <v>56.879599999999996</v>
      </c>
      <c r="I322" s="87">
        <v>869.76419999999996</v>
      </c>
      <c r="J322" s="87">
        <v>152.6979</v>
      </c>
      <c r="K322" s="87">
        <v>97.004199999999997</v>
      </c>
      <c r="L322" s="87">
        <v>25.216799999999999</v>
      </c>
      <c r="M322" s="88">
        <v>42096.925999999999</v>
      </c>
      <c r="N322" s="68"/>
      <c r="O322" s="70">
        <f>+M322-SUM(C322:L322)</f>
        <v>-9.9999997473787516E-5</v>
      </c>
      <c r="P322" s="70"/>
    </row>
    <row r="323" spans="2:16" ht="19.5" hidden="1" customHeight="1">
      <c r="B323" s="59"/>
      <c r="C323" s="88"/>
      <c r="D323" s="88"/>
      <c r="E323" s="88"/>
      <c r="F323" s="88"/>
      <c r="G323" s="88"/>
      <c r="H323" s="88"/>
      <c r="I323" s="88"/>
      <c r="J323" s="88"/>
      <c r="K323" s="88"/>
      <c r="L323" s="88"/>
      <c r="M323" s="88"/>
      <c r="N323" s="68"/>
      <c r="O323" s="70"/>
      <c r="P323" s="70"/>
    </row>
    <row r="324" spans="2:16" ht="19.5" hidden="1" customHeight="1">
      <c r="B324" s="59" t="s">
        <v>308</v>
      </c>
      <c r="C324" s="88">
        <v>48038.8822</v>
      </c>
      <c r="D324" s="87">
        <v>1467.5002790000001</v>
      </c>
      <c r="E324" s="87">
        <v>48.173721</v>
      </c>
      <c r="F324" s="87">
        <v>737.73259999999993</v>
      </c>
      <c r="G324" s="87">
        <v>0</v>
      </c>
      <c r="H324" s="87">
        <v>94.231399999999994</v>
      </c>
      <c r="I324" s="87">
        <v>699.47360000000003</v>
      </c>
      <c r="J324" s="87">
        <v>116.9161</v>
      </c>
      <c r="K324" s="87">
        <v>144.8603</v>
      </c>
      <c r="L324" s="87">
        <v>136.95820000000001</v>
      </c>
      <c r="M324" s="88">
        <v>51484.728299999995</v>
      </c>
      <c r="N324" s="68"/>
      <c r="O324" s="70">
        <f>+M324-SUM(C324:L324)</f>
        <v>-1.0000000474974513E-4</v>
      </c>
      <c r="P324" s="70"/>
    </row>
    <row r="325" spans="2:16" ht="19.5" hidden="1" customHeight="1">
      <c r="B325" s="59"/>
      <c r="C325" s="88"/>
      <c r="D325" s="88"/>
      <c r="E325" s="88"/>
      <c r="F325" s="88"/>
      <c r="G325" s="88"/>
      <c r="H325" s="88"/>
      <c r="I325" s="88"/>
      <c r="J325" s="88"/>
      <c r="K325" s="88"/>
      <c r="L325" s="88"/>
      <c r="M325" s="88"/>
      <c r="N325" s="68"/>
      <c r="O325" s="70"/>
      <c r="P325" s="70"/>
    </row>
    <row r="326" spans="2:16" ht="19.5" hidden="1" customHeight="1">
      <c r="B326" s="59" t="s">
        <v>311</v>
      </c>
      <c r="C326" s="88">
        <v>60126.346100000002</v>
      </c>
      <c r="D326" s="87">
        <v>1413.0280789999999</v>
      </c>
      <c r="E326" s="87">
        <v>30.952120999999998</v>
      </c>
      <c r="F326" s="88">
        <v>1474.4149</v>
      </c>
      <c r="G326" s="87">
        <v>0</v>
      </c>
      <c r="H326" s="87">
        <v>159.26729999999998</v>
      </c>
      <c r="I326" s="87">
        <v>1087.9116000000001</v>
      </c>
      <c r="J326" s="87">
        <v>117.0497</v>
      </c>
      <c r="K326" s="87">
        <v>145.5299</v>
      </c>
      <c r="L326" s="88">
        <v>258.6497</v>
      </c>
      <c r="M326" s="100">
        <v>64813.1495</v>
      </c>
      <c r="N326" s="68"/>
      <c r="O326" s="70">
        <f>+M326-SUM(C326:L326)</f>
        <v>9.9999982921872288E-5</v>
      </c>
      <c r="P326" s="70"/>
    </row>
    <row r="327" spans="2:16" ht="19.5" hidden="1" customHeight="1">
      <c r="B327" s="59"/>
      <c r="C327" s="88"/>
      <c r="D327" s="88"/>
      <c r="E327" s="88"/>
      <c r="F327" s="88"/>
      <c r="G327" s="88"/>
      <c r="H327" s="88"/>
      <c r="I327" s="88"/>
      <c r="J327" s="88"/>
      <c r="K327" s="88"/>
      <c r="L327" s="88"/>
      <c r="M327" s="88"/>
      <c r="N327" s="68"/>
      <c r="O327" s="70"/>
      <c r="P327" s="70"/>
    </row>
    <row r="328" spans="2:16" ht="19.5" hidden="1" customHeight="1">
      <c r="B328" s="57">
        <v>2006</v>
      </c>
      <c r="C328" s="88"/>
      <c r="D328" s="87"/>
      <c r="E328" s="87"/>
      <c r="F328" s="88"/>
      <c r="G328" s="87"/>
      <c r="H328" s="87"/>
      <c r="I328" s="87"/>
      <c r="J328" s="87"/>
      <c r="K328" s="87"/>
      <c r="L328" s="88"/>
      <c r="M328" s="100"/>
      <c r="N328" s="68"/>
      <c r="O328" s="70"/>
      <c r="P328" s="70"/>
    </row>
    <row r="329" spans="2:16" ht="19.5" hidden="1" customHeight="1">
      <c r="B329" s="59"/>
      <c r="C329" s="88"/>
      <c r="D329" s="87"/>
      <c r="E329" s="87"/>
      <c r="F329" s="88"/>
      <c r="G329" s="87"/>
      <c r="H329" s="88"/>
      <c r="I329" s="91"/>
      <c r="J329" s="88"/>
      <c r="K329" s="91"/>
      <c r="L329" s="88"/>
      <c r="M329" s="100"/>
      <c r="N329" s="68"/>
      <c r="O329" s="70">
        <f t="shared" ref="O329:O336" si="0">+M329-SUM(C329:L329)</f>
        <v>0</v>
      </c>
      <c r="P329" s="70"/>
    </row>
    <row r="330" spans="2:16" ht="19.5" hidden="1" customHeight="1">
      <c r="B330" s="59" t="s">
        <v>298</v>
      </c>
      <c r="C330" s="88">
        <v>69189.518299999996</v>
      </c>
      <c r="D330" s="87">
        <v>1555.6913549999999</v>
      </c>
      <c r="E330" s="87">
        <v>70.422844999999995</v>
      </c>
      <c r="F330" s="88">
        <v>2296.8772000000004</v>
      </c>
      <c r="G330" s="87">
        <v>0</v>
      </c>
      <c r="H330" s="88">
        <v>141.96520000000001</v>
      </c>
      <c r="I330" s="91">
        <v>1178.2513000000001</v>
      </c>
      <c r="J330" s="88">
        <v>153.81360000000001</v>
      </c>
      <c r="K330" s="91">
        <v>127.3691</v>
      </c>
      <c r="L330" s="88">
        <v>325.41000000000003</v>
      </c>
      <c r="M330" s="100">
        <v>75039.318900000013</v>
      </c>
      <c r="N330" s="68"/>
      <c r="O330" s="70">
        <f t="shared" si="0"/>
        <v>0</v>
      </c>
      <c r="P330" s="70"/>
    </row>
    <row r="331" spans="2:16" ht="19.5" hidden="1" customHeight="1">
      <c r="B331" s="59"/>
      <c r="C331" s="88"/>
      <c r="D331" s="88"/>
      <c r="E331" s="88"/>
      <c r="F331" s="88"/>
      <c r="G331" s="88"/>
      <c r="H331" s="88"/>
      <c r="I331" s="88"/>
      <c r="J331" s="88"/>
      <c r="K331" s="88"/>
      <c r="L331" s="88"/>
      <c r="M331" s="88"/>
      <c r="N331" s="68"/>
      <c r="O331" s="70">
        <f t="shared" si="0"/>
        <v>0</v>
      </c>
      <c r="P331" s="143"/>
    </row>
    <row r="332" spans="2:16" ht="19.5" hidden="1" customHeight="1">
      <c r="B332" s="59" t="s">
        <v>299</v>
      </c>
      <c r="C332" s="88">
        <v>75568.603940000001</v>
      </c>
      <c r="D332" s="87">
        <v>1629.1175699999999</v>
      </c>
      <c r="E332" s="87">
        <v>109.01483</v>
      </c>
      <c r="F332" s="88">
        <v>2494.532972</v>
      </c>
      <c r="G332" s="87">
        <v>0</v>
      </c>
      <c r="H332" s="88">
        <v>144.39087900000001</v>
      </c>
      <c r="I332" s="91">
        <v>572.83203200000014</v>
      </c>
      <c r="J332" s="88">
        <v>195.39247</v>
      </c>
      <c r="K332" s="91">
        <v>215.17898399999999</v>
      </c>
      <c r="L332" s="88">
        <v>336.25060400000001</v>
      </c>
      <c r="M332" s="100">
        <v>81265.314280999999</v>
      </c>
      <c r="N332" s="68"/>
      <c r="O332" s="70">
        <f t="shared" si="0"/>
        <v>0</v>
      </c>
      <c r="P332" s="143"/>
    </row>
    <row r="333" spans="2:16" ht="19.5" hidden="1" customHeight="1">
      <c r="B333" s="59"/>
      <c r="C333" s="88"/>
      <c r="D333" s="88"/>
      <c r="E333" s="88"/>
      <c r="F333" s="88"/>
      <c r="G333" s="88"/>
      <c r="H333" s="88"/>
      <c r="I333" s="88"/>
      <c r="J333" s="88"/>
      <c r="K333" s="88"/>
      <c r="L333" s="88"/>
      <c r="M333" s="88"/>
      <c r="N333" s="68"/>
      <c r="O333" s="70">
        <f t="shared" si="0"/>
        <v>0</v>
      </c>
      <c r="P333" s="143"/>
    </row>
    <row r="334" spans="2:16" ht="19.5" hidden="1" customHeight="1">
      <c r="B334" s="59" t="s">
        <v>300</v>
      </c>
      <c r="C334" s="88">
        <v>83589.314393000008</v>
      </c>
      <c r="D334" s="87">
        <v>2588.3065360000001</v>
      </c>
      <c r="E334" s="87">
        <v>221.98886400000001</v>
      </c>
      <c r="F334" s="88">
        <v>3490.3854999999999</v>
      </c>
      <c r="G334" s="87">
        <v>0</v>
      </c>
      <c r="H334" s="88">
        <v>95.790192999999974</v>
      </c>
      <c r="I334" s="91">
        <v>1439.1286270000001</v>
      </c>
      <c r="J334" s="88">
        <v>265.71403299999997</v>
      </c>
      <c r="K334" s="91">
        <v>218.18211799999997</v>
      </c>
      <c r="L334" s="88">
        <v>628.090957</v>
      </c>
      <c r="M334" s="100">
        <v>92536.901217000006</v>
      </c>
      <c r="N334" s="68"/>
      <c r="O334" s="70">
        <f t="shared" si="0"/>
        <v>-3.9999868022277951E-6</v>
      </c>
      <c r="P334" s="70"/>
    </row>
    <row r="335" spans="2:16" ht="19.5" hidden="1" customHeight="1">
      <c r="B335" s="59"/>
      <c r="C335" s="88"/>
      <c r="D335" s="88"/>
      <c r="E335" s="88"/>
      <c r="F335" s="88"/>
      <c r="G335" s="88"/>
      <c r="H335" s="88"/>
      <c r="I335" s="88"/>
      <c r="J335" s="88"/>
      <c r="K335" s="88"/>
      <c r="L335" s="88"/>
      <c r="M335" s="88"/>
      <c r="N335" s="68"/>
      <c r="O335" s="70"/>
      <c r="P335" s="70"/>
    </row>
    <row r="336" spans="2:16" ht="19.5" hidden="1" customHeight="1">
      <c r="B336" s="59" t="s">
        <v>301</v>
      </c>
      <c r="C336" s="88">
        <v>100991.6263</v>
      </c>
      <c r="D336" s="87">
        <v>4870.2497309999999</v>
      </c>
      <c r="E336" s="87">
        <v>57.547569000000003</v>
      </c>
      <c r="F336" s="88">
        <v>2579.2912000000001</v>
      </c>
      <c r="G336" s="87">
        <v>0</v>
      </c>
      <c r="H336" s="88">
        <v>52.562899999999999</v>
      </c>
      <c r="I336" s="91">
        <v>1304.8988999999999</v>
      </c>
      <c r="J336" s="88">
        <v>177.34360000000001</v>
      </c>
      <c r="K336" s="91">
        <v>331.25349999999997</v>
      </c>
      <c r="L336" s="88">
        <v>729.89599999999996</v>
      </c>
      <c r="M336" s="100">
        <v>111094.6697</v>
      </c>
      <c r="N336" s="68"/>
      <c r="O336" s="70">
        <f t="shared" si="0"/>
        <v>0</v>
      </c>
      <c r="P336" s="70"/>
    </row>
    <row r="337" spans="2:16" ht="19.5" hidden="1" customHeight="1">
      <c r="B337" s="59"/>
      <c r="C337" s="88"/>
      <c r="D337" s="88"/>
      <c r="E337" s="88"/>
      <c r="F337" s="88"/>
      <c r="G337" s="88"/>
      <c r="H337" s="88"/>
      <c r="I337" s="88"/>
      <c r="J337" s="88"/>
      <c r="K337" s="88"/>
      <c r="L337" s="88"/>
      <c r="M337" s="88"/>
      <c r="N337" s="68"/>
      <c r="O337" s="70"/>
      <c r="P337" s="70"/>
    </row>
    <row r="338" spans="2:16" ht="19.5" hidden="1" customHeight="1">
      <c r="B338" s="59" t="s">
        <v>302</v>
      </c>
      <c r="C338" s="88">
        <v>134359.0534</v>
      </c>
      <c r="D338" s="87">
        <v>6437.7518460000001</v>
      </c>
      <c r="E338" s="87">
        <v>192.279954</v>
      </c>
      <c r="F338" s="88">
        <v>2393.1367</v>
      </c>
      <c r="G338" s="87">
        <v>0</v>
      </c>
      <c r="H338" s="88">
        <v>82.523300000000006</v>
      </c>
      <c r="I338" s="91">
        <v>2086.3676999999998</v>
      </c>
      <c r="J338" s="88">
        <v>189.7243</v>
      </c>
      <c r="K338" s="91">
        <v>397.56690000000003</v>
      </c>
      <c r="L338" s="88">
        <v>561.28719999999998</v>
      </c>
      <c r="M338" s="100">
        <v>146699.69130000001</v>
      </c>
      <c r="N338" s="68"/>
      <c r="O338" s="70">
        <f>+M338-SUM(C338:L338)</f>
        <v>0</v>
      </c>
      <c r="P338" s="70"/>
    </row>
    <row r="339" spans="2:16" ht="19.5" hidden="1" customHeight="1">
      <c r="B339" s="59"/>
      <c r="C339" s="88"/>
      <c r="D339" s="88"/>
      <c r="E339" s="88"/>
      <c r="F339" s="88"/>
      <c r="G339" s="88"/>
      <c r="H339" s="88"/>
      <c r="I339" s="88"/>
      <c r="J339" s="88"/>
      <c r="K339" s="88"/>
      <c r="L339" s="88"/>
      <c r="M339" s="88"/>
      <c r="N339" s="68"/>
      <c r="O339" s="70"/>
      <c r="P339" s="70"/>
    </row>
    <row r="340" spans="2:16" ht="19.5" hidden="1" customHeight="1">
      <c r="B340" s="59" t="s">
        <v>303</v>
      </c>
      <c r="C340" s="88">
        <v>162710.85209999999</v>
      </c>
      <c r="D340" s="87">
        <v>5271.1885520000005</v>
      </c>
      <c r="E340" s="87">
        <v>57.752147999999998</v>
      </c>
      <c r="F340" s="88">
        <v>3655.8964000000001</v>
      </c>
      <c r="G340" s="87">
        <v>0</v>
      </c>
      <c r="H340" s="88">
        <v>45.000099999999996</v>
      </c>
      <c r="I340" s="91">
        <v>3574.2836000000002</v>
      </c>
      <c r="J340" s="88">
        <v>211.97729999999999</v>
      </c>
      <c r="K340" s="91">
        <v>999.41409999999996</v>
      </c>
      <c r="L340" s="88">
        <v>19.266400000000001</v>
      </c>
      <c r="M340" s="100">
        <v>176545.63069999998</v>
      </c>
      <c r="N340" s="68"/>
      <c r="O340" s="70">
        <f>+M340-SUM(C340:L340)</f>
        <v>0</v>
      </c>
      <c r="P340" s="70"/>
    </row>
    <row r="341" spans="2:16" ht="19.5" hidden="1" customHeight="1">
      <c r="B341" s="59"/>
      <c r="C341" s="88"/>
      <c r="D341" s="88"/>
      <c r="E341" s="88"/>
      <c r="F341" s="88"/>
      <c r="G341" s="88"/>
      <c r="H341" s="88"/>
      <c r="I341" s="88"/>
      <c r="J341" s="88"/>
      <c r="K341" s="88"/>
      <c r="L341" s="88"/>
      <c r="M341" s="88"/>
      <c r="N341" s="68"/>
      <c r="O341" s="70"/>
      <c r="P341" s="70"/>
    </row>
    <row r="342" spans="2:16" ht="19.5" hidden="1" customHeight="1">
      <c r="B342" s="59" t="s">
        <v>304</v>
      </c>
      <c r="C342" s="88">
        <v>216127.33680000002</v>
      </c>
      <c r="D342" s="87">
        <v>2870.3518929999996</v>
      </c>
      <c r="E342" s="87">
        <v>38.158507</v>
      </c>
      <c r="F342" s="88">
        <v>2881.9142000000002</v>
      </c>
      <c r="G342" s="87">
        <v>0</v>
      </c>
      <c r="H342" s="88">
        <v>295.78459999999995</v>
      </c>
      <c r="I342" s="91">
        <v>5351.5030999999999</v>
      </c>
      <c r="J342" s="88">
        <v>275.62579999999997</v>
      </c>
      <c r="K342" s="91">
        <v>545.66489999999999</v>
      </c>
      <c r="L342" s="88">
        <v>1664.5387000000001</v>
      </c>
      <c r="M342" s="100">
        <v>230050.87840000002</v>
      </c>
      <c r="N342" s="68"/>
      <c r="O342" s="70">
        <f>+M342-SUM(C342:L342)</f>
        <v>-1.0000003385357559E-4</v>
      </c>
      <c r="P342" s="70"/>
    </row>
    <row r="343" spans="2:16" ht="19.5" hidden="1" customHeight="1">
      <c r="B343" s="59"/>
      <c r="C343" s="88"/>
      <c r="D343" s="88"/>
      <c r="E343" s="88"/>
      <c r="F343" s="88"/>
      <c r="G343" s="88"/>
      <c r="H343" s="88"/>
      <c r="I343" s="88"/>
      <c r="J343" s="88"/>
      <c r="K343" s="88"/>
      <c r="L343" s="88"/>
      <c r="M343" s="88"/>
      <c r="N343" s="68"/>
      <c r="O343" s="70"/>
      <c r="P343" s="70"/>
    </row>
    <row r="344" spans="2:16" ht="19.5" hidden="1" customHeight="1">
      <c r="B344" s="59" t="s">
        <v>305</v>
      </c>
      <c r="C344" s="88">
        <v>319839.8</v>
      </c>
      <c r="D344" s="87">
        <f>6379.6-E344</f>
        <v>4435.1000000000004</v>
      </c>
      <c r="E344" s="87">
        <v>1944.5</v>
      </c>
      <c r="F344" s="88">
        <v>4550.2</v>
      </c>
      <c r="G344" s="87">
        <v>0</v>
      </c>
      <c r="H344" s="88">
        <v>59</v>
      </c>
      <c r="I344" s="91">
        <v>1446.2</v>
      </c>
      <c r="J344" s="88">
        <v>250.2</v>
      </c>
      <c r="K344" s="91">
        <v>1423.6</v>
      </c>
      <c r="L344" s="88">
        <v>1814.5</v>
      </c>
      <c r="M344" s="100">
        <v>335763.1</v>
      </c>
      <c r="N344" s="68"/>
      <c r="O344" s="70">
        <f>+M344-SUM(C344:L344)</f>
        <v>0</v>
      </c>
      <c r="P344" s="70"/>
    </row>
    <row r="345" spans="2:16" ht="19.5" hidden="1" customHeight="1">
      <c r="B345" s="59"/>
      <c r="C345" s="88"/>
      <c r="D345" s="87"/>
      <c r="E345" s="87"/>
      <c r="F345" s="88"/>
      <c r="G345" s="87"/>
      <c r="H345" s="88"/>
      <c r="I345" s="91"/>
      <c r="J345" s="88"/>
      <c r="K345" s="91"/>
      <c r="L345" s="88"/>
      <c r="M345" s="100"/>
      <c r="N345" s="68"/>
      <c r="O345" s="70"/>
      <c r="P345" s="70"/>
    </row>
    <row r="346" spans="2:16" ht="19.5" hidden="1" customHeight="1">
      <c r="B346" s="59" t="s">
        <v>306</v>
      </c>
      <c r="C346" s="88">
        <v>448047.9</v>
      </c>
      <c r="D346" s="87">
        <f>10460.7-E346</f>
        <v>9055.9000000000015</v>
      </c>
      <c r="E346" s="87">
        <v>1404.8</v>
      </c>
      <c r="F346" s="88">
        <f>4594.9-G346</f>
        <v>4594.8999999999996</v>
      </c>
      <c r="G346" s="87">
        <v>0</v>
      </c>
      <c r="H346" s="88">
        <v>394.4</v>
      </c>
      <c r="I346" s="91">
        <v>2210.9</v>
      </c>
      <c r="J346" s="88">
        <v>354.4</v>
      </c>
      <c r="K346" s="91">
        <v>4217.6000000000004</v>
      </c>
      <c r="L346" s="88">
        <v>1160.2</v>
      </c>
      <c r="M346" s="100">
        <v>471440.9</v>
      </c>
      <c r="N346" s="68"/>
      <c r="O346" s="70">
        <f>+M346-SUM(C346:L346)</f>
        <v>-0.10000000009313226</v>
      </c>
      <c r="P346" s="70"/>
    </row>
    <row r="347" spans="2:16" ht="19.5" hidden="1" customHeight="1">
      <c r="B347" s="59"/>
      <c r="C347" s="88"/>
      <c r="D347" s="87"/>
      <c r="E347" s="87"/>
      <c r="F347" s="88"/>
      <c r="G347" s="87"/>
      <c r="H347" s="88"/>
      <c r="I347" s="91"/>
      <c r="J347" s="88"/>
      <c r="K347" s="91"/>
      <c r="L347" s="88"/>
      <c r="M347" s="100"/>
      <c r="N347" s="68"/>
      <c r="O347" s="70"/>
      <c r="P347" s="70"/>
    </row>
    <row r="348" spans="2:16" ht="19.5" hidden="1" customHeight="1">
      <c r="B348" s="59" t="s">
        <v>307</v>
      </c>
      <c r="C348" s="88">
        <v>605882.80000000005</v>
      </c>
      <c r="D348" s="87">
        <f>11857.9-E348</f>
        <v>11857.9</v>
      </c>
      <c r="E348" s="87">
        <v>0</v>
      </c>
      <c r="F348" s="88">
        <f>15983.7-G348</f>
        <v>15983.7</v>
      </c>
      <c r="G348" s="87">
        <v>0</v>
      </c>
      <c r="H348" s="88">
        <v>739.4</v>
      </c>
      <c r="I348" s="91">
        <v>3157.8</v>
      </c>
      <c r="J348" s="88">
        <v>384.4</v>
      </c>
      <c r="K348" s="91">
        <v>4280.7</v>
      </c>
      <c r="L348" s="88">
        <v>1816.7</v>
      </c>
      <c r="M348" s="100">
        <v>644103.4</v>
      </c>
      <c r="N348" s="68"/>
      <c r="O348" s="70">
        <f>+M348-SUM(C348:L348)</f>
        <v>0</v>
      </c>
      <c r="P348" s="70"/>
    </row>
    <row r="349" spans="2:16" ht="19.5" hidden="1" customHeight="1">
      <c r="B349" s="59"/>
      <c r="C349" s="88"/>
      <c r="D349" s="87"/>
      <c r="E349" s="87"/>
      <c r="F349" s="88"/>
      <c r="G349" s="87"/>
      <c r="H349" s="88"/>
      <c r="I349" s="91"/>
      <c r="J349" s="88"/>
      <c r="K349" s="91"/>
      <c r="L349" s="88"/>
      <c r="M349" s="100"/>
      <c r="N349" s="68"/>
      <c r="O349" s="70"/>
      <c r="P349" s="70"/>
    </row>
    <row r="350" spans="2:16" ht="19.5" hidden="1" customHeight="1">
      <c r="B350" s="59" t="s">
        <v>308</v>
      </c>
      <c r="C350" s="88">
        <v>754722.8</v>
      </c>
      <c r="D350" s="87">
        <f>9008.9-E350</f>
        <v>9006.4</v>
      </c>
      <c r="E350" s="87">
        <v>2.5</v>
      </c>
      <c r="F350" s="88">
        <f>17558.4-G350</f>
        <v>17558.400000000001</v>
      </c>
      <c r="G350" s="87">
        <v>0</v>
      </c>
      <c r="H350" s="88">
        <v>1124.2</v>
      </c>
      <c r="I350" s="91">
        <v>3341.9</v>
      </c>
      <c r="J350" s="88">
        <v>440.6</v>
      </c>
      <c r="K350" s="91">
        <v>3824.3</v>
      </c>
      <c r="L350" s="88">
        <v>1975.1</v>
      </c>
      <c r="M350" s="100">
        <v>791996.1</v>
      </c>
      <c r="N350" s="68"/>
      <c r="O350" s="70">
        <f>+M350-SUM(C350:L350)</f>
        <v>-0.10000000009313226</v>
      </c>
      <c r="P350" s="70"/>
    </row>
    <row r="351" spans="2:16" ht="19.5" hidden="1" customHeight="1">
      <c r="B351" s="59"/>
      <c r="C351" s="88"/>
      <c r="D351" s="87"/>
      <c r="E351" s="87"/>
      <c r="F351" s="88"/>
      <c r="G351" s="87"/>
      <c r="H351" s="88"/>
      <c r="I351" s="91"/>
      <c r="J351" s="88"/>
      <c r="K351" s="91"/>
      <c r="L351" s="88"/>
      <c r="M351" s="100"/>
      <c r="N351" s="68"/>
      <c r="O351" s="70"/>
      <c r="P351" s="70"/>
    </row>
    <row r="352" spans="2:16" ht="19.5" hidden="1" customHeight="1">
      <c r="B352" s="59" t="s">
        <v>311</v>
      </c>
      <c r="C352" s="88">
        <v>918150.3</v>
      </c>
      <c r="D352" s="87">
        <f>24709.5-E352</f>
        <v>24706.5</v>
      </c>
      <c r="E352" s="87">
        <v>3</v>
      </c>
      <c r="F352" s="88">
        <f>26183.3-G352</f>
        <v>26183.3</v>
      </c>
      <c r="G352" s="87">
        <v>0</v>
      </c>
      <c r="H352" s="88">
        <v>1017.4</v>
      </c>
      <c r="I352" s="91">
        <v>3793.5</v>
      </c>
      <c r="J352" s="88">
        <v>465.2</v>
      </c>
      <c r="K352" s="91">
        <v>5038.6000000000004</v>
      </c>
      <c r="L352" s="88">
        <v>3507.1</v>
      </c>
      <c r="M352" s="100">
        <v>982865</v>
      </c>
      <c r="N352" s="68"/>
      <c r="O352" s="70">
        <f>+M352-SUM(C352:L352)</f>
        <v>9.9999999976716936E-2</v>
      </c>
      <c r="P352" s="70"/>
    </row>
    <row r="353" spans="2:16" ht="19.5" hidden="1" customHeight="1">
      <c r="B353" s="59"/>
      <c r="C353" s="88"/>
      <c r="D353" s="87"/>
      <c r="E353" s="88"/>
      <c r="F353" s="100"/>
      <c r="G353" s="87"/>
      <c r="H353" s="88"/>
      <c r="I353" s="91"/>
      <c r="J353" s="88"/>
      <c r="K353" s="91"/>
      <c r="L353" s="88"/>
      <c r="M353" s="100"/>
      <c r="N353" s="68"/>
      <c r="O353" s="70"/>
      <c r="P353" s="70"/>
    </row>
    <row r="354" spans="2:16" ht="19.5" hidden="1" customHeight="1">
      <c r="B354" s="57">
        <v>2007</v>
      </c>
      <c r="C354" s="88"/>
      <c r="D354" s="87"/>
      <c r="E354" s="88"/>
      <c r="F354" s="144"/>
      <c r="G354" s="87"/>
      <c r="H354" s="88"/>
      <c r="I354" s="91"/>
      <c r="J354" s="88"/>
      <c r="K354" s="91"/>
      <c r="L354" s="88"/>
      <c r="M354" s="100"/>
      <c r="N354" s="68"/>
      <c r="O354" s="70"/>
      <c r="P354" s="70"/>
    </row>
    <row r="355" spans="2:16" ht="19.5" hidden="1" customHeight="1">
      <c r="B355" s="59"/>
      <c r="C355" s="88"/>
      <c r="D355" s="87"/>
      <c r="E355" s="88"/>
      <c r="F355" s="100"/>
      <c r="G355" s="87"/>
      <c r="H355" s="88"/>
      <c r="I355" s="91"/>
      <c r="J355" s="88"/>
      <c r="K355" s="91"/>
      <c r="L355" s="88"/>
      <c r="M355" s="100"/>
      <c r="N355" s="68"/>
      <c r="O355" s="70"/>
      <c r="P355" s="70"/>
    </row>
    <row r="356" spans="2:16" ht="19.5" hidden="1" customHeight="1">
      <c r="B356" s="59" t="s">
        <v>298</v>
      </c>
      <c r="C356" s="88">
        <v>1213077.77208856</v>
      </c>
      <c r="D356" s="87">
        <v>19017.340518000001</v>
      </c>
      <c r="E356" s="87">
        <v>0</v>
      </c>
      <c r="F356" s="88">
        <v>11877.583699999999</v>
      </c>
      <c r="G356" s="87">
        <v>0</v>
      </c>
      <c r="H356" s="88">
        <v>301.11937499999999</v>
      </c>
      <c r="I356" s="91">
        <v>4975.3584310000015</v>
      </c>
      <c r="J356" s="88">
        <v>1683.003019</v>
      </c>
      <c r="K356" s="91">
        <v>3836.6872410000001</v>
      </c>
      <c r="L356" s="88">
        <v>3253.7572930000001</v>
      </c>
      <c r="M356" s="100">
        <v>1258022.6216655599</v>
      </c>
      <c r="N356" s="68"/>
      <c r="O356" s="70">
        <f>+M354-SUM(C354:L354)</f>
        <v>0</v>
      </c>
      <c r="P356" s="70"/>
    </row>
    <row r="357" spans="2:16" ht="19.5" hidden="1" customHeight="1">
      <c r="B357" s="59"/>
      <c r="C357" s="88"/>
      <c r="D357" s="87"/>
      <c r="E357" s="87"/>
      <c r="F357" s="88"/>
      <c r="G357" s="87"/>
      <c r="H357" s="88"/>
      <c r="I357" s="91"/>
      <c r="J357" s="88"/>
      <c r="K357" s="91"/>
      <c r="L357" s="88"/>
      <c r="M357" s="100"/>
      <c r="N357" s="68"/>
      <c r="O357" s="70"/>
      <c r="P357" s="70"/>
    </row>
    <row r="358" spans="2:16" ht="19.5" hidden="1" customHeight="1">
      <c r="B358" s="59" t="s">
        <v>299</v>
      </c>
      <c r="C358" s="88">
        <v>1701723.1</v>
      </c>
      <c r="D358" s="87">
        <v>37198.199999999997</v>
      </c>
      <c r="E358" s="87">
        <v>0</v>
      </c>
      <c r="F358" s="88">
        <v>16659.400000000001</v>
      </c>
      <c r="G358" s="87">
        <v>0</v>
      </c>
      <c r="H358" s="88">
        <v>1859.1</v>
      </c>
      <c r="I358" s="91">
        <v>3549.7</v>
      </c>
      <c r="J358" s="88">
        <v>2011</v>
      </c>
      <c r="K358" s="91">
        <v>4007.7</v>
      </c>
      <c r="L358" s="88">
        <v>7179.6</v>
      </c>
      <c r="M358" s="100">
        <v>1774188</v>
      </c>
      <c r="N358" s="68"/>
      <c r="O358" s="70">
        <f>+M355-SUM(C355:L355)</f>
        <v>0</v>
      </c>
      <c r="P358" s="70"/>
    </row>
    <row r="359" spans="2:16" ht="19.5" hidden="1" customHeight="1">
      <c r="B359" s="59"/>
      <c r="C359" s="88"/>
      <c r="D359" s="87"/>
      <c r="E359" s="87"/>
      <c r="F359" s="88"/>
      <c r="G359" s="87"/>
      <c r="H359" s="88"/>
      <c r="I359" s="91"/>
      <c r="J359" s="88"/>
      <c r="K359" s="91"/>
      <c r="L359" s="88"/>
      <c r="M359" s="100"/>
      <c r="N359" s="68"/>
      <c r="O359" s="70"/>
      <c r="P359" s="70"/>
    </row>
    <row r="360" spans="2:16" ht="19.5" hidden="1" customHeight="1">
      <c r="B360" s="59" t="s">
        <v>300</v>
      </c>
      <c r="C360" s="88">
        <v>3046978.9</v>
      </c>
      <c r="D360" s="87">
        <f>6525.5-E360</f>
        <v>6525.5</v>
      </c>
      <c r="E360" s="87">
        <v>0</v>
      </c>
      <c r="F360" s="88">
        <f>37410.2-G360</f>
        <v>37410.199999999997</v>
      </c>
      <c r="G360" s="87">
        <v>0</v>
      </c>
      <c r="H360" s="88">
        <v>2916.5</v>
      </c>
      <c r="I360" s="91">
        <v>6340.2</v>
      </c>
      <c r="J360" s="88">
        <v>1224.7</v>
      </c>
      <c r="K360" s="91">
        <v>7520.3</v>
      </c>
      <c r="L360" s="88">
        <v>6602.6</v>
      </c>
      <c r="M360" s="100">
        <v>3115519</v>
      </c>
      <c r="N360" s="68"/>
      <c r="O360" s="70">
        <f>+M356-SUM(C356:L356)</f>
        <v>0</v>
      </c>
      <c r="P360" s="70"/>
    </row>
    <row r="361" spans="2:16" ht="19.5" hidden="1" customHeight="1">
      <c r="B361" s="59"/>
      <c r="C361" s="88"/>
      <c r="D361" s="87"/>
      <c r="E361" s="87"/>
      <c r="F361" s="88"/>
      <c r="G361" s="87"/>
      <c r="H361" s="88"/>
      <c r="I361" s="91"/>
      <c r="J361" s="88"/>
      <c r="K361" s="91"/>
      <c r="L361" s="88"/>
      <c r="M361" s="100"/>
      <c r="N361" s="68"/>
      <c r="O361" s="70"/>
      <c r="P361" s="70"/>
    </row>
    <row r="362" spans="2:16" ht="19.5" hidden="1" customHeight="1">
      <c r="B362" s="59" t="s">
        <v>301</v>
      </c>
      <c r="C362" s="88">
        <v>4668198</v>
      </c>
      <c r="D362" s="87">
        <f>33863.9-E362</f>
        <v>33863.9</v>
      </c>
      <c r="E362" s="87">
        <v>0</v>
      </c>
      <c r="F362" s="88">
        <f>64737.7-G362</f>
        <v>64737.7</v>
      </c>
      <c r="G362" s="87">
        <v>0</v>
      </c>
      <c r="H362" s="88">
        <v>507.5</v>
      </c>
      <c r="I362" s="91">
        <v>1790.5</v>
      </c>
      <c r="J362" s="88">
        <v>352.7</v>
      </c>
      <c r="K362" s="91">
        <v>32523.5</v>
      </c>
      <c r="L362" s="88">
        <v>17094.3</v>
      </c>
      <c r="M362" s="100">
        <v>4790068.4000000004</v>
      </c>
      <c r="N362" s="68"/>
      <c r="O362" s="70">
        <f>+M355-SUM(C355:L355)</f>
        <v>0</v>
      </c>
      <c r="P362" s="70"/>
    </row>
    <row r="363" spans="2:16" ht="19.5" hidden="1" customHeight="1">
      <c r="B363" s="59"/>
      <c r="C363" s="88"/>
      <c r="D363" s="87"/>
      <c r="E363" s="87"/>
      <c r="F363" s="88"/>
      <c r="G363" s="87"/>
      <c r="H363" s="88"/>
      <c r="I363" s="91"/>
      <c r="J363" s="88"/>
      <c r="K363" s="91"/>
      <c r="L363" s="88"/>
      <c r="M363" s="100"/>
      <c r="N363" s="68"/>
      <c r="O363" s="70"/>
      <c r="P363" s="70"/>
    </row>
    <row r="364" spans="2:16" ht="19.5" hidden="1" customHeight="1">
      <c r="B364" s="59" t="s">
        <v>302</v>
      </c>
      <c r="C364" s="88">
        <v>10467285.4</v>
      </c>
      <c r="D364" s="87">
        <f>32600.6-E364</f>
        <v>32600.6</v>
      </c>
      <c r="E364" s="87">
        <v>0</v>
      </c>
      <c r="F364" s="88">
        <f>49316.9-G364</f>
        <v>49316.9</v>
      </c>
      <c r="G364" s="87">
        <v>0</v>
      </c>
      <c r="H364" s="88">
        <v>8610.7999999999993</v>
      </c>
      <c r="I364" s="91">
        <v>7218.7</v>
      </c>
      <c r="J364" s="88">
        <v>1615.8</v>
      </c>
      <c r="K364" s="91">
        <v>9489</v>
      </c>
      <c r="L364" s="88">
        <v>37473.300000000003</v>
      </c>
      <c r="M364" s="100">
        <v>1063610.3999999999</v>
      </c>
      <c r="N364" s="68"/>
      <c r="O364" s="70">
        <f>+M357-SUM(C357:L357)</f>
        <v>0</v>
      </c>
      <c r="P364" s="70"/>
    </row>
    <row r="365" spans="2:16" ht="19.5" hidden="1" customHeight="1">
      <c r="B365" s="59"/>
      <c r="C365" s="88"/>
      <c r="D365" s="87"/>
      <c r="E365" s="87"/>
      <c r="F365" s="88"/>
      <c r="G365" s="87"/>
      <c r="H365" s="88"/>
      <c r="I365" s="91"/>
      <c r="J365" s="88"/>
      <c r="K365" s="91"/>
      <c r="L365" s="88"/>
      <c r="M365" s="100"/>
      <c r="N365" s="68"/>
      <c r="O365" s="70"/>
      <c r="P365" s="70"/>
    </row>
    <row r="366" spans="2:16" ht="19.5" hidden="1" customHeight="1">
      <c r="B366" s="59" t="s">
        <v>303</v>
      </c>
      <c r="C366" s="88">
        <v>24139118.399999999</v>
      </c>
      <c r="D366" s="87">
        <f>132232-E366</f>
        <v>132232</v>
      </c>
      <c r="E366" s="87">
        <v>0</v>
      </c>
      <c r="F366" s="88">
        <f>228002.7-G366</f>
        <v>228002.7</v>
      </c>
      <c r="G366" s="87">
        <v>0</v>
      </c>
      <c r="H366" s="88">
        <v>11649</v>
      </c>
      <c r="I366" s="91">
        <v>9612</v>
      </c>
      <c r="J366" s="88">
        <v>2763.2</v>
      </c>
      <c r="K366" s="91">
        <v>10737.8</v>
      </c>
      <c r="L366" s="88">
        <v>83900.1</v>
      </c>
      <c r="M366" s="100">
        <v>24618015.199999999</v>
      </c>
      <c r="N366" s="68"/>
      <c r="O366" s="70">
        <f>+M359-SUM(C359:L359)</f>
        <v>0</v>
      </c>
      <c r="P366" s="70"/>
    </row>
    <row r="367" spans="2:16" ht="19.5" hidden="1" customHeight="1">
      <c r="B367" s="59"/>
      <c r="C367" s="88"/>
      <c r="D367" s="87"/>
      <c r="E367" s="87"/>
      <c r="F367" s="88"/>
      <c r="G367" s="87"/>
      <c r="H367" s="88"/>
      <c r="I367" s="91"/>
      <c r="J367" s="88"/>
      <c r="K367" s="91"/>
      <c r="L367" s="88"/>
      <c r="M367" s="100"/>
      <c r="N367" s="68"/>
      <c r="O367" s="70"/>
      <c r="P367" s="70"/>
    </row>
    <row r="368" spans="2:16" ht="19.5" hidden="1" customHeight="1">
      <c r="B368" s="59" t="s">
        <v>304</v>
      </c>
      <c r="C368" s="88">
        <v>39094984.700000003</v>
      </c>
      <c r="D368" s="87">
        <f>239853.5-E368</f>
        <v>239853.5</v>
      </c>
      <c r="E368" s="87">
        <v>0</v>
      </c>
      <c r="F368" s="88">
        <f>42003.2-G368</f>
        <v>42003.199999999997</v>
      </c>
      <c r="G368" s="87">
        <v>0</v>
      </c>
      <c r="H368" s="88">
        <v>6.5</v>
      </c>
      <c r="I368" s="91">
        <v>26749</v>
      </c>
      <c r="J368" s="88">
        <v>5784.1</v>
      </c>
      <c r="K368" s="91">
        <v>14117.7</v>
      </c>
      <c r="L368" s="88">
        <v>83317.399999999994</v>
      </c>
      <c r="M368" s="100">
        <v>39506816.200000003</v>
      </c>
      <c r="N368" s="68"/>
      <c r="O368" s="70">
        <f>+M361-SUM(C361:L361)</f>
        <v>0</v>
      </c>
      <c r="P368" s="70"/>
    </row>
    <row r="369" spans="2:20" ht="19.5" hidden="1" customHeight="1">
      <c r="B369" s="59"/>
      <c r="C369" s="88"/>
      <c r="D369" s="87"/>
      <c r="E369" s="87"/>
      <c r="F369" s="88"/>
      <c r="G369" s="87"/>
      <c r="H369" s="88"/>
      <c r="I369" s="91"/>
      <c r="J369" s="88"/>
      <c r="K369" s="91"/>
      <c r="L369" s="88"/>
      <c r="M369" s="100"/>
      <c r="N369" s="68"/>
      <c r="O369" s="70"/>
      <c r="P369" s="70"/>
    </row>
    <row r="370" spans="2:20" ht="19.5" hidden="1" customHeight="1">
      <c r="B370" s="59" t="s">
        <v>305</v>
      </c>
      <c r="C370" s="88">
        <v>59614089.299999997</v>
      </c>
      <c r="D370" s="87">
        <f>143068.2-E370</f>
        <v>143068.20000000001</v>
      </c>
      <c r="E370" s="87">
        <v>0</v>
      </c>
      <c r="F370" s="88">
        <f>104044.1-G370</f>
        <v>104044.1</v>
      </c>
      <c r="G370" s="87">
        <v>0</v>
      </c>
      <c r="H370" s="88">
        <v>6.5</v>
      </c>
      <c r="I370" s="91">
        <v>69191.3</v>
      </c>
      <c r="J370" s="88">
        <v>110939.6</v>
      </c>
      <c r="K370" s="91">
        <v>5998.7</v>
      </c>
      <c r="L370" s="88">
        <v>76989.8</v>
      </c>
      <c r="M370" s="100">
        <v>60124327.399999999</v>
      </c>
      <c r="N370" s="68"/>
      <c r="O370" s="70">
        <f>+M363-SUM(C363:L363)</f>
        <v>0</v>
      </c>
      <c r="P370" s="70"/>
    </row>
    <row r="371" spans="2:20" ht="19.5" hidden="1" customHeight="1">
      <c r="B371" s="59"/>
      <c r="C371" s="88"/>
      <c r="D371" s="87"/>
      <c r="E371" s="87"/>
      <c r="F371" s="88"/>
      <c r="G371" s="87"/>
      <c r="H371" s="88"/>
      <c r="I371" s="91"/>
      <c r="J371" s="88"/>
      <c r="K371" s="91"/>
      <c r="L371" s="88"/>
      <c r="M371" s="100"/>
      <c r="N371" s="68"/>
      <c r="O371" s="70"/>
      <c r="P371" s="70"/>
    </row>
    <row r="372" spans="2:20" ht="19.5" hidden="1" customHeight="1">
      <c r="B372" s="59" t="s">
        <v>306</v>
      </c>
      <c r="C372" s="88">
        <v>94981551.900000006</v>
      </c>
      <c r="D372" s="87">
        <f>235565.1-E372</f>
        <v>235565.1</v>
      </c>
      <c r="E372" s="87">
        <v>0</v>
      </c>
      <c r="F372" s="88">
        <f>202656.3-G372</f>
        <v>202656.3</v>
      </c>
      <c r="G372" s="87">
        <v>0</v>
      </c>
      <c r="H372" s="88">
        <v>6.5</v>
      </c>
      <c r="I372" s="91">
        <v>59086.7</v>
      </c>
      <c r="J372" s="88">
        <v>12466.3</v>
      </c>
      <c r="K372" s="91">
        <v>109868.2</v>
      </c>
      <c r="L372" s="88">
        <v>107539</v>
      </c>
      <c r="M372" s="100">
        <v>95708740.099999994</v>
      </c>
      <c r="N372" s="68"/>
      <c r="O372" s="70">
        <f>+M365-SUM(C365:L365)</f>
        <v>0</v>
      </c>
      <c r="P372" s="70"/>
    </row>
    <row r="373" spans="2:20" ht="19.5" hidden="1" customHeight="1">
      <c r="B373" s="59"/>
      <c r="C373" s="88"/>
      <c r="D373" s="87"/>
      <c r="E373" s="87"/>
      <c r="F373" s="88"/>
      <c r="G373" s="87"/>
      <c r="H373" s="88"/>
      <c r="I373" s="91"/>
      <c r="J373" s="88"/>
      <c r="K373" s="91"/>
      <c r="L373" s="88"/>
      <c r="M373" s="100"/>
      <c r="N373" s="68"/>
      <c r="O373" s="70"/>
      <c r="P373" s="70"/>
    </row>
    <row r="374" spans="2:20" ht="19.5" hidden="1" customHeight="1">
      <c r="B374" s="59" t="s">
        <v>307</v>
      </c>
      <c r="C374" s="88">
        <v>156743591.90000001</v>
      </c>
      <c r="D374" s="87">
        <f>544342.1-E374</f>
        <v>544342.1</v>
      </c>
      <c r="E374" s="87">
        <v>0</v>
      </c>
      <c r="F374" s="88">
        <f>286914.5-G374</f>
        <v>286914.5</v>
      </c>
      <c r="G374" s="87">
        <v>0</v>
      </c>
      <c r="H374" s="88">
        <v>6.5</v>
      </c>
      <c r="I374" s="91">
        <v>298624.59999999998</v>
      </c>
      <c r="J374" s="88">
        <v>16285</v>
      </c>
      <c r="K374" s="91">
        <v>111492.3</v>
      </c>
      <c r="L374" s="88">
        <v>213787.6</v>
      </c>
      <c r="M374" s="100">
        <v>158215044.59999999</v>
      </c>
      <c r="N374" s="68"/>
      <c r="O374" s="70">
        <f>+M367-SUM(C367:L367)</f>
        <v>0</v>
      </c>
      <c r="P374" s="70"/>
    </row>
    <row r="375" spans="2:20" ht="19.5" hidden="1" customHeight="1">
      <c r="B375" s="59"/>
      <c r="C375" s="88"/>
      <c r="D375" s="87"/>
      <c r="E375" s="87"/>
      <c r="F375" s="88"/>
      <c r="G375" s="87"/>
      <c r="H375" s="88"/>
      <c r="I375" s="91"/>
      <c r="J375" s="88"/>
      <c r="K375" s="91"/>
      <c r="L375" s="88"/>
      <c r="M375" s="100"/>
      <c r="N375" s="68"/>
      <c r="O375" s="70"/>
      <c r="P375" s="70"/>
    </row>
    <row r="376" spans="2:20" ht="19.5" hidden="1" customHeight="1">
      <c r="B376" s="59" t="s">
        <v>308</v>
      </c>
      <c r="C376" s="88">
        <v>407369334.5</v>
      </c>
      <c r="D376" s="87">
        <f>1679020.8-E376</f>
        <v>1679020.8</v>
      </c>
      <c r="E376" s="87">
        <v>0</v>
      </c>
      <c r="F376" s="88">
        <f>1207449.4-G376</f>
        <v>1207449.3999999999</v>
      </c>
      <c r="G376" s="87">
        <v>0</v>
      </c>
      <c r="H376" s="88">
        <v>0</v>
      </c>
      <c r="I376" s="91">
        <v>113648.7</v>
      </c>
      <c r="J376" s="88">
        <v>105683.7</v>
      </c>
      <c r="K376" s="91">
        <v>114919</v>
      </c>
      <c r="L376" s="88">
        <v>209000</v>
      </c>
      <c r="M376" s="100">
        <v>410799056</v>
      </c>
      <c r="N376" s="68"/>
      <c r="O376" s="70">
        <f>+M369-SUM(C369:L369)</f>
        <v>0</v>
      </c>
      <c r="P376" s="70"/>
    </row>
    <row r="377" spans="2:20" ht="19.5" hidden="1" customHeight="1">
      <c r="B377" s="59"/>
      <c r="C377" s="88"/>
      <c r="D377" s="87"/>
      <c r="E377" s="87"/>
      <c r="F377" s="88"/>
      <c r="G377" s="87"/>
      <c r="H377" s="88"/>
      <c r="I377" s="91"/>
      <c r="J377" s="88"/>
      <c r="K377" s="91"/>
      <c r="L377" s="88"/>
      <c r="M377" s="100"/>
      <c r="N377" s="68"/>
      <c r="O377" s="70"/>
      <c r="P377" s="70"/>
    </row>
    <row r="378" spans="2:20" ht="19.5" hidden="1" customHeight="1">
      <c r="B378" s="59" t="s">
        <v>311</v>
      </c>
      <c r="C378" s="88">
        <v>624314533.79999995</v>
      </c>
      <c r="D378" s="87">
        <f>4966179.6-E378</f>
        <v>4966179.5999999996</v>
      </c>
      <c r="E378" s="87">
        <v>0</v>
      </c>
      <c r="F378" s="88">
        <f>933924-G378</f>
        <v>933924</v>
      </c>
      <c r="G378" s="87">
        <v>0</v>
      </c>
      <c r="H378" s="88">
        <v>0</v>
      </c>
      <c r="I378" s="91">
        <v>358750.6</v>
      </c>
      <c r="J378" s="88">
        <v>116234.1</v>
      </c>
      <c r="K378" s="91">
        <v>146570.70000000001</v>
      </c>
      <c r="L378" s="88">
        <v>343277.6</v>
      </c>
      <c r="M378" s="100">
        <v>631179470.5</v>
      </c>
      <c r="N378" s="68"/>
      <c r="O378" s="70">
        <f>+M371-SUM(C371:L371)</f>
        <v>0</v>
      </c>
      <c r="P378" s="70"/>
    </row>
    <row r="379" spans="2:20" ht="19.5" hidden="1" customHeight="1">
      <c r="B379" s="59"/>
      <c r="C379" s="88"/>
      <c r="D379" s="87"/>
      <c r="E379" s="87"/>
      <c r="F379" s="88"/>
      <c r="G379" s="87"/>
      <c r="H379" s="88"/>
      <c r="I379" s="91"/>
      <c r="J379" s="88"/>
      <c r="K379" s="91"/>
      <c r="L379" s="88"/>
      <c r="M379" s="100"/>
      <c r="N379" s="68"/>
      <c r="O379" s="70"/>
      <c r="P379" s="70"/>
    </row>
    <row r="380" spans="2:20" ht="19.5" customHeight="1">
      <c r="B380" s="57">
        <v>2009</v>
      </c>
      <c r="C380" s="88"/>
      <c r="D380" s="87"/>
      <c r="E380" s="87"/>
      <c r="F380" s="88"/>
      <c r="G380" s="87"/>
      <c r="H380" s="88"/>
      <c r="I380" s="91"/>
      <c r="J380" s="88"/>
      <c r="K380" s="91"/>
      <c r="L380" s="88"/>
      <c r="M380" s="100"/>
      <c r="N380" s="68"/>
      <c r="O380" s="70"/>
      <c r="P380" s="70"/>
    </row>
    <row r="381" spans="2:20" ht="19.5" customHeight="1">
      <c r="B381" s="57"/>
      <c r="C381" s="88"/>
      <c r="D381" s="87"/>
      <c r="E381" s="87"/>
      <c r="F381" s="88"/>
      <c r="G381" s="87"/>
      <c r="H381" s="88"/>
      <c r="I381" s="91"/>
      <c r="J381" s="88"/>
      <c r="K381" s="91"/>
      <c r="L381" s="88"/>
      <c r="M381" s="100"/>
      <c r="N381" s="68"/>
      <c r="O381" s="70"/>
      <c r="P381" s="70"/>
    </row>
    <row r="382" spans="2:20" ht="19.5" customHeight="1">
      <c r="B382" s="59" t="s">
        <v>298</v>
      </c>
      <c r="C382" s="88">
        <v>297563.5</v>
      </c>
      <c r="D382" s="87">
        <f>2-E382</f>
        <v>2</v>
      </c>
      <c r="E382" s="87">
        <v>0</v>
      </c>
      <c r="F382" s="88">
        <f>59.7-G382</f>
        <v>59.7</v>
      </c>
      <c r="G382" s="87">
        <v>0</v>
      </c>
      <c r="H382" s="88">
        <v>9.1577999999999996E-5</v>
      </c>
      <c r="I382" s="91">
        <v>0.5</v>
      </c>
      <c r="J382" s="88">
        <v>1.7551139999999998E-5</v>
      </c>
      <c r="K382" s="91">
        <v>1.6920929999999998E-5</v>
      </c>
      <c r="L382" s="88">
        <v>6.4574230000000011E-5</v>
      </c>
      <c r="M382" s="100">
        <v>297625.7</v>
      </c>
      <c r="N382" s="68"/>
      <c r="O382" s="70">
        <f>+M375-SUM(C375:L375)</f>
        <v>0</v>
      </c>
      <c r="P382" s="70"/>
      <c r="T382" s="51">
        <f>9*2.5</f>
        <v>22.5</v>
      </c>
    </row>
    <row r="383" spans="2:20" ht="19.5" customHeight="1">
      <c r="B383" s="59"/>
      <c r="C383" s="88"/>
      <c r="D383" s="87"/>
      <c r="E383" s="87"/>
      <c r="F383" s="88"/>
      <c r="G383" s="87"/>
      <c r="H383" s="88"/>
      <c r="I383" s="91"/>
      <c r="J383" s="88"/>
      <c r="K383" s="91"/>
      <c r="L383" s="88"/>
      <c r="M383" s="100"/>
      <c r="N383" s="68"/>
      <c r="O383" s="70"/>
      <c r="P383" s="70"/>
    </row>
    <row r="384" spans="2:20" ht="19.5" customHeight="1">
      <c r="B384" s="59" t="s">
        <v>299</v>
      </c>
      <c r="C384" s="88">
        <v>383181.5</v>
      </c>
      <c r="D384" s="87">
        <f>0-E384</f>
        <v>0</v>
      </c>
      <c r="E384" s="87">
        <v>0</v>
      </c>
      <c r="F384" s="88">
        <f>8.5-G384</f>
        <v>8.5</v>
      </c>
      <c r="G384" s="87">
        <v>0</v>
      </c>
      <c r="H384" s="88">
        <v>0</v>
      </c>
      <c r="I384" s="91">
        <v>1.4243823999999998E-4</v>
      </c>
      <c r="J384" s="88">
        <v>4.7930659999999996E-5</v>
      </c>
      <c r="K384" s="91">
        <v>6.9909211E-4</v>
      </c>
      <c r="L384" s="88">
        <v>1.5746413999999999E-4</v>
      </c>
      <c r="M384" s="100">
        <v>383190</v>
      </c>
      <c r="N384" s="68"/>
      <c r="O384" s="70">
        <f>+M376-SUM(C376:L376)</f>
        <v>-9.9999964237213135E-2</v>
      </c>
      <c r="P384" s="70"/>
    </row>
    <row r="385" spans="2:16" ht="19.5" customHeight="1">
      <c r="B385" s="59"/>
      <c r="C385" s="88"/>
      <c r="D385" s="87"/>
      <c r="E385" s="87"/>
      <c r="F385" s="88"/>
      <c r="G385" s="87"/>
      <c r="H385" s="88"/>
      <c r="I385" s="91"/>
      <c r="J385" s="88"/>
      <c r="K385" s="91"/>
      <c r="L385" s="88"/>
      <c r="M385" s="100"/>
      <c r="N385" s="68"/>
      <c r="O385" s="70"/>
      <c r="P385" s="70"/>
    </row>
    <row r="386" spans="2:16" ht="19.5" customHeight="1">
      <c r="B386" s="59" t="s">
        <v>300</v>
      </c>
      <c r="C386" s="88">
        <v>396824.4</v>
      </c>
      <c r="D386" s="87">
        <f>78.3-E386</f>
        <v>78.3</v>
      </c>
      <c r="E386" s="87">
        <v>0</v>
      </c>
      <c r="F386" s="88">
        <f>66-G386</f>
        <v>66</v>
      </c>
      <c r="G386" s="87">
        <v>0</v>
      </c>
      <c r="H386" s="88">
        <v>0</v>
      </c>
      <c r="I386" s="91">
        <v>7.8818540999999994E-4</v>
      </c>
      <c r="J386" s="88">
        <v>2873.1</v>
      </c>
      <c r="K386" s="91">
        <v>2873.1</v>
      </c>
      <c r="L386" s="88">
        <v>5.4376947999999997E-4</v>
      </c>
      <c r="M386" s="100">
        <v>399841.8</v>
      </c>
      <c r="N386" s="68"/>
      <c r="O386" s="70">
        <f>+M379-SUM(C379:L379)</f>
        <v>0</v>
      </c>
      <c r="P386" s="70"/>
    </row>
    <row r="387" spans="2:16" ht="19.5" customHeight="1">
      <c r="B387" s="59"/>
      <c r="C387" s="88"/>
      <c r="D387" s="87"/>
      <c r="E387" s="87"/>
      <c r="F387" s="88"/>
      <c r="G387" s="87"/>
      <c r="H387" s="88"/>
      <c r="I387" s="91"/>
      <c r="J387" s="88"/>
      <c r="K387" s="91"/>
      <c r="L387" s="88"/>
      <c r="M387" s="100"/>
      <c r="N387" s="68"/>
      <c r="O387" s="70"/>
      <c r="P387" s="70"/>
    </row>
    <row r="388" spans="2:16" ht="19.5" customHeight="1">
      <c r="B388" s="59" t="s">
        <v>301</v>
      </c>
      <c r="C388" s="88">
        <v>487314</v>
      </c>
      <c r="D388" s="87">
        <f>204.8-E388</f>
        <v>204.8</v>
      </c>
      <c r="E388" s="87">
        <v>0</v>
      </c>
      <c r="F388" s="88">
        <f>51-G388</f>
        <v>0</v>
      </c>
      <c r="G388" s="87">
        <v>51</v>
      </c>
      <c r="H388" s="88">
        <v>0</v>
      </c>
      <c r="I388" s="91">
        <v>1.8</v>
      </c>
      <c r="J388" s="88">
        <v>2.7103103999999998E-4</v>
      </c>
      <c r="K388" s="91">
        <v>2873.1</v>
      </c>
      <c r="L388" s="88">
        <v>1.8</v>
      </c>
      <c r="M388" s="100">
        <v>490446.6</v>
      </c>
      <c r="N388" s="68"/>
      <c r="O388" s="70">
        <f>+M381-SUM(C381:L381)</f>
        <v>0</v>
      </c>
      <c r="P388" s="70"/>
    </row>
    <row r="389" spans="2:16" ht="19.5" customHeight="1">
      <c r="B389" s="59"/>
      <c r="C389" s="88"/>
      <c r="D389" s="87"/>
      <c r="E389" s="87"/>
      <c r="F389" s="88"/>
      <c r="G389" s="87"/>
      <c r="H389" s="88"/>
      <c r="I389" s="91"/>
      <c r="J389" s="88"/>
      <c r="K389" s="91"/>
      <c r="L389" s="88"/>
      <c r="M389" s="100"/>
      <c r="N389" s="68"/>
      <c r="O389" s="70"/>
      <c r="P389" s="70"/>
    </row>
    <row r="390" spans="2:16" ht="19.5" customHeight="1">
      <c r="B390" s="59" t="s">
        <v>302</v>
      </c>
      <c r="C390" s="88">
        <v>587993.5</v>
      </c>
      <c r="D390" s="87">
        <f>88-E390</f>
        <v>25</v>
      </c>
      <c r="E390" s="87">
        <v>63</v>
      </c>
      <c r="F390" s="88">
        <f>710-G390</f>
        <v>710</v>
      </c>
      <c r="G390" s="87">
        <v>0</v>
      </c>
      <c r="H390" s="88">
        <v>0</v>
      </c>
      <c r="I390" s="91">
        <v>5076.8999999999996</v>
      </c>
      <c r="J390" s="88">
        <v>4.7613762000000003E-4</v>
      </c>
      <c r="K390" s="91">
        <v>2873.1</v>
      </c>
      <c r="L390" s="88">
        <v>3.3</v>
      </c>
      <c r="M390" s="100">
        <v>596744.80000000005</v>
      </c>
      <c r="N390" s="68"/>
      <c r="O390" s="70">
        <f>+M383-SUM(C383:L383)</f>
        <v>0</v>
      </c>
      <c r="P390" s="70"/>
    </row>
    <row r="391" spans="2:16" ht="19.5" customHeight="1">
      <c r="B391" s="59"/>
      <c r="C391" s="88"/>
      <c r="D391" s="87"/>
      <c r="E391" s="87"/>
      <c r="F391" s="88"/>
      <c r="G391" s="87"/>
      <c r="H391" s="88"/>
      <c r="I391" s="91"/>
      <c r="J391" s="88"/>
      <c r="K391" s="91"/>
      <c r="L391" s="88"/>
      <c r="M391" s="100"/>
      <c r="N391" s="68"/>
      <c r="O391" s="70"/>
      <c r="P391" s="70"/>
    </row>
    <row r="392" spans="2:16" ht="19.5" customHeight="1">
      <c r="B392" s="59" t="s">
        <v>303</v>
      </c>
      <c r="C392" s="88">
        <v>695614.7</v>
      </c>
      <c r="D392" s="87">
        <f>223.9-E392</f>
        <v>223.9</v>
      </c>
      <c r="E392" s="87"/>
      <c r="F392" s="88">
        <f>6658.2-G392</f>
        <v>6658.2</v>
      </c>
      <c r="G392" s="87"/>
      <c r="H392" s="88">
        <v>0</v>
      </c>
      <c r="I392" s="91">
        <v>5922.9</v>
      </c>
      <c r="J392" s="88">
        <v>6.8</v>
      </c>
      <c r="K392" s="91">
        <v>2873.1</v>
      </c>
      <c r="L392" s="88">
        <v>3.3</v>
      </c>
      <c r="M392" s="100">
        <v>711302.9</v>
      </c>
      <c r="N392" s="68"/>
      <c r="O392" s="70">
        <f>+M385-SUM(C385:L385)</f>
        <v>0</v>
      </c>
      <c r="P392" s="70"/>
    </row>
    <row r="393" spans="2:16" ht="19.5" customHeight="1">
      <c r="B393" s="59"/>
      <c r="C393" s="88"/>
      <c r="D393" s="87"/>
      <c r="E393" s="87"/>
      <c r="F393" s="88"/>
      <c r="G393" s="87"/>
      <c r="H393" s="88"/>
      <c r="I393" s="91"/>
      <c r="J393" s="88"/>
      <c r="K393" s="91"/>
      <c r="L393" s="88"/>
      <c r="M393" s="100"/>
      <c r="N393" s="68"/>
      <c r="O393" s="70"/>
      <c r="P393" s="70"/>
    </row>
    <row r="394" spans="2:16" ht="19.5" customHeight="1">
      <c r="B394" s="59"/>
      <c r="C394" s="88"/>
      <c r="D394" s="87"/>
      <c r="E394" s="87"/>
      <c r="F394" s="88"/>
      <c r="G394" s="87"/>
      <c r="H394" s="88"/>
      <c r="I394" s="91"/>
      <c r="J394" s="88"/>
      <c r="K394" s="91"/>
      <c r="L394" s="88"/>
      <c r="M394" s="100"/>
      <c r="N394" s="68"/>
      <c r="O394" s="70"/>
      <c r="P394" s="70"/>
    </row>
    <row r="395" spans="2:16" ht="19.5" customHeight="1">
      <c r="B395" s="59"/>
      <c r="C395" s="88"/>
      <c r="D395" s="87"/>
      <c r="E395" s="87"/>
      <c r="F395" s="88"/>
      <c r="G395" s="87"/>
      <c r="H395" s="88"/>
      <c r="I395" s="91"/>
      <c r="J395" s="88"/>
      <c r="K395" s="91"/>
      <c r="L395" s="88"/>
      <c r="M395" s="100"/>
      <c r="N395" s="68"/>
      <c r="O395" s="70"/>
      <c r="P395" s="70"/>
    </row>
    <row r="396" spans="2:16" ht="19.5" customHeight="1">
      <c r="B396" s="59"/>
      <c r="C396" s="88"/>
      <c r="D396" s="87"/>
      <c r="E396" s="87"/>
      <c r="F396" s="88"/>
      <c r="G396" s="87"/>
      <c r="H396" s="88"/>
      <c r="I396" s="91"/>
      <c r="J396" s="88"/>
      <c r="K396" s="91"/>
      <c r="L396" s="88"/>
      <c r="M396" s="100"/>
      <c r="N396" s="68"/>
      <c r="O396" s="70"/>
      <c r="P396" s="70"/>
    </row>
    <row r="397" spans="2:16" ht="19.5" customHeight="1">
      <c r="B397" s="59"/>
      <c r="C397" s="88"/>
      <c r="D397" s="87"/>
      <c r="E397" s="87"/>
      <c r="F397" s="88"/>
      <c r="G397" s="87"/>
      <c r="H397" s="88"/>
      <c r="I397" s="91"/>
      <c r="J397" s="88"/>
      <c r="K397" s="91"/>
      <c r="L397" s="88"/>
      <c r="M397" s="100"/>
      <c r="N397" s="68"/>
      <c r="O397" s="70"/>
      <c r="P397" s="70"/>
    </row>
    <row r="398" spans="2:16" ht="19.5" customHeight="1">
      <c r="B398" s="59"/>
      <c r="C398" s="88"/>
      <c r="D398" s="87"/>
      <c r="E398" s="87"/>
      <c r="F398" s="88"/>
      <c r="G398" s="87"/>
      <c r="H398" s="88"/>
      <c r="I398" s="91"/>
      <c r="J398" s="88"/>
      <c r="K398" s="91"/>
      <c r="L398" s="88"/>
      <c r="M398" s="100"/>
      <c r="N398" s="68"/>
      <c r="O398" s="70"/>
      <c r="P398" s="70"/>
    </row>
    <row r="399" spans="2:16" ht="19.5" customHeight="1">
      <c r="B399" s="59"/>
      <c r="C399" s="88"/>
      <c r="D399" s="87"/>
      <c r="E399" s="87"/>
      <c r="F399" s="88"/>
      <c r="G399" s="87"/>
      <c r="H399" s="88"/>
      <c r="I399" s="91"/>
      <c r="J399" s="88"/>
      <c r="K399" s="91"/>
      <c r="L399" s="88"/>
      <c r="M399" s="100"/>
      <c r="N399" s="68"/>
      <c r="O399" s="70"/>
      <c r="P399" s="70"/>
    </row>
    <row r="400" spans="2:16" ht="19.5" customHeight="1">
      <c r="B400" s="59"/>
      <c r="C400" s="88"/>
      <c r="D400" s="87"/>
      <c r="E400" s="87"/>
      <c r="F400" s="88"/>
      <c r="G400" s="87"/>
      <c r="H400" s="88"/>
      <c r="I400" s="91"/>
      <c r="J400" s="88"/>
      <c r="K400" s="91"/>
      <c r="L400" s="88"/>
      <c r="M400" s="100"/>
      <c r="N400" s="68"/>
      <c r="O400" s="70"/>
      <c r="P400" s="70"/>
    </row>
    <row r="401" spans="2:20" ht="19.5" customHeight="1">
      <c r="B401" s="59"/>
      <c r="C401" s="88"/>
      <c r="D401" s="87"/>
      <c r="E401" s="87"/>
      <c r="F401" s="88"/>
      <c r="G401" s="87"/>
      <c r="H401" s="88"/>
      <c r="I401" s="91"/>
      <c r="J401" s="88"/>
      <c r="K401" s="91"/>
      <c r="L401" s="88"/>
      <c r="M401" s="100"/>
      <c r="N401" s="68"/>
      <c r="O401" s="70"/>
      <c r="P401" s="70"/>
    </row>
    <row r="402" spans="2:20" ht="19.5" customHeight="1">
      <c r="B402" s="59"/>
      <c r="C402" s="88"/>
      <c r="D402" s="87"/>
      <c r="E402" s="87"/>
      <c r="F402" s="88"/>
      <c r="G402" s="87"/>
      <c r="H402" s="88"/>
      <c r="I402" s="91"/>
      <c r="J402" s="88"/>
      <c r="K402" s="91"/>
      <c r="L402" s="88"/>
      <c r="M402" s="100"/>
      <c r="N402" s="68"/>
      <c r="O402" s="70"/>
      <c r="P402" s="70"/>
    </row>
    <row r="403" spans="2:20" ht="19.5" customHeight="1">
      <c r="B403" s="59"/>
      <c r="C403" s="88"/>
      <c r="D403" s="87"/>
      <c r="E403" s="87"/>
      <c r="F403" s="88"/>
      <c r="G403" s="87"/>
      <c r="H403" s="88"/>
      <c r="I403" s="91"/>
      <c r="J403" s="88"/>
      <c r="K403" s="91"/>
      <c r="L403" s="88"/>
      <c r="M403" s="100"/>
      <c r="N403" s="68"/>
      <c r="O403" s="70"/>
      <c r="P403" s="70"/>
    </row>
    <row r="404" spans="2:20" ht="19.5" customHeight="1">
      <c r="B404" s="59" t="s">
        <v>311</v>
      </c>
      <c r="C404" s="88">
        <v>2.7215608331691002E+17</v>
      </c>
      <c r="D404" s="87">
        <f>100652371636319-E404</f>
        <v>100652371636319</v>
      </c>
      <c r="E404" s="87">
        <v>0</v>
      </c>
      <c r="F404" s="88">
        <f>7162778576676.9-G404</f>
        <v>7162778576676.9004</v>
      </c>
      <c r="G404" s="87">
        <v>0</v>
      </c>
      <c r="H404" s="88">
        <v>0</v>
      </c>
      <c r="I404" s="91">
        <v>9103358509247.9004</v>
      </c>
      <c r="J404" s="88">
        <v>361539696647.20001</v>
      </c>
      <c r="K404" s="91">
        <v>472744230985.5</v>
      </c>
      <c r="L404" s="88">
        <v>376662102722006</v>
      </c>
      <c r="M404" s="100">
        <v>2.7265049821228198E+17</v>
      </c>
      <c r="N404" s="68"/>
      <c r="O404" s="70"/>
      <c r="P404" s="70"/>
    </row>
    <row r="405" spans="2:20" ht="19.5" customHeight="1">
      <c r="B405" s="59"/>
      <c r="C405" s="88"/>
      <c r="D405" s="87"/>
      <c r="E405" s="87"/>
      <c r="F405" s="88"/>
      <c r="G405" s="87"/>
      <c r="H405" s="88"/>
      <c r="I405" s="91"/>
      <c r="J405" s="88"/>
      <c r="K405" s="91"/>
      <c r="L405" s="88"/>
      <c r="M405" s="100"/>
      <c r="N405" s="68"/>
      <c r="O405" s="70"/>
      <c r="P405" s="70"/>
    </row>
    <row r="406" spans="2:20" ht="19.5" customHeight="1" thickBot="1">
      <c r="B406" s="129"/>
      <c r="C406" s="129"/>
      <c r="D406" s="129"/>
      <c r="E406" s="129"/>
      <c r="F406" s="129"/>
      <c r="G406" s="129"/>
      <c r="H406" s="129"/>
      <c r="I406" s="129"/>
      <c r="J406" s="129"/>
      <c r="K406" s="129"/>
      <c r="L406" s="129"/>
      <c r="M406" s="129"/>
      <c r="N406" s="68"/>
      <c r="O406" s="70"/>
      <c r="P406" s="70"/>
      <c r="T406" s="51">
        <f>+T382*12*0.12</f>
        <v>32.4</v>
      </c>
    </row>
    <row r="407" spans="2:20" ht="19.5" customHeight="1" thickTop="1">
      <c r="B407" s="62"/>
      <c r="C407" s="130"/>
      <c r="D407" s="131"/>
      <c r="E407" s="130"/>
      <c r="F407" s="130"/>
      <c r="G407" s="130"/>
      <c r="H407" s="130"/>
      <c r="I407" s="130"/>
      <c r="J407" s="130"/>
      <c r="K407" s="130"/>
      <c r="L407" s="130"/>
      <c r="M407" s="130"/>
      <c r="N407" s="70"/>
      <c r="O407" s="70"/>
      <c r="P407" s="66"/>
      <c r="T407" s="51">
        <f>+T406+T382</f>
        <v>54.9</v>
      </c>
    </row>
    <row r="408" spans="2:20" ht="19.5" customHeight="1">
      <c r="B408" s="132" t="s">
        <v>325</v>
      </c>
      <c r="C408" s="116"/>
      <c r="D408" s="116"/>
      <c r="E408" s="116"/>
      <c r="F408" s="116"/>
      <c r="G408" s="116"/>
      <c r="H408" s="116"/>
      <c r="I408" s="116"/>
      <c r="J408" s="136"/>
      <c r="K408" s="116"/>
      <c r="L408" s="116"/>
      <c r="M408" s="116"/>
      <c r="N408" s="67"/>
      <c r="T408" s="51">
        <f>+T407*0.57</f>
        <v>31.292999999999996</v>
      </c>
    </row>
    <row r="409" spans="2:20" ht="19.5" customHeight="1">
      <c r="B409" s="132" t="s">
        <v>326</v>
      </c>
      <c r="C409" s="116"/>
      <c r="D409" s="116"/>
      <c r="E409" s="116"/>
      <c r="F409" s="116"/>
      <c r="G409" s="116"/>
      <c r="H409" s="116"/>
      <c r="I409" s="116"/>
      <c r="J409" s="136"/>
      <c r="K409" s="116"/>
      <c r="L409" s="116"/>
      <c r="M409" s="116"/>
      <c r="N409" s="67"/>
    </row>
    <row r="410" spans="2:20" ht="19.5" customHeight="1">
      <c r="B410" s="132" t="s">
        <v>327</v>
      </c>
      <c r="C410" s="116"/>
      <c r="D410" s="116"/>
      <c r="E410" s="116"/>
      <c r="F410" s="116"/>
      <c r="G410" s="116"/>
      <c r="H410" s="116"/>
      <c r="I410" s="116"/>
      <c r="J410" s="136"/>
      <c r="K410" s="116"/>
      <c r="L410" s="116"/>
      <c r="M410" s="116"/>
      <c r="N410" s="67"/>
    </row>
    <row r="411" spans="2:20" ht="19.5" customHeight="1">
      <c r="B411" s="132" t="s">
        <v>328</v>
      </c>
      <c r="C411" s="116"/>
      <c r="D411" s="116"/>
      <c r="E411" s="116"/>
      <c r="F411" s="116"/>
      <c r="G411" s="116"/>
      <c r="H411" s="116"/>
      <c r="I411" s="116"/>
      <c r="J411" s="116"/>
      <c r="K411" s="116"/>
      <c r="L411" s="116"/>
      <c r="M411" s="116"/>
      <c r="N411" s="67"/>
    </row>
    <row r="412" spans="2:20" ht="14.1" customHeight="1">
      <c r="B412" s="72"/>
      <c r="C412" s="116"/>
      <c r="D412" s="116"/>
      <c r="E412" s="116"/>
      <c r="F412" s="116"/>
      <c r="G412" s="116"/>
      <c r="H412" s="116"/>
      <c r="I412" s="116"/>
      <c r="J412" s="116"/>
      <c r="K412" s="116"/>
      <c r="L412" s="116"/>
      <c r="M412" s="116"/>
      <c r="N412" s="67"/>
    </row>
    <row r="413" spans="2:20" ht="14.1" customHeight="1">
      <c r="B413" s="72"/>
      <c r="C413" s="116"/>
      <c r="D413" s="116"/>
      <c r="E413" s="116"/>
      <c r="F413" s="116"/>
      <c r="G413" s="116"/>
      <c r="H413" s="116"/>
      <c r="I413" s="116"/>
      <c r="J413" s="116"/>
      <c r="K413" s="116"/>
      <c r="L413" s="116"/>
      <c r="M413" s="116"/>
      <c r="N413" s="67"/>
    </row>
    <row r="414" spans="2:20" ht="14.1" customHeight="1">
      <c r="B414" s="64"/>
      <c r="C414" s="116"/>
      <c r="D414" s="116"/>
      <c r="E414" s="116"/>
      <c r="F414" s="116"/>
      <c r="G414" s="116"/>
      <c r="H414" s="116"/>
      <c r="I414" s="116"/>
      <c r="J414" s="116"/>
      <c r="K414" s="116"/>
      <c r="L414" s="116"/>
      <c r="M414" s="116"/>
      <c r="N414" s="67"/>
    </row>
    <row r="415" spans="2:20" ht="15" customHeight="1">
      <c r="B415" s="117"/>
      <c r="C415" s="116"/>
      <c r="D415" s="116"/>
      <c r="E415" s="116"/>
      <c r="F415" s="116"/>
      <c r="G415" s="116"/>
      <c r="H415" s="116"/>
      <c r="I415" s="116"/>
      <c r="J415" s="116"/>
      <c r="K415" s="116"/>
      <c r="L415" s="116"/>
      <c r="M415" s="116"/>
      <c r="N415" s="67"/>
    </row>
    <row r="416" spans="2:20" ht="15" customHeight="1">
      <c r="C416" s="116"/>
      <c r="D416" s="116"/>
      <c r="E416" s="116"/>
      <c r="F416" s="116"/>
      <c r="G416" s="116"/>
      <c r="H416" s="116"/>
      <c r="I416" s="116"/>
      <c r="J416" s="116"/>
      <c r="K416" s="116"/>
      <c r="L416" s="116"/>
      <c r="M416" s="116"/>
      <c r="N416" s="67"/>
    </row>
    <row r="417" spans="3:14" ht="15" customHeight="1">
      <c r="C417" s="116"/>
      <c r="D417" s="116"/>
      <c r="E417" s="116"/>
      <c r="F417" s="116"/>
      <c r="G417" s="116"/>
      <c r="H417" s="116"/>
      <c r="I417" s="116"/>
      <c r="J417" s="116"/>
      <c r="K417" s="116"/>
      <c r="L417" s="116"/>
      <c r="M417" s="116"/>
      <c r="N417" s="67"/>
    </row>
    <row r="418" spans="3:14" ht="15" customHeight="1">
      <c r="C418" s="116"/>
      <c r="D418" s="116"/>
      <c r="E418" s="116"/>
      <c r="F418" s="116"/>
      <c r="G418" s="116"/>
      <c r="H418" s="116"/>
      <c r="I418" s="116"/>
      <c r="J418" s="116"/>
      <c r="K418" s="116"/>
      <c r="L418" s="116"/>
      <c r="M418" s="116"/>
      <c r="N418" s="67"/>
    </row>
    <row r="419" spans="3:14" ht="15" customHeight="1">
      <c r="C419" s="116"/>
      <c r="D419" s="116"/>
      <c r="E419" s="116"/>
      <c r="F419" s="116"/>
      <c r="G419" s="116"/>
      <c r="H419" s="116"/>
      <c r="I419" s="116"/>
      <c r="J419" s="116"/>
      <c r="K419" s="116"/>
      <c r="L419" s="116"/>
      <c r="M419" s="116"/>
      <c r="N419" s="67"/>
    </row>
    <row r="420" spans="3:14" ht="15" customHeight="1">
      <c r="C420" s="116"/>
      <c r="D420" s="116"/>
      <c r="E420" s="116"/>
      <c r="F420" s="116"/>
      <c r="G420" s="116"/>
      <c r="H420" s="116"/>
      <c r="I420" s="116"/>
      <c r="J420" s="116"/>
      <c r="K420" s="116"/>
      <c r="L420" s="116"/>
      <c r="M420" s="116"/>
      <c r="N420" s="67"/>
    </row>
    <row r="421" spans="3:14" ht="15" customHeight="1">
      <c r="C421" s="137"/>
      <c r="D421" s="137"/>
      <c r="E421" s="137"/>
      <c r="F421" s="137"/>
      <c r="G421" s="137"/>
      <c r="H421" s="137"/>
      <c r="I421" s="137"/>
      <c r="J421" s="137"/>
      <c r="K421" s="137"/>
      <c r="L421" s="137"/>
      <c r="M421" s="137"/>
      <c r="N421" s="67"/>
    </row>
    <row r="422" spans="3:14" ht="12.75" customHeight="1">
      <c r="C422" s="137"/>
      <c r="D422" s="137"/>
      <c r="E422" s="137"/>
      <c r="F422" s="137"/>
      <c r="G422" s="137"/>
      <c r="H422" s="137"/>
      <c r="I422" s="137"/>
      <c r="J422" s="137"/>
      <c r="K422" s="137"/>
      <c r="L422" s="137"/>
      <c r="M422" s="137"/>
      <c r="N422" s="67"/>
    </row>
    <row r="423" spans="3:14" ht="12.75" customHeight="1">
      <c r="C423" s="137"/>
      <c r="D423" s="137"/>
      <c r="E423" s="137"/>
      <c r="F423" s="137"/>
      <c r="G423" s="137"/>
      <c r="H423" s="137"/>
      <c r="I423" s="137"/>
      <c r="J423" s="137"/>
      <c r="K423" s="137"/>
      <c r="L423" s="137"/>
      <c r="M423" s="137"/>
      <c r="N423" s="67"/>
    </row>
    <row r="424" spans="3:14" ht="12.75" customHeight="1">
      <c r="C424" s="137"/>
      <c r="D424" s="137"/>
      <c r="E424" s="137"/>
      <c r="F424" s="137"/>
      <c r="G424" s="137"/>
      <c r="H424" s="137"/>
      <c r="I424" s="137"/>
      <c r="J424" s="137"/>
      <c r="K424" s="137"/>
      <c r="L424" s="137"/>
      <c r="M424" s="137"/>
      <c r="N424" s="67"/>
    </row>
    <row r="425" spans="3:14" ht="12.75" customHeight="1">
      <c r="C425" s="137"/>
      <c r="D425" s="137"/>
      <c r="E425" s="137"/>
      <c r="F425" s="137"/>
      <c r="G425" s="137"/>
      <c r="H425" s="137"/>
      <c r="I425" s="137"/>
      <c r="J425" s="137"/>
      <c r="K425" s="137"/>
      <c r="L425" s="137"/>
      <c r="M425" s="137"/>
      <c r="N425" s="67"/>
    </row>
    <row r="426" spans="3:14" ht="12.75" customHeight="1">
      <c r="C426" s="137"/>
      <c r="D426" s="137"/>
      <c r="E426" s="137"/>
      <c r="F426" s="137"/>
      <c r="G426" s="137"/>
      <c r="H426" s="137"/>
      <c r="I426" s="137"/>
      <c r="J426" s="137"/>
      <c r="K426" s="137"/>
      <c r="L426" s="137"/>
      <c r="M426" s="137"/>
      <c r="N426" s="67"/>
    </row>
    <row r="427" spans="3:14" ht="12.75" customHeight="1">
      <c r="C427" s="137"/>
      <c r="D427" s="137"/>
      <c r="E427" s="137"/>
      <c r="F427" s="137"/>
      <c r="G427" s="137"/>
      <c r="H427" s="137"/>
      <c r="I427" s="137"/>
      <c r="J427" s="137"/>
      <c r="K427" s="137"/>
      <c r="L427" s="137"/>
      <c r="M427" s="137"/>
      <c r="N427" s="67"/>
    </row>
    <row r="428" spans="3:14" ht="12.75" customHeight="1">
      <c r="C428" s="137"/>
      <c r="D428" s="137"/>
      <c r="E428" s="137"/>
      <c r="F428" s="137"/>
      <c r="G428" s="137"/>
      <c r="H428" s="137"/>
      <c r="I428" s="137"/>
      <c r="J428" s="137"/>
      <c r="K428" s="137"/>
      <c r="L428" s="137"/>
      <c r="M428" s="137"/>
      <c r="N428" s="67"/>
    </row>
    <row r="429" spans="3:14" ht="12.75" customHeight="1">
      <c r="C429" s="137"/>
      <c r="D429" s="137"/>
      <c r="E429" s="137"/>
      <c r="F429" s="137"/>
      <c r="G429" s="137"/>
      <c r="H429" s="137"/>
      <c r="I429" s="137"/>
      <c r="J429" s="137"/>
      <c r="K429" s="137"/>
      <c r="L429" s="137"/>
      <c r="M429" s="137"/>
      <c r="N429" s="67"/>
    </row>
    <row r="430" spans="3:14" ht="12.75" customHeight="1">
      <c r="C430" s="137"/>
      <c r="D430" s="137"/>
      <c r="E430" s="137"/>
      <c r="F430" s="137"/>
      <c r="G430" s="137"/>
      <c r="H430" s="137"/>
      <c r="I430" s="137"/>
      <c r="J430" s="137"/>
      <c r="K430" s="137"/>
      <c r="L430" s="137"/>
      <c r="M430" s="137"/>
      <c r="N430" s="67"/>
    </row>
    <row r="431" spans="3:14" ht="12.75" customHeight="1">
      <c r="C431" s="137"/>
      <c r="D431" s="137"/>
      <c r="E431" s="137"/>
      <c r="F431" s="137"/>
      <c r="G431" s="137"/>
      <c r="H431" s="137"/>
      <c r="I431" s="137"/>
      <c r="J431" s="137"/>
      <c r="K431" s="137"/>
      <c r="L431" s="137"/>
      <c r="M431" s="137"/>
      <c r="N431" s="67"/>
    </row>
    <row r="432" spans="3:14">
      <c r="C432" s="137"/>
      <c r="D432" s="137"/>
      <c r="E432" s="137"/>
      <c r="F432" s="137"/>
      <c r="G432" s="137"/>
      <c r="H432" s="137"/>
      <c r="I432" s="137"/>
      <c r="J432" s="137"/>
      <c r="K432" s="137"/>
      <c r="L432" s="137"/>
      <c r="M432" s="137"/>
      <c r="N432" s="67"/>
    </row>
    <row r="433" spans="3:14">
      <c r="C433" s="137"/>
      <c r="D433" s="137"/>
      <c r="E433" s="137"/>
      <c r="F433" s="137"/>
      <c r="G433" s="137"/>
      <c r="H433" s="137"/>
      <c r="I433" s="137"/>
      <c r="J433" s="137"/>
      <c r="K433" s="137"/>
      <c r="L433" s="137"/>
      <c r="M433" s="137"/>
      <c r="N433" s="67"/>
    </row>
    <row r="434" spans="3:14">
      <c r="C434" s="137"/>
      <c r="D434" s="137"/>
      <c r="E434" s="137"/>
      <c r="F434" s="137"/>
      <c r="G434" s="137"/>
      <c r="H434" s="137"/>
      <c r="I434" s="137"/>
      <c r="J434" s="137"/>
      <c r="K434" s="137"/>
      <c r="L434" s="137"/>
      <c r="M434" s="137"/>
      <c r="N434" s="67"/>
    </row>
    <row r="435" spans="3:14">
      <c r="C435" s="67"/>
      <c r="D435" s="67"/>
      <c r="E435" s="67"/>
      <c r="F435" s="67"/>
      <c r="G435" s="67"/>
      <c r="H435" s="67"/>
      <c r="I435" s="67"/>
      <c r="J435" s="67"/>
      <c r="K435" s="67"/>
      <c r="L435" s="67"/>
      <c r="M435" s="67"/>
      <c r="N435" s="67"/>
    </row>
    <row r="436" spans="3:14">
      <c r="C436" s="67"/>
      <c r="D436" s="67"/>
      <c r="E436" s="67"/>
      <c r="F436" s="67"/>
      <c r="G436" s="67"/>
      <c r="H436" s="67"/>
      <c r="I436" s="67"/>
      <c r="J436" s="67"/>
      <c r="K436" s="67"/>
      <c r="L436" s="67"/>
      <c r="M436" s="67"/>
      <c r="N436" s="67"/>
    </row>
    <row r="437" spans="3:14">
      <c r="C437" s="67"/>
      <c r="D437" s="67"/>
      <c r="E437" s="67"/>
      <c r="F437" s="67"/>
      <c r="G437" s="67"/>
      <c r="H437" s="67"/>
      <c r="I437" s="67"/>
      <c r="J437" s="67"/>
      <c r="K437" s="67"/>
      <c r="L437" s="67"/>
      <c r="M437" s="67"/>
      <c r="N437" s="67"/>
    </row>
    <row r="438" spans="3:14">
      <c r="C438" s="67"/>
      <c r="D438" s="67"/>
      <c r="E438" s="67"/>
      <c r="F438" s="67"/>
      <c r="G438" s="67"/>
      <c r="H438" s="67"/>
      <c r="I438" s="67"/>
      <c r="J438" s="67"/>
      <c r="K438" s="67"/>
      <c r="L438" s="67"/>
      <c r="M438" s="67"/>
      <c r="N438" s="67"/>
    </row>
    <row r="439" spans="3:14">
      <c r="C439" s="67"/>
      <c r="D439" s="67"/>
      <c r="E439" s="67"/>
      <c r="F439" s="67"/>
      <c r="G439" s="67"/>
      <c r="H439" s="67"/>
      <c r="I439" s="67"/>
      <c r="J439" s="67"/>
      <c r="K439" s="67"/>
      <c r="L439" s="67"/>
      <c r="M439" s="67"/>
      <c r="N439" s="67"/>
    </row>
    <row r="440" spans="3:14">
      <c r="C440" s="67"/>
      <c r="D440" s="67"/>
      <c r="E440" s="67"/>
      <c r="F440" s="67"/>
      <c r="G440" s="67"/>
      <c r="H440" s="67"/>
      <c r="I440" s="67"/>
      <c r="J440" s="67"/>
      <c r="K440" s="67"/>
      <c r="L440" s="67"/>
      <c r="M440" s="67"/>
      <c r="N440" s="67"/>
    </row>
    <row r="441" spans="3:14">
      <c r="C441" s="67"/>
      <c r="D441" s="67"/>
      <c r="E441" s="67"/>
      <c r="F441" s="67"/>
      <c r="G441" s="67"/>
      <c r="H441" s="67"/>
      <c r="I441" s="67"/>
      <c r="J441" s="67"/>
      <c r="K441" s="67"/>
      <c r="L441" s="67"/>
      <c r="M441" s="67"/>
      <c r="N441" s="67"/>
    </row>
    <row r="442" spans="3:14">
      <c r="C442" s="67"/>
      <c r="D442" s="67"/>
      <c r="E442" s="67"/>
      <c r="F442" s="67"/>
      <c r="G442" s="67"/>
      <c r="H442" s="67"/>
      <c r="I442" s="67"/>
      <c r="J442" s="67"/>
      <c r="K442" s="67"/>
      <c r="L442" s="67"/>
      <c r="M442" s="67"/>
      <c r="N442" s="67"/>
    </row>
    <row r="443" spans="3:14">
      <c r="C443" s="67"/>
      <c r="D443" s="67"/>
      <c r="E443" s="67"/>
      <c r="F443" s="67"/>
      <c r="G443" s="67"/>
      <c r="H443" s="67"/>
      <c r="I443" s="67"/>
      <c r="J443" s="67"/>
      <c r="K443" s="67"/>
      <c r="L443" s="67"/>
      <c r="M443" s="67"/>
      <c r="N443" s="67"/>
    </row>
    <row r="444" spans="3:14">
      <c r="C444" s="67"/>
      <c r="D444" s="67"/>
      <c r="E444" s="67"/>
      <c r="F444" s="67"/>
      <c r="G444" s="67"/>
      <c r="H444" s="67"/>
      <c r="I444" s="67"/>
      <c r="J444" s="67"/>
      <c r="K444" s="67"/>
      <c r="L444" s="67"/>
      <c r="M444" s="67"/>
      <c r="N444" s="67"/>
    </row>
    <row r="445" spans="3:14">
      <c r="C445" s="67"/>
      <c r="D445" s="67"/>
      <c r="E445" s="67"/>
      <c r="F445" s="67"/>
      <c r="G445" s="67"/>
      <c r="H445" s="67"/>
      <c r="I445" s="67"/>
      <c r="J445" s="67"/>
      <c r="K445" s="67"/>
      <c r="L445" s="67"/>
      <c r="M445" s="67"/>
      <c r="N445" s="67"/>
    </row>
    <row r="446" spans="3:14">
      <c r="C446" s="67"/>
      <c r="D446" s="67"/>
      <c r="E446" s="67"/>
      <c r="F446" s="67"/>
      <c r="G446" s="67"/>
      <c r="H446" s="67"/>
      <c r="I446" s="67"/>
      <c r="J446" s="67"/>
      <c r="K446" s="67"/>
      <c r="L446" s="67"/>
      <c r="M446" s="67"/>
      <c r="N446" s="67"/>
    </row>
    <row r="447" spans="3:14">
      <c r="C447" s="67"/>
      <c r="D447" s="67"/>
      <c r="E447" s="67"/>
      <c r="F447" s="67"/>
      <c r="G447" s="67"/>
      <c r="H447" s="67"/>
      <c r="I447" s="67"/>
      <c r="J447" s="67"/>
      <c r="K447" s="67"/>
      <c r="L447" s="67"/>
      <c r="M447" s="67"/>
      <c r="N447" s="67"/>
    </row>
    <row r="448" spans="3:14">
      <c r="C448" s="67"/>
      <c r="D448" s="67"/>
      <c r="E448" s="67"/>
      <c r="F448" s="67"/>
      <c r="G448" s="67"/>
      <c r="H448" s="67"/>
      <c r="I448" s="67"/>
      <c r="J448" s="67"/>
      <c r="K448" s="67"/>
      <c r="L448" s="67"/>
      <c r="M448" s="67"/>
      <c r="N448" s="67"/>
    </row>
    <row r="449" spans="3:14">
      <c r="C449" s="67"/>
      <c r="D449" s="67"/>
      <c r="E449" s="67"/>
      <c r="F449" s="67"/>
      <c r="G449" s="67"/>
      <c r="H449" s="67"/>
      <c r="I449" s="67"/>
      <c r="J449" s="67"/>
      <c r="K449" s="67"/>
      <c r="L449" s="67"/>
      <c r="M449" s="67"/>
      <c r="N449" s="67"/>
    </row>
    <row r="450" spans="3:14">
      <c r="C450" s="67"/>
      <c r="D450" s="67"/>
      <c r="E450" s="67"/>
      <c r="F450" s="67"/>
      <c r="G450" s="67"/>
      <c r="H450" s="67"/>
      <c r="I450" s="67"/>
      <c r="J450" s="67"/>
      <c r="K450" s="67"/>
      <c r="L450" s="67"/>
      <c r="M450" s="67"/>
      <c r="N450" s="67"/>
    </row>
    <row r="451" spans="3:14">
      <c r="C451" s="67"/>
      <c r="D451" s="67"/>
      <c r="E451" s="67"/>
      <c r="F451" s="67"/>
      <c r="G451" s="67"/>
      <c r="H451" s="67"/>
      <c r="I451" s="67"/>
      <c r="J451" s="67"/>
      <c r="K451" s="67"/>
      <c r="L451" s="67"/>
      <c r="M451" s="67"/>
      <c r="N451" s="67"/>
    </row>
    <row r="452" spans="3:14">
      <c r="C452" s="67"/>
      <c r="D452" s="67"/>
      <c r="E452" s="67"/>
      <c r="F452" s="67"/>
      <c r="G452" s="67"/>
      <c r="H452" s="67"/>
      <c r="I452" s="67"/>
      <c r="J452" s="67"/>
      <c r="K452" s="67"/>
      <c r="L452" s="67"/>
      <c r="M452" s="67"/>
      <c r="N452" s="67"/>
    </row>
    <row r="453" spans="3:14">
      <c r="C453" s="67"/>
      <c r="D453" s="67"/>
      <c r="E453" s="67"/>
      <c r="F453" s="67"/>
      <c r="G453" s="67"/>
      <c r="H453" s="67"/>
      <c r="I453" s="67"/>
      <c r="J453" s="67"/>
      <c r="K453" s="67"/>
      <c r="L453" s="67"/>
      <c r="M453" s="67"/>
      <c r="N453" s="67"/>
    </row>
    <row r="454" spans="3:14">
      <c r="C454" s="67"/>
      <c r="D454" s="67"/>
      <c r="E454" s="67"/>
      <c r="F454" s="67"/>
      <c r="G454" s="67"/>
      <c r="H454" s="67"/>
      <c r="I454" s="67"/>
      <c r="J454" s="67"/>
      <c r="K454" s="67"/>
      <c r="L454" s="67"/>
      <c r="M454" s="67"/>
      <c r="N454" s="67"/>
    </row>
    <row r="455" spans="3:14">
      <c r="C455" s="67"/>
      <c r="D455" s="67"/>
      <c r="E455" s="67"/>
      <c r="F455" s="67"/>
      <c r="G455" s="67"/>
      <c r="H455" s="67"/>
      <c r="I455" s="67"/>
      <c r="J455" s="67"/>
      <c r="K455" s="67"/>
      <c r="L455" s="67"/>
      <c r="M455" s="67"/>
      <c r="N455" s="67"/>
    </row>
    <row r="456" spans="3:14">
      <c r="C456" s="67"/>
      <c r="D456" s="67"/>
      <c r="E456" s="67"/>
      <c r="F456" s="67"/>
      <c r="G456" s="67"/>
      <c r="H456" s="67"/>
      <c r="I456" s="67"/>
      <c r="J456" s="67"/>
      <c r="K456" s="67"/>
      <c r="L456" s="67"/>
      <c r="M456" s="67"/>
      <c r="N456" s="67"/>
    </row>
    <row r="457" spans="3:14">
      <c r="C457" s="67"/>
      <c r="D457" s="67"/>
      <c r="E457" s="67"/>
      <c r="F457" s="67"/>
      <c r="G457" s="67"/>
      <c r="H457" s="67"/>
      <c r="I457" s="67"/>
      <c r="J457" s="67"/>
      <c r="K457" s="67"/>
      <c r="L457" s="67"/>
      <c r="M457" s="67"/>
      <c r="N457" s="67"/>
    </row>
    <row r="458" spans="3:14">
      <c r="C458" s="67"/>
      <c r="D458" s="67"/>
      <c r="E458" s="67"/>
      <c r="F458" s="67"/>
      <c r="G458" s="67"/>
      <c r="H458" s="67"/>
      <c r="I458" s="67"/>
      <c r="J458" s="67"/>
      <c r="K458" s="67"/>
      <c r="L458" s="67"/>
      <c r="M458" s="67"/>
      <c r="N458" s="67"/>
    </row>
    <row r="459" spans="3:14">
      <c r="C459" s="67"/>
      <c r="D459" s="67"/>
      <c r="E459" s="67"/>
      <c r="F459" s="67"/>
      <c r="G459" s="67"/>
      <c r="H459" s="67"/>
      <c r="I459" s="67"/>
      <c r="J459" s="67"/>
      <c r="K459" s="67"/>
      <c r="L459" s="67"/>
      <c r="M459" s="67"/>
      <c r="N459" s="67"/>
    </row>
    <row r="483" spans="3:5">
      <c r="C483" s="122"/>
      <c r="D483" s="122"/>
      <c r="E483" s="122"/>
    </row>
    <row r="484" spans="3:5">
      <c r="C484" s="122"/>
      <c r="D484" s="122"/>
      <c r="E484" s="122"/>
    </row>
    <row r="485" spans="3:5">
      <c r="C485" s="122"/>
      <c r="D485" s="122"/>
      <c r="E485" s="122"/>
    </row>
    <row r="486" spans="3:5">
      <c r="C486" s="122"/>
      <c r="D486" s="122"/>
      <c r="E486" s="122"/>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80" customWidth="1"/>
    <col min="2" max="2" width="13.6328125" style="680" bestFit="1" customWidth="1"/>
    <col min="3" max="3" width="13.453125" style="680" customWidth="1"/>
    <col min="4" max="4" width="14" style="680" hidden="1" customWidth="1"/>
    <col min="5" max="5" width="12.81640625" style="680" customWidth="1"/>
    <col min="6" max="6" width="16.453125" style="680" customWidth="1"/>
    <col min="7" max="7" width="13.453125" style="680" bestFit="1" customWidth="1"/>
    <col min="8" max="9" width="11" style="680" customWidth="1"/>
    <col min="10" max="14" width="8.6328125" style="680"/>
    <col min="15" max="15" width="9.54296875" style="680" bestFit="1" customWidth="1"/>
    <col min="16" max="16384" width="8.6328125" style="680"/>
  </cols>
  <sheetData>
    <row r="1" spans="1:12" ht="23.25" customHeight="1">
      <c r="A1" s="1927" t="s">
        <v>1133</v>
      </c>
      <c r="B1" s="1927"/>
      <c r="C1" s="1927"/>
      <c r="D1" s="1927"/>
      <c r="E1" s="1927"/>
      <c r="F1" s="1927"/>
      <c r="G1" s="1927"/>
      <c r="H1" s="1927"/>
      <c r="I1" s="1927"/>
      <c r="J1" s="1927"/>
      <c r="K1" s="1927"/>
    </row>
    <row r="2" spans="1:12" ht="12.75" customHeight="1">
      <c r="A2" s="681"/>
      <c r="B2" s="682"/>
      <c r="C2" s="682"/>
      <c r="D2" s="682"/>
      <c r="E2" s="682"/>
    </row>
    <row r="3" spans="1:12" ht="12.75" customHeight="1">
      <c r="A3" s="1927" t="s">
        <v>1039</v>
      </c>
      <c r="B3" s="1927"/>
      <c r="C3" s="1927"/>
      <c r="D3" s="1927"/>
      <c r="E3" s="1927"/>
      <c r="F3" s="1927"/>
      <c r="G3" s="1927"/>
      <c r="H3" s="1927"/>
      <c r="I3" s="1927"/>
      <c r="J3" s="1927"/>
      <c r="K3" s="1927"/>
    </row>
    <row r="4" spans="1:12" ht="12.75" customHeight="1" thickBot="1">
      <c r="A4" s="683"/>
      <c r="B4" s="683"/>
      <c r="C4" s="683"/>
      <c r="D4" s="683"/>
      <c r="E4" s="683"/>
      <c r="F4" s="683"/>
      <c r="G4" s="683"/>
      <c r="H4" s="683"/>
      <c r="I4" s="683"/>
    </row>
    <row r="5" spans="1:12" ht="12.75" customHeight="1" thickTop="1">
      <c r="A5" s="684"/>
      <c r="B5" s="684"/>
      <c r="C5" s="684"/>
      <c r="D5" s="685"/>
      <c r="E5" s="684"/>
      <c r="F5" s="685"/>
      <c r="G5" s="686"/>
      <c r="H5" s="687"/>
      <c r="I5" s="687"/>
      <c r="J5" s="684"/>
      <c r="K5" s="684"/>
      <c r="L5" s="688"/>
    </row>
    <row r="6" spans="1:12" ht="12.75" customHeight="1">
      <c r="A6" s="689"/>
      <c r="B6" s="690"/>
      <c r="C6" s="690" t="s">
        <v>37</v>
      </c>
      <c r="D6" s="691"/>
      <c r="E6" s="690"/>
      <c r="F6" s="692"/>
      <c r="G6" s="693"/>
      <c r="H6" s="694"/>
      <c r="I6" s="695"/>
      <c r="J6" s="690"/>
      <c r="K6" s="690"/>
      <c r="L6" s="688"/>
    </row>
    <row r="7" spans="1:12" ht="12.75" customHeight="1">
      <c r="A7" s="689"/>
      <c r="B7" s="690"/>
      <c r="C7" s="690" t="s">
        <v>185</v>
      </c>
      <c r="D7" s="691"/>
      <c r="E7" s="690"/>
      <c r="F7" s="1924" t="s">
        <v>188</v>
      </c>
      <c r="G7" s="1925"/>
      <c r="H7" s="1926"/>
      <c r="I7" s="695"/>
      <c r="J7" s="690"/>
      <c r="K7" s="690"/>
      <c r="L7" s="688"/>
    </row>
    <row r="8" spans="1:12" ht="12.75" customHeight="1">
      <c r="A8" s="689"/>
      <c r="B8" s="690" t="s">
        <v>189</v>
      </c>
      <c r="C8" s="690" t="s">
        <v>190</v>
      </c>
      <c r="D8" s="692" t="s">
        <v>1182</v>
      </c>
      <c r="E8" s="690"/>
      <c r="F8" s="692"/>
      <c r="G8" s="693"/>
      <c r="H8" s="694"/>
      <c r="I8" s="694" t="s">
        <v>1184</v>
      </c>
      <c r="J8" s="690" t="s">
        <v>34</v>
      </c>
      <c r="K8" s="690"/>
      <c r="L8" s="688"/>
    </row>
    <row r="9" spans="1:12" ht="16.5" customHeight="1" thickBot="1">
      <c r="A9" s="689"/>
      <c r="B9" s="690" t="s">
        <v>45</v>
      </c>
      <c r="C9" s="690" t="s">
        <v>191</v>
      </c>
      <c r="D9" s="692" t="s">
        <v>1183</v>
      </c>
      <c r="E9" s="690"/>
      <c r="F9" s="696"/>
      <c r="G9" s="697"/>
      <c r="H9" s="694"/>
      <c r="I9" s="694" t="s">
        <v>1185</v>
      </c>
      <c r="J9" s="690" t="s">
        <v>35</v>
      </c>
      <c r="K9" s="690" t="s">
        <v>37</v>
      </c>
      <c r="L9" s="688"/>
    </row>
    <row r="10" spans="1:12" ht="12.75" customHeight="1" thickTop="1">
      <c r="A10" s="689"/>
      <c r="B10" s="690" t="s">
        <v>192</v>
      </c>
      <c r="C10" s="690" t="s">
        <v>193</v>
      </c>
      <c r="D10" s="691"/>
      <c r="E10" s="690" t="s">
        <v>194</v>
      </c>
      <c r="F10" s="698"/>
      <c r="G10" s="698"/>
      <c r="H10" s="698"/>
      <c r="I10" s="695"/>
      <c r="J10" s="690" t="s">
        <v>195</v>
      </c>
      <c r="K10" s="690" t="s">
        <v>196</v>
      </c>
      <c r="L10" s="688"/>
    </row>
    <row r="11" spans="1:12" ht="12.75" customHeight="1">
      <c r="A11" s="689"/>
      <c r="B11" s="689"/>
      <c r="C11" s="689"/>
      <c r="D11" s="691"/>
      <c r="E11" s="690" t="s">
        <v>738</v>
      </c>
      <c r="F11" s="690" t="s">
        <v>1188</v>
      </c>
      <c r="G11" s="690" t="s">
        <v>739</v>
      </c>
      <c r="H11" s="690" t="s">
        <v>37</v>
      </c>
      <c r="I11" s="695"/>
      <c r="J11" s="689"/>
      <c r="K11" s="689"/>
      <c r="L11" s="688"/>
    </row>
    <row r="12" spans="1:12" ht="12.6" customHeight="1">
      <c r="A12" s="699" t="s">
        <v>220</v>
      </c>
      <c r="B12" s="690"/>
      <c r="C12" s="690"/>
      <c r="D12" s="691"/>
      <c r="E12" s="690"/>
      <c r="F12" s="690"/>
      <c r="G12" s="690"/>
      <c r="H12" s="690"/>
      <c r="I12" s="695"/>
      <c r="J12" s="690"/>
      <c r="K12" s="690"/>
      <c r="L12" s="688"/>
    </row>
    <row r="13" spans="1:12" ht="7.2" customHeight="1" thickBot="1">
      <c r="A13" s="700"/>
      <c r="B13" s="701"/>
      <c r="C13" s="702"/>
      <c r="D13" s="703"/>
      <c r="E13" s="702"/>
      <c r="F13" s="702"/>
      <c r="G13" s="702"/>
      <c r="H13" s="702"/>
      <c r="I13" s="703"/>
      <c r="J13" s="702"/>
      <c r="K13" s="702"/>
      <c r="L13" s="688"/>
    </row>
    <row r="14" spans="1:12" ht="12.75" customHeight="1" thickTop="1">
      <c r="A14" s="704"/>
      <c r="B14" s="705"/>
      <c r="C14" s="706"/>
      <c r="D14" s="691"/>
      <c r="E14" s="706"/>
      <c r="F14" s="706"/>
      <c r="G14" s="706"/>
      <c r="H14" s="706"/>
      <c r="I14" s="695"/>
      <c r="J14" s="706"/>
      <c r="K14" s="706"/>
      <c r="L14" s="688"/>
    </row>
    <row r="15" spans="1:12" ht="12.75" hidden="1" customHeight="1">
      <c r="A15" s="707">
        <v>1980</v>
      </c>
      <c r="B15" s="708">
        <v>674.8</v>
      </c>
      <c r="C15" s="708">
        <v>1049.8</v>
      </c>
      <c r="D15" s="691"/>
      <c r="E15" s="708">
        <v>-375</v>
      </c>
      <c r="F15" s="708">
        <v>137.5</v>
      </c>
      <c r="G15" s="708">
        <v>164.8</v>
      </c>
      <c r="H15" s="708">
        <v>302.3</v>
      </c>
      <c r="I15" s="695"/>
      <c r="J15" s="708">
        <v>72.7</v>
      </c>
      <c r="K15" s="708">
        <v>375</v>
      </c>
      <c r="L15" s="688"/>
    </row>
    <row r="16" spans="1:12" ht="12.75" hidden="1" customHeight="1">
      <c r="A16" s="707">
        <v>1981</v>
      </c>
      <c r="B16" s="708">
        <v>949.1</v>
      </c>
      <c r="C16" s="708">
        <v>1283.9000000000001</v>
      </c>
      <c r="D16" s="691"/>
      <c r="E16" s="690">
        <v>-334.8</v>
      </c>
      <c r="F16" s="708">
        <v>159.69999999999999</v>
      </c>
      <c r="G16" s="708">
        <v>108.9</v>
      </c>
      <c r="H16" s="708">
        <v>286.60000000000002</v>
      </c>
      <c r="I16" s="695"/>
      <c r="J16" s="708">
        <v>66.2</v>
      </c>
      <c r="K16" s="708">
        <v>334.8</v>
      </c>
      <c r="L16" s="688"/>
    </row>
    <row r="17" spans="1:12" ht="12.75" hidden="1" customHeight="1">
      <c r="A17" s="707">
        <v>1982</v>
      </c>
      <c r="B17" s="708">
        <v>1364.5</v>
      </c>
      <c r="C17" s="708">
        <v>1681.1</v>
      </c>
      <c r="D17" s="691"/>
      <c r="E17" s="708">
        <v>-316.60000000000002</v>
      </c>
      <c r="F17" s="708">
        <v>-12.9</v>
      </c>
      <c r="G17" s="708">
        <v>109.9</v>
      </c>
      <c r="H17" s="708">
        <v>97</v>
      </c>
      <c r="I17" s="695"/>
      <c r="J17" s="708">
        <v>219.6</v>
      </c>
      <c r="K17" s="708">
        <v>316.60000000000002</v>
      </c>
      <c r="L17" s="688"/>
    </row>
    <row r="18" spans="1:12" ht="12.75" hidden="1" customHeight="1">
      <c r="A18" s="707">
        <v>1983</v>
      </c>
      <c r="B18" s="708">
        <v>1780.7</v>
      </c>
      <c r="C18" s="708">
        <v>2247.1</v>
      </c>
      <c r="D18" s="691"/>
      <c r="E18" s="708">
        <v>-466.4</v>
      </c>
      <c r="F18" s="708">
        <v>106.2</v>
      </c>
      <c r="G18" s="708">
        <v>310.3</v>
      </c>
      <c r="H18" s="708">
        <v>416.5</v>
      </c>
      <c r="I18" s="695"/>
      <c r="J18" s="708">
        <v>49.9</v>
      </c>
      <c r="K18" s="708">
        <v>466.4</v>
      </c>
      <c r="L18" s="688"/>
    </row>
    <row r="19" spans="1:12" ht="12.75" hidden="1" customHeight="1">
      <c r="A19" s="707">
        <v>1984</v>
      </c>
      <c r="B19" s="708" t="s">
        <v>197</v>
      </c>
      <c r="C19" s="708" t="s">
        <v>198</v>
      </c>
      <c r="D19" s="691"/>
      <c r="E19" s="708">
        <v>-630</v>
      </c>
      <c r="F19" s="708">
        <v>205.7</v>
      </c>
      <c r="G19" s="708">
        <v>373.6</v>
      </c>
      <c r="H19" s="708">
        <v>579.29999999999995</v>
      </c>
      <c r="I19" s="695"/>
      <c r="J19" s="708">
        <v>50.7</v>
      </c>
      <c r="K19" s="708">
        <v>630</v>
      </c>
      <c r="L19" s="688"/>
    </row>
    <row r="20" spans="1:12" ht="12.75" hidden="1" customHeight="1">
      <c r="A20" s="707">
        <v>1985</v>
      </c>
      <c r="B20" s="708" t="s">
        <v>199</v>
      </c>
      <c r="C20" s="708" t="s">
        <v>200</v>
      </c>
      <c r="D20" s="691"/>
      <c r="E20" s="708">
        <v>-710.7</v>
      </c>
      <c r="F20" s="708">
        <v>274.3</v>
      </c>
      <c r="G20" s="708">
        <v>495.8</v>
      </c>
      <c r="H20" s="708">
        <v>221.5</v>
      </c>
      <c r="I20" s="695"/>
      <c r="J20" s="708">
        <v>489.2</v>
      </c>
      <c r="K20" s="708">
        <v>710.7</v>
      </c>
      <c r="L20" s="688"/>
    </row>
    <row r="21" spans="1:12" ht="12.75" hidden="1" customHeight="1">
      <c r="A21" s="707">
        <v>1986</v>
      </c>
      <c r="B21" s="708" t="s">
        <v>201</v>
      </c>
      <c r="C21" s="708" t="s">
        <v>202</v>
      </c>
      <c r="D21" s="691"/>
      <c r="E21" s="708">
        <v>-691.6</v>
      </c>
      <c r="F21" s="708">
        <v>-222.7</v>
      </c>
      <c r="G21" s="708">
        <v>703.4</v>
      </c>
      <c r="H21" s="708">
        <v>480.7</v>
      </c>
      <c r="I21" s="695"/>
      <c r="J21" s="708">
        <v>210.9</v>
      </c>
      <c r="K21" s="708">
        <v>691.6</v>
      </c>
      <c r="L21" s="688"/>
    </row>
    <row r="22" spans="1:12" ht="12.75" hidden="1" customHeight="1">
      <c r="A22" s="707">
        <v>1987</v>
      </c>
      <c r="B22" s="708" t="s">
        <v>203</v>
      </c>
      <c r="C22" s="708" t="s">
        <v>204</v>
      </c>
      <c r="D22" s="691"/>
      <c r="E22" s="708">
        <v>-996.9</v>
      </c>
      <c r="F22" s="708">
        <v>166</v>
      </c>
      <c r="G22" s="708">
        <v>620.20000000000005</v>
      </c>
      <c r="H22" s="708">
        <v>481.7</v>
      </c>
      <c r="I22" s="695"/>
      <c r="J22" s="708">
        <v>210.8</v>
      </c>
      <c r="K22" s="708">
        <v>996.9</v>
      </c>
      <c r="L22" s="688"/>
    </row>
    <row r="23" spans="1:12" ht="12.75" hidden="1" customHeight="1">
      <c r="A23" s="707">
        <v>1988</v>
      </c>
      <c r="B23" s="708" t="s">
        <v>205</v>
      </c>
      <c r="C23" s="708" t="s">
        <v>206</v>
      </c>
      <c r="D23" s="691"/>
      <c r="E23" s="708">
        <v>-895.8</v>
      </c>
      <c r="F23" s="708">
        <v>146.69999999999999</v>
      </c>
      <c r="G23" s="708">
        <v>601.5</v>
      </c>
      <c r="H23" s="708">
        <v>748.2</v>
      </c>
      <c r="I23" s="695"/>
      <c r="J23" s="708">
        <v>147.6</v>
      </c>
      <c r="K23" s="708">
        <v>895.8</v>
      </c>
      <c r="L23" s="688"/>
    </row>
    <row r="24" spans="1:12" ht="12.75" hidden="1" customHeight="1">
      <c r="A24" s="707">
        <v>1989</v>
      </c>
      <c r="B24" s="708">
        <v>4356.3</v>
      </c>
      <c r="C24" s="708">
        <v>5475.6</v>
      </c>
      <c r="D24" s="691"/>
      <c r="E24" s="708">
        <f>B24-C24</f>
        <v>-1119.3000000000002</v>
      </c>
      <c r="F24" s="708">
        <v>29.2</v>
      </c>
      <c r="G24" s="708">
        <v>960.9</v>
      </c>
      <c r="H24" s="708">
        <v>990.1</v>
      </c>
      <c r="I24" s="695"/>
      <c r="J24" s="708">
        <v>129.19999999999999</v>
      </c>
      <c r="K24" s="708">
        <v>1119.3</v>
      </c>
      <c r="L24" s="688"/>
    </row>
    <row r="25" spans="1:12" ht="12.75" hidden="1" customHeight="1">
      <c r="A25" s="707">
        <v>1990</v>
      </c>
      <c r="B25" s="708">
        <v>5308</v>
      </c>
      <c r="C25" s="708">
        <v>6445.7</v>
      </c>
      <c r="D25" s="691"/>
      <c r="E25" s="708">
        <v>-1137.7</v>
      </c>
      <c r="F25" s="708">
        <v>58.9</v>
      </c>
      <c r="G25" s="708">
        <v>877.3</v>
      </c>
      <c r="H25" s="708">
        <v>936.2</v>
      </c>
      <c r="I25" s="695"/>
      <c r="J25" s="708">
        <v>201.5</v>
      </c>
      <c r="K25" s="708">
        <v>1137.7</v>
      </c>
      <c r="L25" s="688"/>
    </row>
    <row r="26" spans="1:12" ht="12.75" hidden="1" customHeight="1">
      <c r="A26" s="707">
        <v>1991</v>
      </c>
      <c r="B26" s="708" t="s">
        <v>207</v>
      </c>
      <c r="C26" s="708" t="s">
        <v>208</v>
      </c>
      <c r="D26" s="691"/>
      <c r="E26" s="708">
        <v>-1596.7</v>
      </c>
      <c r="F26" s="708">
        <v>140.30000000000001</v>
      </c>
      <c r="G26" s="708">
        <v>1362.1</v>
      </c>
      <c r="H26" s="708">
        <v>1502.4</v>
      </c>
      <c r="I26" s="695"/>
      <c r="J26" s="708">
        <v>94.3</v>
      </c>
      <c r="K26" s="708">
        <v>1596.7</v>
      </c>
      <c r="L26" s="688"/>
    </row>
    <row r="27" spans="1:12" ht="12.75" hidden="1" customHeight="1">
      <c r="A27" s="707">
        <v>1992</v>
      </c>
      <c r="B27" s="708">
        <v>9363.7999999999993</v>
      </c>
      <c r="C27" s="708">
        <v>11073.1</v>
      </c>
      <c r="D27" s="691"/>
      <c r="E27" s="708">
        <v>-1709.3</v>
      </c>
      <c r="F27" s="708">
        <v>208.1</v>
      </c>
      <c r="G27" s="708">
        <v>1112.8</v>
      </c>
      <c r="H27" s="708">
        <v>1320.9</v>
      </c>
      <c r="I27" s="695"/>
      <c r="J27" s="708">
        <v>388.4</v>
      </c>
      <c r="K27" s="708">
        <v>1709.3</v>
      </c>
      <c r="L27" s="688"/>
    </row>
    <row r="28" spans="1:12" ht="12.75" hidden="1" customHeight="1">
      <c r="A28" s="707">
        <v>1993</v>
      </c>
      <c r="B28" s="708" t="s">
        <v>209</v>
      </c>
      <c r="C28" s="708" t="s">
        <v>210</v>
      </c>
      <c r="D28" s="691"/>
      <c r="E28" s="708">
        <v>-2644.5</v>
      </c>
      <c r="F28" s="708">
        <v>416.7</v>
      </c>
      <c r="G28" s="708">
        <v>862</v>
      </c>
      <c r="H28" s="708">
        <v>1287.7</v>
      </c>
      <c r="I28" s="695"/>
      <c r="J28" s="708">
        <v>1365.8</v>
      </c>
      <c r="K28" s="708">
        <v>2644.5</v>
      </c>
      <c r="L28" s="688"/>
    </row>
    <row r="29" spans="1:12" ht="12.75" hidden="1" customHeight="1">
      <c r="A29" s="707">
        <v>1994</v>
      </c>
      <c r="B29" s="708" t="s">
        <v>211</v>
      </c>
      <c r="C29" s="708" t="s">
        <v>212</v>
      </c>
      <c r="D29" s="691"/>
      <c r="E29" s="708">
        <v>-2134.8000000000002</v>
      </c>
      <c r="F29" s="708">
        <v>1985.4</v>
      </c>
      <c r="G29" s="708">
        <v>-209.1</v>
      </c>
      <c r="H29" s="708">
        <v>1776.3</v>
      </c>
      <c r="I29" s="695"/>
      <c r="J29" s="708">
        <v>358.5</v>
      </c>
      <c r="K29" s="708">
        <v>2134.8000000000002</v>
      </c>
      <c r="L29" s="688"/>
    </row>
    <row r="30" spans="1:12" ht="12.75" hidden="1" customHeight="1">
      <c r="A30" s="707">
        <v>1995</v>
      </c>
      <c r="B30" s="708">
        <v>16514.3</v>
      </c>
      <c r="C30" s="708">
        <v>21813.5</v>
      </c>
      <c r="D30" s="691"/>
      <c r="E30" s="708">
        <v>-5791.6</v>
      </c>
      <c r="F30" s="708">
        <v>5153.3</v>
      </c>
      <c r="G30" s="708">
        <v>360.5</v>
      </c>
      <c r="H30" s="708">
        <v>4792.8</v>
      </c>
      <c r="I30" s="695"/>
      <c r="J30" s="708">
        <v>989.5</v>
      </c>
      <c r="K30" s="708">
        <v>5791.6</v>
      </c>
      <c r="L30" s="688"/>
    </row>
    <row r="31" spans="1:12" ht="12.75" hidden="1" customHeight="1">
      <c r="A31" s="707">
        <v>1996</v>
      </c>
      <c r="B31" s="708">
        <v>20876.599999999999</v>
      </c>
      <c r="C31" s="708">
        <v>26024</v>
      </c>
      <c r="D31" s="691"/>
      <c r="E31" s="708">
        <v>-5147.3999999999996</v>
      </c>
      <c r="F31" s="708">
        <v>4111.6000000000004</v>
      </c>
      <c r="G31" s="708">
        <v>139.1</v>
      </c>
      <c r="H31" s="708">
        <v>3972.5</v>
      </c>
      <c r="I31" s="695"/>
      <c r="J31" s="708">
        <v>1174.9000000000001</v>
      </c>
      <c r="K31" s="708">
        <v>5147.3999999999996</v>
      </c>
      <c r="L31" s="688"/>
    </row>
    <row r="32" spans="1:12" ht="12.75" hidden="1" customHeight="1">
      <c r="A32" s="707">
        <v>1997</v>
      </c>
      <c r="B32" s="708">
        <v>27289.599999999999</v>
      </c>
      <c r="C32" s="708">
        <v>32366.400000000001</v>
      </c>
      <c r="D32" s="691"/>
      <c r="E32" s="708">
        <f>B32-C32</f>
        <v>-5076.8000000000029</v>
      </c>
      <c r="F32" s="708">
        <v>5006</v>
      </c>
      <c r="G32" s="690">
        <v>161.80000000000001</v>
      </c>
      <c r="H32" s="708">
        <f>G32+F32</f>
        <v>5167.8</v>
      </c>
      <c r="I32" s="695"/>
      <c r="J32" s="708">
        <v>-91</v>
      </c>
      <c r="K32" s="708">
        <f>J32+H32</f>
        <v>5076.8</v>
      </c>
      <c r="L32" s="688"/>
    </row>
    <row r="33" spans="1:12" ht="12.75" hidden="1" customHeight="1">
      <c r="A33" s="707" t="s">
        <v>213</v>
      </c>
      <c r="B33" s="708">
        <f>57595.9+1499.5</f>
        <v>59095.4</v>
      </c>
      <c r="C33" s="708">
        <v>69722.8</v>
      </c>
      <c r="D33" s="691"/>
      <c r="E33" s="708">
        <f>B33-C33</f>
        <v>-10627.400000000001</v>
      </c>
      <c r="F33" s="708">
        <v>13553.6</v>
      </c>
      <c r="G33" s="708">
        <f>-779+760.9</f>
        <v>-18.100000000000023</v>
      </c>
      <c r="H33" s="708">
        <f>G33+F33</f>
        <v>13535.5</v>
      </c>
      <c r="I33" s="695"/>
      <c r="J33" s="708">
        <v>-2908.2</v>
      </c>
      <c r="K33" s="708">
        <f>J33+H33</f>
        <v>10627.3</v>
      </c>
      <c r="L33" s="688"/>
    </row>
    <row r="34" spans="1:12" ht="12.75" hidden="1" customHeight="1">
      <c r="A34" s="707" t="s">
        <v>214</v>
      </c>
      <c r="B34" s="708">
        <v>60707.5</v>
      </c>
      <c r="C34" s="708">
        <v>79638.399999999994</v>
      </c>
      <c r="D34" s="691"/>
      <c r="E34" s="708">
        <f>B34-C34</f>
        <v>-18930.899999999994</v>
      </c>
      <c r="F34" s="708">
        <v>24457.8</v>
      </c>
      <c r="G34" s="708">
        <v>-631.9</v>
      </c>
      <c r="H34" s="708">
        <f>G34+F34</f>
        <v>23825.899999999998</v>
      </c>
      <c r="I34" s="695"/>
      <c r="J34" s="708">
        <v>-4895</v>
      </c>
      <c r="K34" s="708">
        <f>J34+H34</f>
        <v>18930.899999999998</v>
      </c>
      <c r="L34" s="688"/>
    </row>
    <row r="35" spans="1:12" ht="12.75" hidden="1" customHeight="1">
      <c r="A35" s="707">
        <v>2000</v>
      </c>
      <c r="B35" s="690">
        <f>SUM(B41:B52)</f>
        <v>91341.6</v>
      </c>
      <c r="C35" s="690">
        <f>SUM(C41:C52)</f>
        <v>162309.70000000001</v>
      </c>
      <c r="D35" s="691"/>
      <c r="E35" s="708">
        <f>SUM(E41:E52)</f>
        <v>-70968.100000000006</v>
      </c>
      <c r="F35" s="690">
        <f>SUM(F41:F52)</f>
        <v>69917.100000000006</v>
      </c>
      <c r="G35" s="690">
        <f>SUM(G41:G52)</f>
        <v>-1683.9</v>
      </c>
      <c r="H35" s="708">
        <f>SUM(H41:H52)</f>
        <v>68233.200000000012</v>
      </c>
      <c r="I35" s="695"/>
      <c r="J35" s="690">
        <f>SUM(J41:J52)</f>
        <v>2734.8999999999996</v>
      </c>
      <c r="K35" s="708">
        <f>SUM(K41:K52)</f>
        <v>70968.100000000006</v>
      </c>
      <c r="L35" s="688"/>
    </row>
    <row r="36" spans="1:12" ht="12.75" hidden="1" customHeight="1">
      <c r="A36" s="707">
        <v>2001</v>
      </c>
      <c r="B36" s="708">
        <f>SUM(B56:B67)</f>
        <v>138892</v>
      </c>
      <c r="C36" s="690">
        <f>SUM(C56:C67)</f>
        <v>176715.9</v>
      </c>
      <c r="D36" s="691"/>
      <c r="E36" s="690">
        <f>SUM(E56:E67)</f>
        <v>-37823.900000000009</v>
      </c>
      <c r="F36" s="690">
        <f>SUM(F56:F67)</f>
        <v>36824.199999999997</v>
      </c>
      <c r="G36" s="690">
        <f>SUM(G56:G67)</f>
        <v>4769.2</v>
      </c>
      <c r="H36" s="690">
        <f>SUM(H56:H67)</f>
        <v>41593.399999999994</v>
      </c>
      <c r="I36" s="695"/>
      <c r="J36" s="690">
        <f>SUM(J56:J67)</f>
        <v>706.69999999999982</v>
      </c>
      <c r="K36" s="690">
        <f>SUM(K56:K67)</f>
        <v>37823.9</v>
      </c>
      <c r="L36" s="688"/>
    </row>
    <row r="37" spans="1:12" ht="12.75" hidden="1" customHeight="1">
      <c r="A37" s="707">
        <v>2002</v>
      </c>
      <c r="B37" s="708">
        <f>SUM(B71:B82)</f>
        <v>304984.09999999998</v>
      </c>
      <c r="C37" s="708">
        <f>SUM(C71:C82)</f>
        <v>363665.9</v>
      </c>
      <c r="D37" s="691"/>
      <c r="E37" s="708">
        <f>SUM(E71:E82)</f>
        <v>-58681.8</v>
      </c>
      <c r="F37" s="708">
        <f>SUM(F71:F82)</f>
        <v>49762.399999999994</v>
      </c>
      <c r="G37" s="708">
        <f>SUM(G71:G82)</f>
        <v>10402.200000000001</v>
      </c>
      <c r="H37" s="708">
        <f>SUM(H71:H82)</f>
        <v>60164.6</v>
      </c>
      <c r="I37" s="695"/>
      <c r="J37" s="708">
        <f>SUM(J71:J82)</f>
        <v>-1482.9999999999998</v>
      </c>
      <c r="K37" s="708">
        <f>SUM(K71:K82)</f>
        <v>58681.60000000002</v>
      </c>
      <c r="L37" s="688"/>
    </row>
    <row r="38" spans="1:12" ht="12.75" hidden="1" customHeight="1">
      <c r="A38" s="689"/>
      <c r="B38" s="709"/>
      <c r="C38" s="709"/>
      <c r="D38" s="691"/>
      <c r="E38" s="709"/>
      <c r="F38" s="709"/>
      <c r="G38" s="706"/>
      <c r="H38" s="709"/>
      <c r="I38" s="695"/>
      <c r="J38" s="709"/>
      <c r="K38" s="709"/>
      <c r="L38" s="688"/>
    </row>
    <row r="39" spans="1:12" ht="12.75" hidden="1" customHeight="1">
      <c r="A39" s="710">
        <v>2000</v>
      </c>
      <c r="B39" s="709"/>
      <c r="C39" s="709"/>
      <c r="D39" s="691"/>
      <c r="E39" s="709"/>
      <c r="F39" s="709"/>
      <c r="G39" s="709"/>
      <c r="H39" s="709"/>
      <c r="I39" s="695"/>
      <c r="J39" s="709"/>
      <c r="K39" s="709"/>
      <c r="L39" s="688"/>
    </row>
    <row r="40" spans="1:12" ht="12.75" hidden="1" customHeight="1">
      <c r="A40" s="710"/>
      <c r="B40" s="709"/>
      <c r="C40" s="709"/>
      <c r="D40" s="691"/>
      <c r="E40" s="709"/>
      <c r="F40" s="709"/>
      <c r="G40" s="709"/>
      <c r="H40" s="709"/>
      <c r="I40" s="695"/>
      <c r="J40" s="709"/>
      <c r="K40" s="709"/>
      <c r="L40" s="688"/>
    </row>
    <row r="41" spans="1:12" ht="12.75" hidden="1" customHeight="1">
      <c r="A41" s="708" t="s">
        <v>345</v>
      </c>
      <c r="B41" s="708">
        <f>4783+4.5</f>
        <v>4787.5</v>
      </c>
      <c r="C41" s="708">
        <v>11811.9</v>
      </c>
      <c r="D41" s="691"/>
      <c r="E41" s="708">
        <f t="shared" ref="E41:E52" si="0">B41-C41</f>
        <v>-7024.4</v>
      </c>
      <c r="F41" s="708">
        <v>8066.5</v>
      </c>
      <c r="G41" s="708">
        <v>-351.9</v>
      </c>
      <c r="H41" s="708">
        <f t="shared" ref="H41:H52" si="1">G41+F41</f>
        <v>7714.6</v>
      </c>
      <c r="I41" s="695"/>
      <c r="J41" s="708">
        <v>-690.2</v>
      </c>
      <c r="K41" s="708">
        <f t="shared" ref="K41:K52" si="2">J41+H41</f>
        <v>7024.4000000000005</v>
      </c>
      <c r="L41" s="688"/>
    </row>
    <row r="42" spans="1:12" ht="12.75" hidden="1" customHeight="1">
      <c r="A42" s="708" t="s">
        <v>334</v>
      </c>
      <c r="B42" s="708">
        <f>10797.5+4.5-4847.1</f>
        <v>5954.9</v>
      </c>
      <c r="C42" s="708">
        <f>21590.7-C41</f>
        <v>9778.8000000000011</v>
      </c>
      <c r="D42" s="691"/>
      <c r="E42" s="708">
        <f t="shared" si="0"/>
        <v>-3823.9000000000015</v>
      </c>
      <c r="F42" s="708">
        <f>12639.4-8066.5</f>
        <v>4572.8999999999996</v>
      </c>
      <c r="G42" s="708">
        <f>-866.9--351.9</f>
        <v>-515</v>
      </c>
      <c r="H42" s="708">
        <f t="shared" si="1"/>
        <v>4057.8999999999996</v>
      </c>
      <c r="I42" s="695"/>
      <c r="J42" s="708">
        <f>-983.8--690.2</f>
        <v>-293.59999999999991</v>
      </c>
      <c r="K42" s="708">
        <f t="shared" si="2"/>
        <v>3764.2999999999997</v>
      </c>
      <c r="L42" s="688"/>
    </row>
    <row r="43" spans="1:12" ht="12.75" hidden="1" customHeight="1">
      <c r="A43" s="708" t="s">
        <v>335</v>
      </c>
      <c r="B43" s="708">
        <f>19665.3+4.5-B42-B41</f>
        <v>8927.4</v>
      </c>
      <c r="C43" s="708">
        <f>33584.1-C42-C41</f>
        <v>11993.399999999996</v>
      </c>
      <c r="D43" s="691"/>
      <c r="E43" s="708">
        <f t="shared" si="0"/>
        <v>-3065.9999999999964</v>
      </c>
      <c r="F43" s="708">
        <f>16131-12639.4</f>
        <v>3491.6000000000004</v>
      </c>
      <c r="G43" s="708">
        <f>-1028.2--866.9</f>
        <v>-161.30000000000007</v>
      </c>
      <c r="H43" s="708">
        <f t="shared" si="1"/>
        <v>3330.3</v>
      </c>
      <c r="I43" s="695"/>
      <c r="J43" s="708">
        <f>-1188.5+983.8</f>
        <v>-204.70000000000005</v>
      </c>
      <c r="K43" s="708">
        <f t="shared" si="2"/>
        <v>3125.6000000000004</v>
      </c>
      <c r="L43" s="688"/>
    </row>
    <row r="44" spans="1:12" ht="12.75" hidden="1" customHeight="1">
      <c r="A44" s="708" t="s">
        <v>336</v>
      </c>
      <c r="B44" s="708">
        <f>25086-19665.3</f>
        <v>5420.7000000000007</v>
      </c>
      <c r="C44" s="708">
        <f>43389.8-33584.1</f>
        <v>9805.7000000000044</v>
      </c>
      <c r="D44" s="691"/>
      <c r="E44" s="708">
        <f t="shared" si="0"/>
        <v>-4385.0000000000036</v>
      </c>
      <c r="F44" s="708">
        <f>20673-16131</f>
        <v>4542</v>
      </c>
      <c r="G44" s="708">
        <f>-1122.4--1028.2</f>
        <v>-94.200000000000045</v>
      </c>
      <c r="H44" s="708">
        <f t="shared" si="1"/>
        <v>4447.8</v>
      </c>
      <c r="I44" s="695"/>
      <c r="J44" s="708">
        <f>-1251.3+1188.5</f>
        <v>-62.799999999999955</v>
      </c>
      <c r="K44" s="708">
        <f t="shared" si="2"/>
        <v>4385</v>
      </c>
      <c r="L44" s="688"/>
    </row>
    <row r="45" spans="1:12" ht="12.75" hidden="1" customHeight="1">
      <c r="A45" s="708" t="s">
        <v>337</v>
      </c>
      <c r="B45" s="708">
        <f>(31710.8-25086)+(190-4.5)</f>
        <v>6810.2999999999993</v>
      </c>
      <c r="C45" s="708">
        <f>56226-43389.8</f>
        <v>12836.199999999997</v>
      </c>
      <c r="D45" s="691"/>
      <c r="E45" s="708">
        <f t="shared" si="0"/>
        <v>-6025.8999999999978</v>
      </c>
      <c r="F45" s="708">
        <f>26734-20673</f>
        <v>6061</v>
      </c>
      <c r="G45" s="708">
        <f>-1116.2--1122.4</f>
        <v>6.2000000000000455</v>
      </c>
      <c r="H45" s="708">
        <f t="shared" si="1"/>
        <v>6067.2</v>
      </c>
      <c r="I45" s="695"/>
      <c r="J45" s="708">
        <f>-1292.6+1251.3</f>
        <v>-41.299999999999955</v>
      </c>
      <c r="K45" s="708">
        <f t="shared" si="2"/>
        <v>6025.9</v>
      </c>
      <c r="L45" s="688"/>
    </row>
    <row r="46" spans="1:12" ht="12.75" hidden="1" customHeight="1">
      <c r="A46" s="708" t="s">
        <v>338</v>
      </c>
      <c r="B46" s="708">
        <f>39009.5-31710.8</f>
        <v>7298.7000000000007</v>
      </c>
      <c r="C46" s="708">
        <f>64934.1-56226</f>
        <v>8708.0999999999985</v>
      </c>
      <c r="D46" s="691"/>
      <c r="E46" s="708">
        <f t="shared" si="0"/>
        <v>-1409.3999999999978</v>
      </c>
      <c r="F46" s="708">
        <f>28150.5-26734</f>
        <v>1416.5</v>
      </c>
      <c r="G46" s="708">
        <f>-1124.7+1116.2</f>
        <v>-8.5</v>
      </c>
      <c r="H46" s="708">
        <f t="shared" si="1"/>
        <v>1408</v>
      </c>
      <c r="I46" s="695"/>
      <c r="J46" s="708">
        <f>-1291.2+1292.6</f>
        <v>1.3999999999998636</v>
      </c>
      <c r="K46" s="708">
        <f t="shared" si="2"/>
        <v>1409.3999999999999</v>
      </c>
      <c r="L46" s="688"/>
    </row>
    <row r="47" spans="1:12" ht="12.75" hidden="1" customHeight="1">
      <c r="A47" s="708" t="s">
        <v>339</v>
      </c>
      <c r="B47" s="708">
        <f>46863.4-39009.5</f>
        <v>7853.9000000000015</v>
      </c>
      <c r="C47" s="708">
        <f>78291.2-64934.1</f>
        <v>13357.099999999999</v>
      </c>
      <c r="D47" s="691"/>
      <c r="E47" s="708">
        <f t="shared" si="0"/>
        <v>-5503.1999999999971</v>
      </c>
      <c r="F47" s="708">
        <f>33589.5-28150.5</f>
        <v>5439</v>
      </c>
      <c r="G47" s="708">
        <f>-1055.6+1124.7</f>
        <v>69.100000000000136</v>
      </c>
      <c r="H47" s="708">
        <f t="shared" si="1"/>
        <v>5508.1</v>
      </c>
      <c r="I47" s="695"/>
      <c r="J47" s="708">
        <f>-1296.1+1291.2</f>
        <v>-4.8999999999998636</v>
      </c>
      <c r="K47" s="708">
        <f t="shared" si="2"/>
        <v>5503.2000000000007</v>
      </c>
      <c r="L47" s="688"/>
    </row>
    <row r="48" spans="1:12" ht="12.75" hidden="1" customHeight="1">
      <c r="A48" s="708" t="s">
        <v>340</v>
      </c>
      <c r="B48" s="708">
        <f>53819+536.5-190-46863.4</f>
        <v>7302.0999999999985</v>
      </c>
      <c r="C48" s="708">
        <f>90630.8-78291.2</f>
        <v>12339.600000000006</v>
      </c>
      <c r="D48" s="691"/>
      <c r="E48" s="708">
        <f t="shared" si="0"/>
        <v>-5037.5000000000073</v>
      </c>
      <c r="F48" s="708">
        <f>38855.2-33589.5</f>
        <v>5265.6999999999971</v>
      </c>
      <c r="G48" s="708">
        <f>-1282.1+1055.6</f>
        <v>-226.5</v>
      </c>
      <c r="H48" s="708">
        <f t="shared" si="1"/>
        <v>5039.1999999999971</v>
      </c>
      <c r="I48" s="695"/>
      <c r="J48" s="708">
        <f>-1297.8+1296.1</f>
        <v>-1.7000000000000455</v>
      </c>
      <c r="K48" s="708">
        <f t="shared" si="2"/>
        <v>5037.4999999999973</v>
      </c>
      <c r="L48" s="688"/>
    </row>
    <row r="49" spans="1:256" ht="12.75" hidden="1" customHeight="1">
      <c r="A49" s="708" t="s">
        <v>341</v>
      </c>
      <c r="B49" s="708">
        <f>61065.1+664.2-536.5-53819</f>
        <v>7373.7999999999956</v>
      </c>
      <c r="C49" s="708">
        <f>100730.2-90630.8</f>
        <v>10099.399999999994</v>
      </c>
      <c r="D49" s="691"/>
      <c r="E49" s="708">
        <f t="shared" si="0"/>
        <v>-2725.5999999999985</v>
      </c>
      <c r="F49" s="708">
        <f>41850-38855.2</f>
        <v>2994.8000000000029</v>
      </c>
      <c r="G49" s="708">
        <f>-1438.8+1282.1</f>
        <v>-156.70000000000005</v>
      </c>
      <c r="H49" s="708">
        <f t="shared" si="1"/>
        <v>2838.1000000000031</v>
      </c>
      <c r="I49" s="695"/>
      <c r="J49" s="708">
        <f>-1410.3+1297.8</f>
        <v>-112.5</v>
      </c>
      <c r="K49" s="708">
        <f t="shared" si="2"/>
        <v>2725.6000000000031</v>
      </c>
      <c r="L49" s="688"/>
    </row>
    <row r="50" spans="1:256" ht="12.75" hidden="1" customHeight="1">
      <c r="A50" s="708" t="s">
        <v>342</v>
      </c>
      <c r="B50" s="708">
        <f>68278.4+664.2-664.2-61065.1</f>
        <v>7213.2999999999956</v>
      </c>
      <c r="C50" s="708">
        <f>115237.1-100730.2</f>
        <v>14506.900000000009</v>
      </c>
      <c r="D50" s="691"/>
      <c r="E50" s="708">
        <f t="shared" si="0"/>
        <v>-7293.6000000000131</v>
      </c>
      <c r="F50" s="708">
        <f>50000.9-41850</f>
        <v>8150.9000000000015</v>
      </c>
      <c r="G50" s="708">
        <f>-1368.9+1438.8</f>
        <v>69.899999999999864</v>
      </c>
      <c r="H50" s="708">
        <f t="shared" si="1"/>
        <v>8220.8000000000011</v>
      </c>
      <c r="I50" s="695"/>
      <c r="J50" s="708">
        <f>-2337.5+1410.3</f>
        <v>-927.2</v>
      </c>
      <c r="K50" s="708">
        <f t="shared" si="2"/>
        <v>7293.6000000000013</v>
      </c>
      <c r="L50" s="688"/>
    </row>
    <row r="51" spans="1:256" ht="12.75" hidden="1" customHeight="1">
      <c r="A51" s="708" t="s">
        <v>343</v>
      </c>
      <c r="B51" s="708">
        <f>76971+710.1-664.2-68278.4</f>
        <v>8738.5000000000146</v>
      </c>
      <c r="C51" s="708">
        <f>132861.1-115237.1</f>
        <v>17624</v>
      </c>
      <c r="D51" s="691"/>
      <c r="E51" s="708">
        <f t="shared" si="0"/>
        <v>-8885.4999999999854</v>
      </c>
      <c r="F51" s="708">
        <f>57897.6-50000.9</f>
        <v>7896.6999999999971</v>
      </c>
      <c r="G51" s="708">
        <f>-1354.6+1368.9</f>
        <v>14.300000000000182</v>
      </c>
      <c r="H51" s="708">
        <f t="shared" si="1"/>
        <v>7910.9999999999973</v>
      </c>
      <c r="I51" s="695"/>
      <c r="J51" s="708">
        <f>-1363+2337.5</f>
        <v>974.5</v>
      </c>
      <c r="K51" s="708">
        <f t="shared" si="2"/>
        <v>8885.4999999999964</v>
      </c>
      <c r="L51" s="688"/>
    </row>
    <row r="52" spans="1:256" ht="12.75" hidden="1" customHeight="1">
      <c r="A52" s="708" t="s">
        <v>344</v>
      </c>
      <c r="B52" s="690">
        <f>87825+3516.6-710.1-76971</f>
        <v>13660.5</v>
      </c>
      <c r="C52" s="690">
        <f>162309.7-132861.1</f>
        <v>29448.600000000006</v>
      </c>
      <c r="D52" s="691"/>
      <c r="E52" s="708">
        <f t="shared" si="0"/>
        <v>-15788.100000000006</v>
      </c>
      <c r="F52" s="690">
        <f>69917.1-57897.6</f>
        <v>12019.500000000007</v>
      </c>
      <c r="G52" s="690">
        <f>-1683.9+1354.6</f>
        <v>-329.30000000000018</v>
      </c>
      <c r="H52" s="708">
        <f t="shared" si="1"/>
        <v>11690.200000000008</v>
      </c>
      <c r="I52" s="695"/>
      <c r="J52" s="690">
        <f>2734.9+1363</f>
        <v>4097.8999999999996</v>
      </c>
      <c r="K52" s="708">
        <f t="shared" si="2"/>
        <v>15788.100000000008</v>
      </c>
      <c r="L52" s="693"/>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1"/>
      <c r="AJ52" s="711"/>
      <c r="AK52" s="711"/>
      <c r="AL52" s="711"/>
      <c r="AM52" s="711"/>
      <c r="AN52" s="711"/>
      <c r="AO52" s="711"/>
      <c r="AP52" s="711"/>
      <c r="AQ52" s="711"/>
      <c r="AR52" s="711"/>
      <c r="AS52" s="711"/>
      <c r="AT52" s="711"/>
      <c r="AU52" s="711"/>
      <c r="AV52" s="711"/>
      <c r="AW52" s="711"/>
      <c r="AX52" s="711"/>
      <c r="AY52" s="711"/>
      <c r="AZ52" s="711"/>
      <c r="BA52" s="711"/>
      <c r="BB52" s="711"/>
      <c r="BC52" s="711"/>
      <c r="BD52" s="711"/>
      <c r="BE52" s="711"/>
      <c r="BF52" s="711"/>
      <c r="BG52" s="711"/>
      <c r="BH52" s="711"/>
      <c r="BI52" s="711"/>
      <c r="BJ52" s="711"/>
      <c r="BK52" s="711"/>
      <c r="BL52" s="711"/>
      <c r="BM52" s="711"/>
      <c r="BN52" s="711"/>
      <c r="BO52" s="711"/>
      <c r="BP52" s="711"/>
      <c r="BQ52" s="711"/>
      <c r="BR52" s="711"/>
      <c r="BS52" s="711"/>
      <c r="BT52" s="711"/>
      <c r="BU52" s="711"/>
      <c r="BV52" s="711"/>
      <c r="BW52" s="711"/>
      <c r="BX52" s="711"/>
      <c r="BY52" s="711"/>
      <c r="BZ52" s="711"/>
      <c r="CA52" s="711"/>
      <c r="CB52" s="711"/>
      <c r="CC52" s="711"/>
      <c r="CD52" s="711"/>
      <c r="CE52" s="711"/>
      <c r="CF52" s="711"/>
      <c r="CG52" s="711"/>
      <c r="CH52" s="711"/>
      <c r="CI52" s="711"/>
      <c r="CJ52" s="711"/>
      <c r="CK52" s="711"/>
      <c r="CL52" s="711"/>
      <c r="CM52" s="711"/>
      <c r="CN52" s="711"/>
      <c r="CO52" s="711"/>
      <c r="CP52" s="711"/>
      <c r="CQ52" s="711"/>
      <c r="CR52" s="711"/>
      <c r="CS52" s="711"/>
      <c r="CT52" s="711"/>
      <c r="CU52" s="711"/>
      <c r="CV52" s="711"/>
      <c r="CW52" s="711"/>
      <c r="CX52" s="711"/>
      <c r="CY52" s="711"/>
      <c r="CZ52" s="711"/>
      <c r="DA52" s="711"/>
      <c r="DB52" s="711"/>
      <c r="DC52" s="711"/>
      <c r="DD52" s="711"/>
      <c r="DE52" s="711"/>
      <c r="DF52" s="711"/>
      <c r="DG52" s="711"/>
      <c r="DH52" s="711"/>
      <c r="DI52" s="711"/>
      <c r="DJ52" s="711"/>
      <c r="DK52" s="711"/>
      <c r="DL52" s="711"/>
      <c r="DM52" s="711"/>
      <c r="DN52" s="711"/>
      <c r="DO52" s="711"/>
      <c r="DP52" s="711"/>
      <c r="DQ52" s="711"/>
      <c r="DR52" s="711"/>
      <c r="DS52" s="711"/>
      <c r="DT52" s="711"/>
      <c r="DU52" s="711"/>
      <c r="DV52" s="711"/>
      <c r="DW52" s="711"/>
      <c r="DX52" s="711"/>
      <c r="DY52" s="711"/>
      <c r="DZ52" s="711"/>
      <c r="EA52" s="711"/>
      <c r="EB52" s="711"/>
      <c r="EC52" s="711"/>
      <c r="ED52" s="711"/>
      <c r="EE52" s="711"/>
      <c r="EF52" s="711"/>
      <c r="EG52" s="711"/>
      <c r="EH52" s="711"/>
      <c r="EI52" s="711"/>
      <c r="EJ52" s="711"/>
      <c r="EK52" s="711"/>
      <c r="EL52" s="711"/>
      <c r="EM52" s="711"/>
      <c r="EN52" s="711"/>
      <c r="EO52" s="711"/>
      <c r="EP52" s="711"/>
      <c r="EQ52" s="711"/>
      <c r="ER52" s="711"/>
      <c r="ES52" s="711"/>
      <c r="ET52" s="711"/>
      <c r="EU52" s="711"/>
      <c r="EV52" s="711"/>
      <c r="EW52" s="711"/>
      <c r="EX52" s="711"/>
      <c r="EY52" s="711"/>
      <c r="EZ52" s="711"/>
      <c r="FA52" s="711"/>
      <c r="FB52" s="711"/>
      <c r="FC52" s="711"/>
      <c r="FD52" s="711"/>
      <c r="FE52" s="711"/>
      <c r="FF52" s="711"/>
      <c r="FG52" s="711"/>
      <c r="FH52" s="711"/>
      <c r="FI52" s="711"/>
      <c r="FJ52" s="711"/>
      <c r="FK52" s="711"/>
      <c r="FL52" s="711"/>
      <c r="FM52" s="711"/>
      <c r="FN52" s="711"/>
      <c r="FO52" s="711"/>
      <c r="FP52" s="711"/>
      <c r="FQ52" s="711"/>
      <c r="FR52" s="711"/>
      <c r="FS52" s="711"/>
      <c r="FT52" s="711"/>
      <c r="FU52" s="711"/>
      <c r="FV52" s="711"/>
      <c r="FW52" s="711"/>
      <c r="FX52" s="711"/>
      <c r="FY52" s="711"/>
      <c r="FZ52" s="711"/>
      <c r="GA52" s="711"/>
      <c r="GB52" s="711"/>
      <c r="GC52" s="711"/>
      <c r="GD52" s="711"/>
      <c r="GE52" s="711"/>
      <c r="GF52" s="711"/>
      <c r="GG52" s="711"/>
      <c r="GH52" s="711"/>
      <c r="GI52" s="711"/>
      <c r="GJ52" s="711"/>
      <c r="GK52" s="711"/>
      <c r="GL52" s="711"/>
      <c r="GM52" s="711"/>
      <c r="GN52" s="711"/>
      <c r="GO52" s="711"/>
      <c r="GP52" s="711"/>
      <c r="GQ52" s="711"/>
      <c r="GR52" s="711"/>
      <c r="GS52" s="711"/>
      <c r="GT52" s="711"/>
      <c r="GU52" s="711"/>
      <c r="GV52" s="711"/>
      <c r="GW52" s="711"/>
      <c r="GX52" s="711"/>
      <c r="GY52" s="711"/>
      <c r="GZ52" s="711"/>
      <c r="HA52" s="711"/>
      <c r="HB52" s="711"/>
      <c r="HC52" s="711"/>
      <c r="HD52" s="711"/>
      <c r="HE52" s="711"/>
      <c r="HF52" s="711"/>
      <c r="HG52" s="711"/>
      <c r="HH52" s="711"/>
      <c r="HI52" s="711"/>
      <c r="HJ52" s="711"/>
      <c r="HK52" s="711"/>
      <c r="HL52" s="711"/>
      <c r="HM52" s="711"/>
      <c r="HN52" s="711"/>
      <c r="HO52" s="711"/>
      <c r="HP52" s="711"/>
      <c r="HQ52" s="711"/>
      <c r="HR52" s="711"/>
      <c r="HS52" s="711"/>
      <c r="HT52" s="711"/>
      <c r="HU52" s="711"/>
      <c r="HV52" s="711"/>
      <c r="HW52" s="711"/>
      <c r="HX52" s="711"/>
      <c r="HY52" s="711"/>
      <c r="HZ52" s="711"/>
      <c r="IA52" s="711"/>
      <c r="IB52" s="711"/>
      <c r="IC52" s="711"/>
      <c r="ID52" s="711"/>
      <c r="IE52" s="711"/>
      <c r="IF52" s="711"/>
      <c r="IG52" s="711"/>
      <c r="IH52" s="711"/>
      <c r="II52" s="711"/>
      <c r="IJ52" s="711"/>
      <c r="IK52" s="711"/>
      <c r="IL52" s="711"/>
      <c r="IM52" s="711"/>
      <c r="IN52" s="711"/>
      <c r="IO52" s="711"/>
      <c r="IP52" s="711"/>
      <c r="IQ52" s="711"/>
      <c r="IR52" s="711"/>
      <c r="IS52" s="711"/>
      <c r="IT52" s="711"/>
      <c r="IU52" s="711"/>
      <c r="IV52" s="711"/>
    </row>
    <row r="53" spans="1:256" ht="12.75" hidden="1" customHeight="1">
      <c r="A53" s="689"/>
      <c r="B53" s="690"/>
      <c r="C53" s="690"/>
      <c r="D53" s="691"/>
      <c r="E53" s="708"/>
      <c r="F53" s="690"/>
      <c r="G53" s="690"/>
      <c r="H53" s="708"/>
      <c r="I53" s="695"/>
      <c r="J53" s="690"/>
      <c r="K53" s="708"/>
      <c r="L53" s="693"/>
      <c r="M53" s="711"/>
      <c r="N53" s="711"/>
      <c r="O53" s="711"/>
      <c r="P53" s="711"/>
      <c r="Q53" s="711"/>
      <c r="R53" s="711"/>
      <c r="S53" s="711"/>
      <c r="T53" s="711"/>
      <c r="U53" s="711"/>
      <c r="V53" s="711"/>
      <c r="W53" s="711"/>
      <c r="X53" s="711"/>
      <c r="Y53" s="711"/>
      <c r="Z53" s="711"/>
      <c r="AA53" s="711"/>
      <c r="AB53" s="711"/>
      <c r="AC53" s="711"/>
      <c r="AD53" s="711"/>
      <c r="AE53" s="711"/>
      <c r="AF53" s="711"/>
      <c r="AG53" s="711"/>
      <c r="AH53" s="711"/>
      <c r="AI53" s="711"/>
      <c r="AJ53" s="711"/>
      <c r="AK53" s="711"/>
      <c r="AL53" s="711"/>
      <c r="AM53" s="711"/>
      <c r="AN53" s="711"/>
      <c r="AO53" s="711"/>
      <c r="AP53" s="711"/>
      <c r="AQ53" s="711"/>
      <c r="AR53" s="711"/>
      <c r="AS53" s="711"/>
      <c r="AT53" s="711"/>
      <c r="AU53" s="711"/>
      <c r="AV53" s="711"/>
      <c r="AW53" s="711"/>
      <c r="AX53" s="711"/>
      <c r="AY53" s="711"/>
      <c r="AZ53" s="711"/>
      <c r="BA53" s="711"/>
      <c r="BB53" s="711"/>
      <c r="BC53" s="711"/>
      <c r="BD53" s="711"/>
      <c r="BE53" s="711"/>
      <c r="BF53" s="711"/>
      <c r="BG53" s="711"/>
      <c r="BH53" s="711"/>
      <c r="BI53" s="711"/>
      <c r="BJ53" s="711"/>
      <c r="BK53" s="711"/>
      <c r="BL53" s="711"/>
      <c r="BM53" s="711"/>
      <c r="BN53" s="711"/>
      <c r="BO53" s="711"/>
      <c r="BP53" s="711"/>
      <c r="BQ53" s="711"/>
      <c r="BR53" s="711"/>
      <c r="BS53" s="711"/>
      <c r="BT53" s="711"/>
      <c r="BU53" s="711"/>
      <c r="BV53" s="711"/>
      <c r="BW53" s="711"/>
      <c r="BX53" s="711"/>
      <c r="BY53" s="711"/>
      <c r="BZ53" s="711"/>
      <c r="CA53" s="711"/>
      <c r="CB53" s="711"/>
      <c r="CC53" s="711"/>
      <c r="CD53" s="711"/>
      <c r="CE53" s="711"/>
      <c r="CF53" s="711"/>
      <c r="CG53" s="711"/>
      <c r="CH53" s="711"/>
      <c r="CI53" s="711"/>
      <c r="CJ53" s="711"/>
      <c r="CK53" s="711"/>
      <c r="CL53" s="711"/>
      <c r="CM53" s="711"/>
      <c r="CN53" s="711"/>
      <c r="CO53" s="711"/>
      <c r="CP53" s="711"/>
      <c r="CQ53" s="711"/>
      <c r="CR53" s="711"/>
      <c r="CS53" s="711"/>
      <c r="CT53" s="711"/>
      <c r="CU53" s="711"/>
      <c r="CV53" s="711"/>
      <c r="CW53" s="711"/>
      <c r="CX53" s="711"/>
      <c r="CY53" s="711"/>
      <c r="CZ53" s="711"/>
      <c r="DA53" s="711"/>
      <c r="DB53" s="711"/>
      <c r="DC53" s="711"/>
      <c r="DD53" s="711"/>
      <c r="DE53" s="711"/>
      <c r="DF53" s="711"/>
      <c r="DG53" s="711"/>
      <c r="DH53" s="711"/>
      <c r="DI53" s="711"/>
      <c r="DJ53" s="711"/>
      <c r="DK53" s="711"/>
      <c r="DL53" s="711"/>
      <c r="DM53" s="711"/>
      <c r="DN53" s="711"/>
      <c r="DO53" s="711"/>
      <c r="DP53" s="711"/>
      <c r="DQ53" s="711"/>
      <c r="DR53" s="711"/>
      <c r="DS53" s="711"/>
      <c r="DT53" s="711"/>
      <c r="DU53" s="711"/>
      <c r="DV53" s="711"/>
      <c r="DW53" s="711"/>
      <c r="DX53" s="711"/>
      <c r="DY53" s="711"/>
      <c r="DZ53" s="711"/>
      <c r="EA53" s="711"/>
      <c r="EB53" s="711"/>
      <c r="EC53" s="711"/>
      <c r="ED53" s="711"/>
      <c r="EE53" s="711"/>
      <c r="EF53" s="711"/>
      <c r="EG53" s="711"/>
      <c r="EH53" s="711"/>
      <c r="EI53" s="711"/>
      <c r="EJ53" s="711"/>
      <c r="EK53" s="711"/>
      <c r="EL53" s="711"/>
      <c r="EM53" s="711"/>
      <c r="EN53" s="711"/>
      <c r="EO53" s="711"/>
      <c r="EP53" s="711"/>
      <c r="EQ53" s="711"/>
      <c r="ER53" s="711"/>
      <c r="ES53" s="711"/>
      <c r="ET53" s="711"/>
      <c r="EU53" s="711"/>
      <c r="EV53" s="711"/>
      <c r="EW53" s="711"/>
      <c r="EX53" s="711"/>
      <c r="EY53" s="711"/>
      <c r="EZ53" s="711"/>
      <c r="FA53" s="711"/>
      <c r="FB53" s="711"/>
      <c r="FC53" s="711"/>
      <c r="FD53" s="711"/>
      <c r="FE53" s="711"/>
      <c r="FF53" s="711"/>
      <c r="FG53" s="711"/>
      <c r="FH53" s="711"/>
      <c r="FI53" s="711"/>
      <c r="FJ53" s="711"/>
      <c r="FK53" s="711"/>
      <c r="FL53" s="711"/>
      <c r="FM53" s="711"/>
      <c r="FN53" s="711"/>
      <c r="FO53" s="711"/>
      <c r="FP53" s="711"/>
      <c r="FQ53" s="711"/>
      <c r="FR53" s="711"/>
      <c r="FS53" s="711"/>
      <c r="FT53" s="711"/>
      <c r="FU53" s="711"/>
      <c r="FV53" s="711"/>
      <c r="FW53" s="711"/>
      <c r="FX53" s="711"/>
      <c r="FY53" s="711"/>
      <c r="FZ53" s="711"/>
      <c r="GA53" s="711"/>
      <c r="GB53" s="711"/>
      <c r="GC53" s="711"/>
      <c r="GD53" s="711"/>
      <c r="GE53" s="711"/>
      <c r="GF53" s="711"/>
      <c r="GG53" s="711"/>
      <c r="GH53" s="711"/>
      <c r="GI53" s="711"/>
      <c r="GJ53" s="711"/>
      <c r="GK53" s="711"/>
      <c r="GL53" s="711"/>
      <c r="GM53" s="711"/>
      <c r="GN53" s="711"/>
      <c r="GO53" s="711"/>
      <c r="GP53" s="711"/>
      <c r="GQ53" s="711"/>
      <c r="GR53" s="711"/>
      <c r="GS53" s="711"/>
      <c r="GT53" s="711"/>
      <c r="GU53" s="711"/>
      <c r="GV53" s="711"/>
      <c r="GW53" s="711"/>
      <c r="GX53" s="711"/>
      <c r="GY53" s="711"/>
      <c r="GZ53" s="711"/>
      <c r="HA53" s="711"/>
      <c r="HB53" s="711"/>
      <c r="HC53" s="711"/>
      <c r="HD53" s="711"/>
      <c r="HE53" s="711"/>
      <c r="HF53" s="711"/>
      <c r="HG53" s="711"/>
      <c r="HH53" s="711"/>
      <c r="HI53" s="711"/>
      <c r="HJ53" s="711"/>
      <c r="HK53" s="711"/>
      <c r="HL53" s="711"/>
      <c r="HM53" s="711"/>
      <c r="HN53" s="711"/>
      <c r="HO53" s="711"/>
      <c r="HP53" s="711"/>
      <c r="HQ53" s="711"/>
      <c r="HR53" s="711"/>
      <c r="HS53" s="711"/>
      <c r="HT53" s="711"/>
      <c r="HU53" s="711"/>
      <c r="HV53" s="711"/>
      <c r="HW53" s="711"/>
      <c r="HX53" s="711"/>
      <c r="HY53" s="711"/>
      <c r="HZ53" s="711"/>
      <c r="IA53" s="711"/>
      <c r="IB53" s="711"/>
      <c r="IC53" s="711"/>
      <c r="ID53" s="711"/>
      <c r="IE53" s="711"/>
      <c r="IF53" s="711"/>
      <c r="IG53" s="711"/>
      <c r="IH53" s="711"/>
      <c r="II53" s="711"/>
      <c r="IJ53" s="711"/>
      <c r="IK53" s="711"/>
      <c r="IL53" s="711"/>
      <c r="IM53" s="711"/>
      <c r="IN53" s="711"/>
      <c r="IO53" s="711"/>
      <c r="IP53" s="711"/>
      <c r="IQ53" s="711"/>
      <c r="IR53" s="711"/>
      <c r="IS53" s="711"/>
      <c r="IT53" s="711"/>
      <c r="IU53" s="711"/>
      <c r="IV53" s="711"/>
    </row>
    <row r="54" spans="1:256" ht="12.75" hidden="1" customHeight="1">
      <c r="A54" s="710">
        <v>2001</v>
      </c>
      <c r="B54" s="690"/>
      <c r="C54" s="690"/>
      <c r="D54" s="691"/>
      <c r="E54" s="708"/>
      <c r="F54" s="690"/>
      <c r="G54" s="690"/>
      <c r="H54" s="708"/>
      <c r="I54" s="695"/>
      <c r="J54" s="690"/>
      <c r="K54" s="708"/>
      <c r="L54" s="693"/>
      <c r="M54" s="711"/>
      <c r="N54" s="711"/>
      <c r="O54" s="711"/>
      <c r="P54" s="711"/>
      <c r="Q54" s="711"/>
      <c r="R54" s="711"/>
      <c r="S54" s="711"/>
      <c r="T54" s="711"/>
      <c r="U54" s="711"/>
      <c r="V54" s="711"/>
      <c r="W54" s="711"/>
      <c r="X54" s="711"/>
      <c r="Y54" s="711"/>
      <c r="Z54" s="711"/>
      <c r="AA54" s="711"/>
      <c r="AB54" s="711"/>
      <c r="AC54" s="711"/>
      <c r="AD54" s="711"/>
      <c r="AE54" s="711"/>
      <c r="AF54" s="711"/>
      <c r="AG54" s="711"/>
      <c r="AH54" s="711"/>
      <c r="AI54" s="711"/>
      <c r="AJ54" s="711"/>
      <c r="AK54" s="711"/>
      <c r="AL54" s="711"/>
      <c r="AM54" s="711"/>
      <c r="AN54" s="711"/>
      <c r="AO54" s="711"/>
      <c r="AP54" s="711"/>
      <c r="AQ54" s="711"/>
      <c r="AR54" s="711"/>
      <c r="AS54" s="711"/>
      <c r="AT54" s="711"/>
      <c r="AU54" s="711"/>
      <c r="AV54" s="711"/>
      <c r="AW54" s="711"/>
      <c r="AX54" s="711"/>
      <c r="AY54" s="711"/>
      <c r="AZ54" s="711"/>
      <c r="BA54" s="711"/>
      <c r="BB54" s="711"/>
      <c r="BC54" s="711"/>
      <c r="BD54" s="711"/>
      <c r="BE54" s="711"/>
      <c r="BF54" s="711"/>
      <c r="BG54" s="711"/>
      <c r="BH54" s="711"/>
      <c r="BI54" s="711"/>
      <c r="BJ54" s="711"/>
      <c r="BK54" s="711"/>
      <c r="BL54" s="711"/>
      <c r="BM54" s="711"/>
      <c r="BN54" s="711"/>
      <c r="BO54" s="711"/>
      <c r="BP54" s="711"/>
      <c r="BQ54" s="711"/>
      <c r="BR54" s="711"/>
      <c r="BS54" s="711"/>
      <c r="BT54" s="711"/>
      <c r="BU54" s="711"/>
      <c r="BV54" s="711"/>
      <c r="BW54" s="711"/>
      <c r="BX54" s="711"/>
      <c r="BY54" s="711"/>
      <c r="BZ54" s="711"/>
      <c r="CA54" s="711"/>
      <c r="CB54" s="711"/>
      <c r="CC54" s="711"/>
      <c r="CD54" s="711"/>
      <c r="CE54" s="711"/>
      <c r="CF54" s="711"/>
      <c r="CG54" s="711"/>
      <c r="CH54" s="711"/>
      <c r="CI54" s="711"/>
      <c r="CJ54" s="711"/>
      <c r="CK54" s="711"/>
      <c r="CL54" s="711"/>
      <c r="CM54" s="711"/>
      <c r="CN54" s="711"/>
      <c r="CO54" s="711"/>
      <c r="CP54" s="711"/>
      <c r="CQ54" s="711"/>
      <c r="CR54" s="711"/>
      <c r="CS54" s="711"/>
      <c r="CT54" s="711"/>
      <c r="CU54" s="711"/>
      <c r="CV54" s="711"/>
      <c r="CW54" s="711"/>
      <c r="CX54" s="711"/>
      <c r="CY54" s="711"/>
      <c r="CZ54" s="711"/>
      <c r="DA54" s="711"/>
      <c r="DB54" s="711"/>
      <c r="DC54" s="711"/>
      <c r="DD54" s="711"/>
      <c r="DE54" s="711"/>
      <c r="DF54" s="711"/>
      <c r="DG54" s="711"/>
      <c r="DH54" s="711"/>
      <c r="DI54" s="711"/>
      <c r="DJ54" s="711"/>
      <c r="DK54" s="711"/>
      <c r="DL54" s="711"/>
      <c r="DM54" s="711"/>
      <c r="DN54" s="711"/>
      <c r="DO54" s="711"/>
      <c r="DP54" s="711"/>
      <c r="DQ54" s="711"/>
      <c r="DR54" s="711"/>
      <c r="DS54" s="711"/>
      <c r="DT54" s="711"/>
      <c r="DU54" s="711"/>
      <c r="DV54" s="711"/>
      <c r="DW54" s="711"/>
      <c r="DX54" s="711"/>
      <c r="DY54" s="711"/>
      <c r="DZ54" s="711"/>
      <c r="EA54" s="711"/>
      <c r="EB54" s="711"/>
      <c r="EC54" s="711"/>
      <c r="ED54" s="711"/>
      <c r="EE54" s="711"/>
      <c r="EF54" s="711"/>
      <c r="EG54" s="711"/>
      <c r="EH54" s="711"/>
      <c r="EI54" s="711"/>
      <c r="EJ54" s="711"/>
      <c r="EK54" s="711"/>
      <c r="EL54" s="711"/>
      <c r="EM54" s="711"/>
      <c r="EN54" s="711"/>
      <c r="EO54" s="711"/>
      <c r="EP54" s="711"/>
      <c r="EQ54" s="711"/>
      <c r="ER54" s="711"/>
      <c r="ES54" s="711"/>
      <c r="ET54" s="711"/>
      <c r="EU54" s="711"/>
      <c r="EV54" s="711"/>
      <c r="EW54" s="711"/>
      <c r="EX54" s="711"/>
      <c r="EY54" s="711"/>
      <c r="EZ54" s="711"/>
      <c r="FA54" s="711"/>
      <c r="FB54" s="711"/>
      <c r="FC54" s="711"/>
      <c r="FD54" s="711"/>
      <c r="FE54" s="711"/>
      <c r="FF54" s="711"/>
      <c r="FG54" s="711"/>
      <c r="FH54" s="711"/>
      <c r="FI54" s="711"/>
      <c r="FJ54" s="711"/>
      <c r="FK54" s="711"/>
      <c r="FL54" s="711"/>
      <c r="FM54" s="711"/>
      <c r="FN54" s="711"/>
      <c r="FO54" s="711"/>
      <c r="FP54" s="711"/>
      <c r="FQ54" s="711"/>
      <c r="FR54" s="711"/>
      <c r="FS54" s="711"/>
      <c r="FT54" s="711"/>
      <c r="FU54" s="711"/>
      <c r="FV54" s="711"/>
      <c r="FW54" s="711"/>
      <c r="FX54" s="711"/>
      <c r="FY54" s="711"/>
      <c r="FZ54" s="711"/>
      <c r="GA54" s="711"/>
      <c r="GB54" s="711"/>
      <c r="GC54" s="711"/>
      <c r="GD54" s="711"/>
      <c r="GE54" s="711"/>
      <c r="GF54" s="711"/>
      <c r="GG54" s="711"/>
      <c r="GH54" s="711"/>
      <c r="GI54" s="711"/>
      <c r="GJ54" s="711"/>
      <c r="GK54" s="711"/>
      <c r="GL54" s="711"/>
      <c r="GM54" s="711"/>
      <c r="GN54" s="711"/>
      <c r="GO54" s="711"/>
      <c r="GP54" s="711"/>
      <c r="GQ54" s="711"/>
      <c r="GR54" s="711"/>
      <c r="GS54" s="711"/>
      <c r="GT54" s="711"/>
      <c r="GU54" s="711"/>
      <c r="GV54" s="711"/>
      <c r="GW54" s="711"/>
      <c r="GX54" s="711"/>
      <c r="GY54" s="711"/>
      <c r="GZ54" s="711"/>
      <c r="HA54" s="711"/>
      <c r="HB54" s="711"/>
      <c r="HC54" s="711"/>
      <c r="HD54" s="711"/>
      <c r="HE54" s="711"/>
      <c r="HF54" s="711"/>
      <c r="HG54" s="711"/>
      <c r="HH54" s="711"/>
      <c r="HI54" s="711"/>
      <c r="HJ54" s="711"/>
      <c r="HK54" s="711"/>
      <c r="HL54" s="711"/>
      <c r="HM54" s="711"/>
      <c r="HN54" s="711"/>
      <c r="HO54" s="711"/>
      <c r="HP54" s="711"/>
      <c r="HQ54" s="711"/>
      <c r="HR54" s="711"/>
      <c r="HS54" s="711"/>
      <c r="HT54" s="711"/>
      <c r="HU54" s="711"/>
      <c r="HV54" s="711"/>
      <c r="HW54" s="711"/>
      <c r="HX54" s="711"/>
      <c r="HY54" s="711"/>
      <c r="HZ54" s="711"/>
      <c r="IA54" s="711"/>
      <c r="IB54" s="711"/>
      <c r="IC54" s="711"/>
      <c r="ID54" s="711"/>
      <c r="IE54" s="711"/>
      <c r="IF54" s="711"/>
      <c r="IG54" s="711"/>
      <c r="IH54" s="711"/>
      <c r="II54" s="711"/>
      <c r="IJ54" s="711"/>
      <c r="IK54" s="711"/>
      <c r="IL54" s="711"/>
      <c r="IM54" s="711"/>
      <c r="IN54" s="711"/>
      <c r="IO54" s="711"/>
      <c r="IP54" s="711"/>
      <c r="IQ54" s="711"/>
      <c r="IR54" s="711"/>
      <c r="IS54" s="711"/>
      <c r="IT54" s="711"/>
      <c r="IU54" s="711"/>
      <c r="IV54" s="711"/>
    </row>
    <row r="55" spans="1:256" ht="12.75" hidden="1" customHeight="1">
      <c r="A55" s="710"/>
      <c r="B55" s="690"/>
      <c r="C55" s="690"/>
      <c r="D55" s="691"/>
      <c r="E55" s="708"/>
      <c r="F55" s="690"/>
      <c r="G55" s="690"/>
      <c r="H55" s="708"/>
      <c r="I55" s="695"/>
      <c r="J55" s="690"/>
      <c r="K55" s="708"/>
      <c r="L55" s="693"/>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1"/>
      <c r="AJ55" s="711"/>
      <c r="AK55" s="711"/>
      <c r="AL55" s="711"/>
      <c r="AM55" s="711"/>
      <c r="AN55" s="711"/>
      <c r="AO55" s="711"/>
      <c r="AP55" s="711"/>
      <c r="AQ55" s="711"/>
      <c r="AR55" s="711"/>
      <c r="AS55" s="711"/>
      <c r="AT55" s="711"/>
      <c r="AU55" s="711"/>
      <c r="AV55" s="711"/>
      <c r="AW55" s="711"/>
      <c r="AX55" s="711"/>
      <c r="AY55" s="711"/>
      <c r="AZ55" s="711"/>
      <c r="BA55" s="711"/>
      <c r="BB55" s="711"/>
      <c r="BC55" s="711"/>
      <c r="BD55" s="711"/>
      <c r="BE55" s="711"/>
      <c r="BF55" s="711"/>
      <c r="BG55" s="711"/>
      <c r="BH55" s="711"/>
      <c r="BI55" s="711"/>
      <c r="BJ55" s="711"/>
      <c r="BK55" s="711"/>
      <c r="BL55" s="711"/>
      <c r="BM55" s="711"/>
      <c r="BN55" s="711"/>
      <c r="BO55" s="711"/>
      <c r="BP55" s="711"/>
      <c r="BQ55" s="711"/>
      <c r="BR55" s="711"/>
      <c r="BS55" s="711"/>
      <c r="BT55" s="711"/>
      <c r="BU55" s="711"/>
      <c r="BV55" s="711"/>
      <c r="BW55" s="711"/>
      <c r="BX55" s="711"/>
      <c r="BY55" s="711"/>
      <c r="BZ55" s="711"/>
      <c r="CA55" s="711"/>
      <c r="CB55" s="711"/>
      <c r="CC55" s="711"/>
      <c r="CD55" s="711"/>
      <c r="CE55" s="711"/>
      <c r="CF55" s="711"/>
      <c r="CG55" s="711"/>
      <c r="CH55" s="711"/>
      <c r="CI55" s="711"/>
      <c r="CJ55" s="711"/>
      <c r="CK55" s="711"/>
      <c r="CL55" s="711"/>
      <c r="CM55" s="711"/>
      <c r="CN55" s="711"/>
      <c r="CO55" s="711"/>
      <c r="CP55" s="711"/>
      <c r="CQ55" s="711"/>
      <c r="CR55" s="711"/>
      <c r="CS55" s="711"/>
      <c r="CT55" s="711"/>
      <c r="CU55" s="711"/>
      <c r="CV55" s="711"/>
      <c r="CW55" s="711"/>
      <c r="CX55" s="711"/>
      <c r="CY55" s="711"/>
      <c r="CZ55" s="711"/>
      <c r="DA55" s="711"/>
      <c r="DB55" s="711"/>
      <c r="DC55" s="711"/>
      <c r="DD55" s="711"/>
      <c r="DE55" s="711"/>
      <c r="DF55" s="711"/>
      <c r="DG55" s="711"/>
      <c r="DH55" s="711"/>
      <c r="DI55" s="711"/>
      <c r="DJ55" s="711"/>
      <c r="DK55" s="711"/>
      <c r="DL55" s="711"/>
      <c r="DM55" s="711"/>
      <c r="DN55" s="711"/>
      <c r="DO55" s="711"/>
      <c r="DP55" s="711"/>
      <c r="DQ55" s="711"/>
      <c r="DR55" s="711"/>
      <c r="DS55" s="711"/>
      <c r="DT55" s="711"/>
      <c r="DU55" s="711"/>
      <c r="DV55" s="711"/>
      <c r="DW55" s="711"/>
      <c r="DX55" s="711"/>
      <c r="DY55" s="711"/>
      <c r="DZ55" s="711"/>
      <c r="EA55" s="711"/>
      <c r="EB55" s="711"/>
      <c r="EC55" s="711"/>
      <c r="ED55" s="711"/>
      <c r="EE55" s="711"/>
      <c r="EF55" s="711"/>
      <c r="EG55" s="711"/>
      <c r="EH55" s="711"/>
      <c r="EI55" s="711"/>
      <c r="EJ55" s="711"/>
      <c r="EK55" s="711"/>
      <c r="EL55" s="711"/>
      <c r="EM55" s="711"/>
      <c r="EN55" s="711"/>
      <c r="EO55" s="711"/>
      <c r="EP55" s="711"/>
      <c r="EQ55" s="711"/>
      <c r="ER55" s="711"/>
      <c r="ES55" s="711"/>
      <c r="ET55" s="711"/>
      <c r="EU55" s="711"/>
      <c r="EV55" s="711"/>
      <c r="EW55" s="711"/>
      <c r="EX55" s="711"/>
      <c r="EY55" s="711"/>
      <c r="EZ55" s="711"/>
      <c r="FA55" s="711"/>
      <c r="FB55" s="711"/>
      <c r="FC55" s="711"/>
      <c r="FD55" s="711"/>
      <c r="FE55" s="711"/>
      <c r="FF55" s="711"/>
      <c r="FG55" s="711"/>
      <c r="FH55" s="711"/>
      <c r="FI55" s="711"/>
      <c r="FJ55" s="711"/>
      <c r="FK55" s="711"/>
      <c r="FL55" s="711"/>
      <c r="FM55" s="711"/>
      <c r="FN55" s="711"/>
      <c r="FO55" s="711"/>
      <c r="FP55" s="711"/>
      <c r="FQ55" s="711"/>
      <c r="FR55" s="711"/>
      <c r="FS55" s="711"/>
      <c r="FT55" s="711"/>
      <c r="FU55" s="711"/>
      <c r="FV55" s="711"/>
      <c r="FW55" s="711"/>
      <c r="FX55" s="711"/>
      <c r="FY55" s="711"/>
      <c r="FZ55" s="711"/>
      <c r="GA55" s="711"/>
      <c r="GB55" s="711"/>
      <c r="GC55" s="711"/>
      <c r="GD55" s="711"/>
      <c r="GE55" s="711"/>
      <c r="GF55" s="711"/>
      <c r="GG55" s="711"/>
      <c r="GH55" s="711"/>
      <c r="GI55" s="711"/>
      <c r="GJ55" s="711"/>
      <c r="GK55" s="711"/>
      <c r="GL55" s="711"/>
      <c r="GM55" s="711"/>
      <c r="GN55" s="711"/>
      <c r="GO55" s="711"/>
      <c r="GP55" s="711"/>
      <c r="GQ55" s="711"/>
      <c r="GR55" s="711"/>
      <c r="GS55" s="711"/>
      <c r="GT55" s="711"/>
      <c r="GU55" s="711"/>
      <c r="GV55" s="711"/>
      <c r="GW55" s="711"/>
      <c r="GX55" s="711"/>
      <c r="GY55" s="711"/>
      <c r="GZ55" s="711"/>
      <c r="HA55" s="711"/>
      <c r="HB55" s="711"/>
      <c r="HC55" s="711"/>
      <c r="HD55" s="711"/>
      <c r="HE55" s="711"/>
      <c r="HF55" s="711"/>
      <c r="HG55" s="711"/>
      <c r="HH55" s="711"/>
      <c r="HI55" s="711"/>
      <c r="HJ55" s="711"/>
      <c r="HK55" s="711"/>
      <c r="HL55" s="711"/>
      <c r="HM55" s="711"/>
      <c r="HN55" s="711"/>
      <c r="HO55" s="711"/>
      <c r="HP55" s="711"/>
      <c r="HQ55" s="711"/>
      <c r="HR55" s="711"/>
      <c r="HS55" s="711"/>
      <c r="HT55" s="711"/>
      <c r="HU55" s="711"/>
      <c r="HV55" s="711"/>
      <c r="HW55" s="711"/>
      <c r="HX55" s="711"/>
      <c r="HY55" s="711"/>
      <c r="HZ55" s="711"/>
      <c r="IA55" s="711"/>
      <c r="IB55" s="711"/>
      <c r="IC55" s="711"/>
      <c r="ID55" s="711"/>
      <c r="IE55" s="711"/>
      <c r="IF55" s="711"/>
      <c r="IG55" s="711"/>
      <c r="IH55" s="711"/>
      <c r="II55" s="711"/>
      <c r="IJ55" s="711"/>
      <c r="IK55" s="711"/>
      <c r="IL55" s="711"/>
      <c r="IM55" s="711"/>
      <c r="IN55" s="711"/>
      <c r="IO55" s="711"/>
      <c r="IP55" s="711"/>
      <c r="IQ55" s="711"/>
      <c r="IR55" s="711"/>
      <c r="IS55" s="711"/>
      <c r="IT55" s="711"/>
      <c r="IU55" s="711"/>
      <c r="IV55" s="711"/>
    </row>
    <row r="56" spans="1:256" ht="12.75" hidden="1" customHeight="1">
      <c r="A56" s="708" t="s">
        <v>345</v>
      </c>
      <c r="B56" s="690">
        <v>7520.5</v>
      </c>
      <c r="C56" s="690">
        <v>15728.1</v>
      </c>
      <c r="D56" s="691"/>
      <c r="E56" s="708">
        <f t="shared" ref="E56:E65" si="3">B56-C56</f>
        <v>-8207.6</v>
      </c>
      <c r="F56" s="690">
        <v>8191.3</v>
      </c>
      <c r="G56" s="690">
        <v>51.7</v>
      </c>
      <c r="H56" s="708">
        <f t="shared" ref="H56:H67" si="4">G56+F56</f>
        <v>8243</v>
      </c>
      <c r="I56" s="695"/>
      <c r="J56" s="690">
        <v>-35.4</v>
      </c>
      <c r="K56" s="708">
        <f t="shared" ref="K56:K61" si="5">J56+H56</f>
        <v>8207.6</v>
      </c>
      <c r="L56" s="693"/>
      <c r="M56" s="711"/>
      <c r="N56" s="711"/>
      <c r="O56" s="711"/>
      <c r="P56" s="711"/>
      <c r="Q56" s="711"/>
      <c r="R56" s="711"/>
      <c r="S56" s="711"/>
      <c r="T56" s="711"/>
      <c r="U56" s="711"/>
      <c r="V56" s="711"/>
      <c r="W56" s="711"/>
      <c r="X56" s="711"/>
      <c r="Y56" s="711"/>
      <c r="Z56" s="711"/>
      <c r="AA56" s="711"/>
      <c r="AB56" s="711"/>
      <c r="AC56" s="711"/>
      <c r="AD56" s="711"/>
      <c r="AE56" s="711"/>
      <c r="AF56" s="711"/>
      <c r="AG56" s="711"/>
      <c r="AH56" s="711"/>
      <c r="AI56" s="711"/>
      <c r="AJ56" s="711"/>
      <c r="AK56" s="711"/>
      <c r="AL56" s="711"/>
      <c r="AM56" s="711"/>
      <c r="AN56" s="711"/>
      <c r="AO56" s="711"/>
      <c r="AP56" s="711"/>
      <c r="AQ56" s="711"/>
      <c r="AR56" s="711"/>
      <c r="AS56" s="711"/>
      <c r="AT56" s="711"/>
      <c r="AU56" s="711"/>
      <c r="AV56" s="711"/>
      <c r="AW56" s="711"/>
      <c r="AX56" s="711"/>
      <c r="AY56" s="711"/>
      <c r="AZ56" s="711"/>
      <c r="BA56" s="711"/>
      <c r="BB56" s="711"/>
      <c r="BC56" s="711"/>
      <c r="BD56" s="711"/>
      <c r="BE56" s="711"/>
      <c r="BF56" s="711"/>
      <c r="BG56" s="711"/>
      <c r="BH56" s="711"/>
      <c r="BI56" s="711"/>
      <c r="BJ56" s="711"/>
      <c r="BK56" s="711"/>
      <c r="BL56" s="711"/>
      <c r="BM56" s="711"/>
      <c r="BN56" s="711"/>
      <c r="BO56" s="711"/>
      <c r="BP56" s="711"/>
      <c r="BQ56" s="711"/>
      <c r="BR56" s="711"/>
      <c r="BS56" s="711"/>
      <c r="BT56" s="711"/>
      <c r="BU56" s="711"/>
      <c r="BV56" s="711"/>
      <c r="BW56" s="711"/>
      <c r="BX56" s="711"/>
      <c r="BY56" s="711"/>
      <c r="BZ56" s="711"/>
      <c r="CA56" s="711"/>
      <c r="CB56" s="711"/>
      <c r="CC56" s="711"/>
      <c r="CD56" s="711"/>
      <c r="CE56" s="711"/>
      <c r="CF56" s="711"/>
      <c r="CG56" s="711"/>
      <c r="CH56" s="711"/>
      <c r="CI56" s="711"/>
      <c r="CJ56" s="711"/>
      <c r="CK56" s="711"/>
      <c r="CL56" s="711"/>
      <c r="CM56" s="711"/>
      <c r="CN56" s="711"/>
      <c r="CO56" s="711"/>
      <c r="CP56" s="711"/>
      <c r="CQ56" s="711"/>
      <c r="CR56" s="711"/>
      <c r="CS56" s="711"/>
      <c r="CT56" s="711"/>
      <c r="CU56" s="711"/>
      <c r="CV56" s="711"/>
      <c r="CW56" s="711"/>
      <c r="CX56" s="711"/>
      <c r="CY56" s="711"/>
      <c r="CZ56" s="711"/>
      <c r="DA56" s="711"/>
      <c r="DB56" s="711"/>
      <c r="DC56" s="711"/>
      <c r="DD56" s="711"/>
      <c r="DE56" s="711"/>
      <c r="DF56" s="711"/>
      <c r="DG56" s="711"/>
      <c r="DH56" s="711"/>
      <c r="DI56" s="711"/>
      <c r="DJ56" s="711"/>
      <c r="DK56" s="711"/>
      <c r="DL56" s="711"/>
      <c r="DM56" s="711"/>
      <c r="DN56" s="711"/>
      <c r="DO56" s="711"/>
      <c r="DP56" s="711"/>
      <c r="DQ56" s="711"/>
      <c r="DR56" s="711"/>
      <c r="DS56" s="711"/>
      <c r="DT56" s="711"/>
      <c r="DU56" s="711"/>
      <c r="DV56" s="711"/>
      <c r="DW56" s="711"/>
      <c r="DX56" s="711"/>
      <c r="DY56" s="711"/>
      <c r="DZ56" s="711"/>
      <c r="EA56" s="711"/>
      <c r="EB56" s="711"/>
      <c r="EC56" s="711"/>
      <c r="ED56" s="711"/>
      <c r="EE56" s="711"/>
      <c r="EF56" s="711"/>
      <c r="EG56" s="711"/>
      <c r="EH56" s="711"/>
      <c r="EI56" s="711"/>
      <c r="EJ56" s="711"/>
      <c r="EK56" s="711"/>
      <c r="EL56" s="711"/>
      <c r="EM56" s="711"/>
      <c r="EN56" s="711"/>
      <c r="EO56" s="711"/>
      <c r="EP56" s="711"/>
      <c r="EQ56" s="711"/>
      <c r="ER56" s="711"/>
      <c r="ES56" s="711"/>
      <c r="ET56" s="711"/>
      <c r="EU56" s="711"/>
      <c r="EV56" s="711"/>
      <c r="EW56" s="711"/>
      <c r="EX56" s="711"/>
      <c r="EY56" s="711"/>
      <c r="EZ56" s="711"/>
      <c r="FA56" s="711"/>
      <c r="FB56" s="711"/>
      <c r="FC56" s="711"/>
      <c r="FD56" s="711"/>
      <c r="FE56" s="711"/>
      <c r="FF56" s="711"/>
      <c r="FG56" s="711"/>
      <c r="FH56" s="711"/>
      <c r="FI56" s="711"/>
      <c r="FJ56" s="711"/>
      <c r="FK56" s="711"/>
      <c r="FL56" s="711"/>
      <c r="FM56" s="711"/>
      <c r="FN56" s="711"/>
      <c r="FO56" s="711"/>
      <c r="FP56" s="711"/>
      <c r="FQ56" s="711"/>
      <c r="FR56" s="711"/>
      <c r="FS56" s="711"/>
      <c r="FT56" s="711"/>
      <c r="FU56" s="711"/>
      <c r="FV56" s="711"/>
      <c r="FW56" s="711"/>
      <c r="FX56" s="711"/>
      <c r="FY56" s="711"/>
      <c r="FZ56" s="711"/>
      <c r="GA56" s="711"/>
      <c r="GB56" s="711"/>
      <c r="GC56" s="711"/>
      <c r="GD56" s="711"/>
      <c r="GE56" s="711"/>
      <c r="GF56" s="711"/>
      <c r="GG56" s="711"/>
      <c r="GH56" s="711"/>
      <c r="GI56" s="711"/>
      <c r="GJ56" s="711"/>
      <c r="GK56" s="711"/>
      <c r="GL56" s="711"/>
      <c r="GM56" s="711"/>
      <c r="GN56" s="711"/>
      <c r="GO56" s="711"/>
      <c r="GP56" s="711"/>
      <c r="GQ56" s="711"/>
      <c r="GR56" s="711"/>
      <c r="GS56" s="711"/>
      <c r="GT56" s="711"/>
      <c r="GU56" s="711"/>
      <c r="GV56" s="711"/>
      <c r="GW56" s="711"/>
      <c r="GX56" s="711"/>
      <c r="GY56" s="711"/>
      <c r="GZ56" s="711"/>
      <c r="HA56" s="711"/>
      <c r="HB56" s="711"/>
      <c r="HC56" s="711"/>
      <c r="HD56" s="711"/>
      <c r="HE56" s="711"/>
      <c r="HF56" s="711"/>
      <c r="HG56" s="711"/>
      <c r="HH56" s="711"/>
      <c r="HI56" s="711"/>
      <c r="HJ56" s="711"/>
      <c r="HK56" s="711"/>
      <c r="HL56" s="711"/>
      <c r="HM56" s="711"/>
      <c r="HN56" s="711"/>
      <c r="HO56" s="711"/>
      <c r="HP56" s="711"/>
      <c r="HQ56" s="711"/>
      <c r="HR56" s="711"/>
      <c r="HS56" s="711"/>
      <c r="HT56" s="711"/>
      <c r="HU56" s="711"/>
      <c r="HV56" s="711"/>
      <c r="HW56" s="711"/>
      <c r="HX56" s="711"/>
      <c r="HY56" s="711"/>
      <c r="HZ56" s="711"/>
      <c r="IA56" s="711"/>
      <c r="IB56" s="711"/>
      <c r="IC56" s="711"/>
      <c r="ID56" s="711"/>
      <c r="IE56" s="711"/>
      <c r="IF56" s="711"/>
      <c r="IG56" s="711"/>
      <c r="IH56" s="711"/>
      <c r="II56" s="711"/>
      <c r="IJ56" s="711"/>
      <c r="IK56" s="711"/>
      <c r="IL56" s="711"/>
      <c r="IM56" s="711"/>
      <c r="IN56" s="711"/>
      <c r="IO56" s="711"/>
      <c r="IP56" s="711"/>
      <c r="IQ56" s="711"/>
      <c r="IR56" s="711"/>
      <c r="IS56" s="711"/>
      <c r="IT56" s="711"/>
      <c r="IU56" s="711"/>
      <c r="IV56" s="711"/>
    </row>
    <row r="57" spans="1:256" ht="12.75" hidden="1" customHeight="1">
      <c r="A57" s="708" t="s">
        <v>334</v>
      </c>
      <c r="B57" s="690">
        <f>16160.4+0.7-7520.5</f>
        <v>8640.6</v>
      </c>
      <c r="C57" s="690">
        <f>28107.7-15728.1</f>
        <v>12379.6</v>
      </c>
      <c r="D57" s="691"/>
      <c r="E57" s="708">
        <f t="shared" si="3"/>
        <v>-3739</v>
      </c>
      <c r="F57" s="690">
        <f>10629.3-8191.3</f>
        <v>2437.9999999999991</v>
      </c>
      <c r="G57" s="690">
        <f>1452.1-51.7</f>
        <v>1400.3999999999999</v>
      </c>
      <c r="H57" s="708">
        <f t="shared" si="4"/>
        <v>3838.3999999999987</v>
      </c>
      <c r="I57" s="695"/>
      <c r="J57" s="690">
        <f>-134.8+35.4</f>
        <v>-99.4</v>
      </c>
      <c r="K57" s="708">
        <f t="shared" si="5"/>
        <v>3738.9999999999986</v>
      </c>
      <c r="L57" s="693"/>
      <c r="M57" s="711"/>
      <c r="N57" s="711"/>
      <c r="O57" s="711"/>
      <c r="P57" s="711"/>
      <c r="Q57" s="711"/>
      <c r="R57" s="711"/>
      <c r="S57" s="711"/>
      <c r="T57" s="711"/>
      <c r="U57" s="711"/>
      <c r="V57" s="711"/>
      <c r="W57" s="711"/>
      <c r="X57" s="711"/>
      <c r="Y57" s="711"/>
      <c r="Z57" s="711"/>
      <c r="AA57" s="711"/>
      <c r="AB57" s="711"/>
      <c r="AC57" s="711"/>
      <c r="AD57" s="711"/>
      <c r="AE57" s="711"/>
      <c r="AF57" s="711"/>
      <c r="AG57" s="711"/>
      <c r="AH57" s="711"/>
      <c r="AI57" s="711"/>
      <c r="AJ57" s="711"/>
      <c r="AK57" s="711"/>
      <c r="AL57" s="711"/>
      <c r="AM57" s="711"/>
      <c r="AN57" s="711"/>
      <c r="AO57" s="711"/>
      <c r="AP57" s="711"/>
      <c r="AQ57" s="711"/>
      <c r="AR57" s="711"/>
      <c r="AS57" s="711"/>
      <c r="AT57" s="711"/>
      <c r="AU57" s="711"/>
      <c r="AV57" s="711"/>
      <c r="AW57" s="711"/>
      <c r="AX57" s="711"/>
      <c r="AY57" s="711"/>
      <c r="AZ57" s="711"/>
      <c r="BA57" s="711"/>
      <c r="BB57" s="711"/>
      <c r="BC57" s="711"/>
      <c r="BD57" s="711"/>
      <c r="BE57" s="711"/>
      <c r="BF57" s="711"/>
      <c r="BG57" s="711"/>
      <c r="BH57" s="711"/>
      <c r="BI57" s="711"/>
      <c r="BJ57" s="711"/>
      <c r="BK57" s="711"/>
      <c r="BL57" s="711"/>
      <c r="BM57" s="711"/>
      <c r="BN57" s="711"/>
      <c r="BO57" s="711"/>
      <c r="BP57" s="711"/>
      <c r="BQ57" s="711"/>
      <c r="BR57" s="711"/>
      <c r="BS57" s="711"/>
      <c r="BT57" s="711"/>
      <c r="BU57" s="711"/>
      <c r="BV57" s="711"/>
      <c r="BW57" s="711"/>
      <c r="BX57" s="711"/>
      <c r="BY57" s="711"/>
      <c r="BZ57" s="711"/>
      <c r="CA57" s="711"/>
      <c r="CB57" s="711"/>
      <c r="CC57" s="711"/>
      <c r="CD57" s="711"/>
      <c r="CE57" s="711"/>
      <c r="CF57" s="711"/>
      <c r="CG57" s="711"/>
      <c r="CH57" s="711"/>
      <c r="CI57" s="711"/>
      <c r="CJ57" s="711"/>
      <c r="CK57" s="711"/>
      <c r="CL57" s="711"/>
      <c r="CM57" s="711"/>
      <c r="CN57" s="711"/>
      <c r="CO57" s="711"/>
      <c r="CP57" s="711"/>
      <c r="CQ57" s="711"/>
      <c r="CR57" s="711"/>
      <c r="CS57" s="711"/>
      <c r="CT57" s="711"/>
      <c r="CU57" s="711"/>
      <c r="CV57" s="711"/>
      <c r="CW57" s="711"/>
      <c r="CX57" s="711"/>
      <c r="CY57" s="711"/>
      <c r="CZ57" s="711"/>
      <c r="DA57" s="711"/>
      <c r="DB57" s="711"/>
      <c r="DC57" s="711"/>
      <c r="DD57" s="711"/>
      <c r="DE57" s="711"/>
      <c r="DF57" s="711"/>
      <c r="DG57" s="711"/>
      <c r="DH57" s="711"/>
      <c r="DI57" s="711"/>
      <c r="DJ57" s="711"/>
      <c r="DK57" s="711"/>
      <c r="DL57" s="711"/>
      <c r="DM57" s="711"/>
      <c r="DN57" s="711"/>
      <c r="DO57" s="711"/>
      <c r="DP57" s="711"/>
      <c r="DQ57" s="711"/>
      <c r="DR57" s="711"/>
      <c r="DS57" s="711"/>
      <c r="DT57" s="711"/>
      <c r="DU57" s="711"/>
      <c r="DV57" s="711"/>
      <c r="DW57" s="711"/>
      <c r="DX57" s="711"/>
      <c r="DY57" s="711"/>
      <c r="DZ57" s="711"/>
      <c r="EA57" s="711"/>
      <c r="EB57" s="711"/>
      <c r="EC57" s="711"/>
      <c r="ED57" s="711"/>
      <c r="EE57" s="711"/>
      <c r="EF57" s="711"/>
      <c r="EG57" s="711"/>
      <c r="EH57" s="711"/>
      <c r="EI57" s="711"/>
      <c r="EJ57" s="711"/>
      <c r="EK57" s="711"/>
      <c r="EL57" s="711"/>
      <c r="EM57" s="711"/>
      <c r="EN57" s="711"/>
      <c r="EO57" s="711"/>
      <c r="EP57" s="711"/>
      <c r="EQ57" s="711"/>
      <c r="ER57" s="711"/>
      <c r="ES57" s="711"/>
      <c r="ET57" s="711"/>
      <c r="EU57" s="711"/>
      <c r="EV57" s="711"/>
      <c r="EW57" s="711"/>
      <c r="EX57" s="711"/>
      <c r="EY57" s="711"/>
      <c r="EZ57" s="711"/>
      <c r="FA57" s="711"/>
      <c r="FB57" s="711"/>
      <c r="FC57" s="711"/>
      <c r="FD57" s="711"/>
      <c r="FE57" s="711"/>
      <c r="FF57" s="711"/>
      <c r="FG57" s="711"/>
      <c r="FH57" s="711"/>
      <c r="FI57" s="711"/>
      <c r="FJ57" s="711"/>
      <c r="FK57" s="711"/>
      <c r="FL57" s="711"/>
      <c r="FM57" s="711"/>
      <c r="FN57" s="711"/>
      <c r="FO57" s="711"/>
      <c r="FP57" s="711"/>
      <c r="FQ57" s="711"/>
      <c r="FR57" s="711"/>
      <c r="FS57" s="711"/>
      <c r="FT57" s="711"/>
      <c r="FU57" s="711"/>
      <c r="FV57" s="711"/>
      <c r="FW57" s="711"/>
      <c r="FX57" s="711"/>
      <c r="FY57" s="711"/>
      <c r="FZ57" s="711"/>
      <c r="GA57" s="711"/>
      <c r="GB57" s="711"/>
      <c r="GC57" s="711"/>
      <c r="GD57" s="711"/>
      <c r="GE57" s="711"/>
      <c r="GF57" s="711"/>
      <c r="GG57" s="711"/>
      <c r="GH57" s="711"/>
      <c r="GI57" s="711"/>
      <c r="GJ57" s="711"/>
      <c r="GK57" s="711"/>
      <c r="GL57" s="711"/>
      <c r="GM57" s="711"/>
      <c r="GN57" s="711"/>
      <c r="GO57" s="711"/>
      <c r="GP57" s="711"/>
      <c r="GQ57" s="711"/>
      <c r="GR57" s="711"/>
      <c r="GS57" s="711"/>
      <c r="GT57" s="711"/>
      <c r="GU57" s="711"/>
      <c r="GV57" s="711"/>
      <c r="GW57" s="711"/>
      <c r="GX57" s="711"/>
      <c r="GY57" s="711"/>
      <c r="GZ57" s="711"/>
      <c r="HA57" s="711"/>
      <c r="HB57" s="711"/>
      <c r="HC57" s="711"/>
      <c r="HD57" s="711"/>
      <c r="HE57" s="711"/>
      <c r="HF57" s="711"/>
      <c r="HG57" s="711"/>
      <c r="HH57" s="711"/>
      <c r="HI57" s="711"/>
      <c r="HJ57" s="711"/>
      <c r="HK57" s="711"/>
      <c r="HL57" s="711"/>
      <c r="HM57" s="711"/>
      <c r="HN57" s="711"/>
      <c r="HO57" s="711"/>
      <c r="HP57" s="711"/>
      <c r="HQ57" s="711"/>
      <c r="HR57" s="711"/>
      <c r="HS57" s="711"/>
      <c r="HT57" s="711"/>
      <c r="HU57" s="711"/>
      <c r="HV57" s="711"/>
      <c r="HW57" s="711"/>
      <c r="HX57" s="711"/>
      <c r="HY57" s="711"/>
      <c r="HZ57" s="711"/>
      <c r="IA57" s="711"/>
      <c r="IB57" s="711"/>
      <c r="IC57" s="711"/>
      <c r="ID57" s="711"/>
      <c r="IE57" s="711"/>
      <c r="IF57" s="711"/>
      <c r="IG57" s="711"/>
      <c r="IH57" s="711"/>
      <c r="II57" s="711"/>
      <c r="IJ57" s="711"/>
      <c r="IK57" s="711"/>
      <c r="IL57" s="711"/>
      <c r="IM57" s="711"/>
      <c r="IN57" s="711"/>
      <c r="IO57" s="711"/>
      <c r="IP57" s="711"/>
      <c r="IQ57" s="711"/>
      <c r="IR57" s="711"/>
      <c r="IS57" s="711"/>
      <c r="IT57" s="711"/>
      <c r="IU57" s="711"/>
      <c r="IV57" s="711"/>
    </row>
    <row r="58" spans="1:256" ht="12.75" hidden="1" customHeight="1">
      <c r="A58" s="708" t="s">
        <v>335</v>
      </c>
      <c r="B58" s="690">
        <f>29706.9+143.3-16160.4-0.7</f>
        <v>13689.1</v>
      </c>
      <c r="C58" s="708">
        <f>39262.7-28107.7</f>
        <v>11154.999999999996</v>
      </c>
      <c r="D58" s="691"/>
      <c r="E58" s="708">
        <f t="shared" si="3"/>
        <v>2534.100000000004</v>
      </c>
      <c r="F58" s="690">
        <f>8207.7-10629.3</f>
        <v>-2421.5999999999985</v>
      </c>
      <c r="G58" s="708">
        <f>1485.1-1452.1</f>
        <v>33</v>
      </c>
      <c r="H58" s="708">
        <f t="shared" si="4"/>
        <v>-2388.5999999999985</v>
      </c>
      <c r="I58" s="695"/>
      <c r="J58" s="690">
        <f>-280.3+134.8</f>
        <v>-145.5</v>
      </c>
      <c r="K58" s="708">
        <f t="shared" si="5"/>
        <v>-2534.0999999999985</v>
      </c>
      <c r="L58" s="693"/>
      <c r="M58" s="711"/>
      <c r="N58" s="711"/>
      <c r="O58" s="711"/>
      <c r="P58" s="711"/>
      <c r="Q58" s="711"/>
      <c r="R58" s="711"/>
      <c r="S58" s="711"/>
      <c r="T58" s="711"/>
      <c r="U58" s="711"/>
      <c r="V58" s="711"/>
      <c r="W58" s="711"/>
      <c r="X58" s="711"/>
      <c r="Y58" s="711"/>
      <c r="Z58" s="711"/>
      <c r="AA58" s="711"/>
      <c r="AB58" s="711"/>
      <c r="AC58" s="711"/>
      <c r="AD58" s="711"/>
      <c r="AE58" s="711"/>
      <c r="AF58" s="711"/>
      <c r="AG58" s="711"/>
      <c r="AH58" s="711"/>
      <c r="AI58" s="711"/>
      <c r="AJ58" s="711"/>
      <c r="AK58" s="711"/>
      <c r="AL58" s="711"/>
      <c r="AM58" s="711"/>
      <c r="AN58" s="711"/>
      <c r="AO58" s="711"/>
      <c r="AP58" s="711"/>
      <c r="AQ58" s="711"/>
      <c r="AR58" s="711"/>
      <c r="AS58" s="711"/>
      <c r="AT58" s="711"/>
      <c r="AU58" s="711"/>
      <c r="AV58" s="711"/>
      <c r="AW58" s="711"/>
      <c r="AX58" s="711"/>
      <c r="AY58" s="711"/>
      <c r="AZ58" s="711"/>
      <c r="BA58" s="711"/>
      <c r="BB58" s="711"/>
      <c r="BC58" s="711"/>
      <c r="BD58" s="711"/>
      <c r="BE58" s="711"/>
      <c r="BF58" s="711"/>
      <c r="BG58" s="711"/>
      <c r="BH58" s="711"/>
      <c r="BI58" s="711"/>
      <c r="BJ58" s="711"/>
      <c r="BK58" s="711"/>
      <c r="BL58" s="711"/>
      <c r="BM58" s="711"/>
      <c r="BN58" s="711"/>
      <c r="BO58" s="711"/>
      <c r="BP58" s="711"/>
      <c r="BQ58" s="711"/>
      <c r="BR58" s="711"/>
      <c r="BS58" s="711"/>
      <c r="BT58" s="711"/>
      <c r="BU58" s="711"/>
      <c r="BV58" s="711"/>
      <c r="BW58" s="711"/>
      <c r="BX58" s="711"/>
      <c r="BY58" s="711"/>
      <c r="BZ58" s="711"/>
      <c r="CA58" s="711"/>
      <c r="CB58" s="711"/>
      <c r="CC58" s="711"/>
      <c r="CD58" s="711"/>
      <c r="CE58" s="711"/>
      <c r="CF58" s="711"/>
      <c r="CG58" s="711"/>
      <c r="CH58" s="711"/>
      <c r="CI58" s="711"/>
      <c r="CJ58" s="711"/>
      <c r="CK58" s="711"/>
      <c r="CL58" s="711"/>
      <c r="CM58" s="711"/>
      <c r="CN58" s="711"/>
      <c r="CO58" s="711"/>
      <c r="CP58" s="711"/>
      <c r="CQ58" s="711"/>
      <c r="CR58" s="711"/>
      <c r="CS58" s="711"/>
      <c r="CT58" s="711"/>
      <c r="CU58" s="711"/>
      <c r="CV58" s="711"/>
      <c r="CW58" s="711"/>
      <c r="CX58" s="711"/>
      <c r="CY58" s="711"/>
      <c r="CZ58" s="711"/>
      <c r="DA58" s="711"/>
      <c r="DB58" s="711"/>
      <c r="DC58" s="711"/>
      <c r="DD58" s="711"/>
      <c r="DE58" s="711"/>
      <c r="DF58" s="711"/>
      <c r="DG58" s="711"/>
      <c r="DH58" s="711"/>
      <c r="DI58" s="711"/>
      <c r="DJ58" s="711"/>
      <c r="DK58" s="711"/>
      <c r="DL58" s="711"/>
      <c r="DM58" s="711"/>
      <c r="DN58" s="711"/>
      <c r="DO58" s="711"/>
      <c r="DP58" s="711"/>
      <c r="DQ58" s="711"/>
      <c r="DR58" s="711"/>
      <c r="DS58" s="711"/>
      <c r="DT58" s="711"/>
      <c r="DU58" s="711"/>
      <c r="DV58" s="711"/>
      <c r="DW58" s="711"/>
      <c r="DX58" s="711"/>
      <c r="DY58" s="711"/>
      <c r="DZ58" s="711"/>
      <c r="EA58" s="711"/>
      <c r="EB58" s="711"/>
      <c r="EC58" s="711"/>
      <c r="ED58" s="711"/>
      <c r="EE58" s="711"/>
      <c r="EF58" s="711"/>
      <c r="EG58" s="711"/>
      <c r="EH58" s="711"/>
      <c r="EI58" s="711"/>
      <c r="EJ58" s="711"/>
      <c r="EK58" s="711"/>
      <c r="EL58" s="711"/>
      <c r="EM58" s="711"/>
      <c r="EN58" s="711"/>
      <c r="EO58" s="711"/>
      <c r="EP58" s="711"/>
      <c r="EQ58" s="711"/>
      <c r="ER58" s="711"/>
      <c r="ES58" s="711"/>
      <c r="ET58" s="711"/>
      <c r="EU58" s="711"/>
      <c r="EV58" s="711"/>
      <c r="EW58" s="711"/>
      <c r="EX58" s="711"/>
      <c r="EY58" s="711"/>
      <c r="EZ58" s="711"/>
      <c r="FA58" s="711"/>
      <c r="FB58" s="711"/>
      <c r="FC58" s="711"/>
      <c r="FD58" s="711"/>
      <c r="FE58" s="711"/>
      <c r="FF58" s="711"/>
      <c r="FG58" s="711"/>
      <c r="FH58" s="711"/>
      <c r="FI58" s="711"/>
      <c r="FJ58" s="711"/>
      <c r="FK58" s="711"/>
      <c r="FL58" s="711"/>
      <c r="FM58" s="711"/>
      <c r="FN58" s="711"/>
      <c r="FO58" s="711"/>
      <c r="FP58" s="711"/>
      <c r="FQ58" s="711"/>
      <c r="FR58" s="711"/>
      <c r="FS58" s="711"/>
      <c r="FT58" s="711"/>
      <c r="FU58" s="711"/>
      <c r="FV58" s="711"/>
      <c r="FW58" s="711"/>
      <c r="FX58" s="711"/>
      <c r="FY58" s="711"/>
      <c r="FZ58" s="711"/>
      <c r="GA58" s="711"/>
      <c r="GB58" s="711"/>
      <c r="GC58" s="711"/>
      <c r="GD58" s="711"/>
      <c r="GE58" s="711"/>
      <c r="GF58" s="711"/>
      <c r="GG58" s="711"/>
      <c r="GH58" s="711"/>
      <c r="GI58" s="711"/>
      <c r="GJ58" s="711"/>
      <c r="GK58" s="711"/>
      <c r="GL58" s="711"/>
      <c r="GM58" s="711"/>
      <c r="GN58" s="711"/>
      <c r="GO58" s="711"/>
      <c r="GP58" s="711"/>
      <c r="GQ58" s="711"/>
      <c r="GR58" s="711"/>
      <c r="GS58" s="711"/>
      <c r="GT58" s="711"/>
      <c r="GU58" s="711"/>
      <c r="GV58" s="711"/>
      <c r="GW58" s="711"/>
      <c r="GX58" s="711"/>
      <c r="GY58" s="711"/>
      <c r="GZ58" s="711"/>
      <c r="HA58" s="711"/>
      <c r="HB58" s="711"/>
      <c r="HC58" s="711"/>
      <c r="HD58" s="711"/>
      <c r="HE58" s="711"/>
      <c r="HF58" s="711"/>
      <c r="HG58" s="711"/>
      <c r="HH58" s="711"/>
      <c r="HI58" s="711"/>
      <c r="HJ58" s="711"/>
      <c r="HK58" s="711"/>
      <c r="HL58" s="711"/>
      <c r="HM58" s="711"/>
      <c r="HN58" s="711"/>
      <c r="HO58" s="711"/>
      <c r="HP58" s="711"/>
      <c r="HQ58" s="711"/>
      <c r="HR58" s="711"/>
      <c r="HS58" s="711"/>
      <c r="HT58" s="711"/>
      <c r="HU58" s="711"/>
      <c r="HV58" s="711"/>
      <c r="HW58" s="711"/>
      <c r="HX58" s="711"/>
      <c r="HY58" s="711"/>
      <c r="HZ58" s="711"/>
      <c r="IA58" s="711"/>
      <c r="IB58" s="711"/>
      <c r="IC58" s="711"/>
      <c r="ID58" s="711"/>
      <c r="IE58" s="711"/>
      <c r="IF58" s="711"/>
      <c r="IG58" s="711"/>
      <c r="IH58" s="711"/>
      <c r="II58" s="711"/>
      <c r="IJ58" s="711"/>
      <c r="IK58" s="711"/>
      <c r="IL58" s="711"/>
      <c r="IM58" s="711"/>
      <c r="IN58" s="711"/>
      <c r="IO58" s="711"/>
      <c r="IP58" s="711"/>
      <c r="IQ58" s="711"/>
      <c r="IR58" s="711"/>
      <c r="IS58" s="711"/>
      <c r="IT58" s="711"/>
      <c r="IU58" s="711"/>
      <c r="IV58" s="711"/>
    </row>
    <row r="59" spans="1:256" ht="12.75" hidden="1" customHeight="1">
      <c r="A59" s="708" t="s">
        <v>336</v>
      </c>
      <c r="B59" s="690">
        <f>37655.1-29706.9</f>
        <v>7948.1999999999971</v>
      </c>
      <c r="C59" s="708">
        <f>49656.3-39262.7</f>
        <v>10393.600000000006</v>
      </c>
      <c r="D59" s="691"/>
      <c r="E59" s="708">
        <f t="shared" si="3"/>
        <v>-2445.4000000000087</v>
      </c>
      <c r="F59" s="690">
        <f>11218.9-8207.7</f>
        <v>3011.1999999999989</v>
      </c>
      <c r="G59" s="708">
        <f>980.4-1485.1</f>
        <v>-504.69999999999993</v>
      </c>
      <c r="H59" s="708">
        <f t="shared" si="4"/>
        <v>2506.4999999999991</v>
      </c>
      <c r="I59" s="695"/>
      <c r="J59" s="690">
        <f>-341.4+280.3</f>
        <v>-61.099999999999966</v>
      </c>
      <c r="K59" s="708">
        <f t="shared" si="5"/>
        <v>2445.3999999999992</v>
      </c>
      <c r="L59" s="693"/>
      <c r="M59" s="711"/>
      <c r="N59" s="711"/>
      <c r="O59" s="711"/>
      <c r="P59" s="711"/>
      <c r="Q59" s="711"/>
      <c r="R59" s="711"/>
      <c r="S59" s="711"/>
      <c r="T59" s="711"/>
      <c r="U59" s="711"/>
      <c r="V59" s="711"/>
      <c r="W59" s="711"/>
      <c r="X59" s="711"/>
      <c r="Y59" s="711"/>
      <c r="Z59" s="711"/>
      <c r="AA59" s="711"/>
      <c r="AB59" s="711"/>
      <c r="AC59" s="711"/>
      <c r="AD59" s="711"/>
      <c r="AE59" s="711"/>
      <c r="AF59" s="711"/>
      <c r="AG59" s="711"/>
      <c r="AH59" s="711"/>
      <c r="AI59" s="711"/>
      <c r="AJ59" s="711"/>
      <c r="AK59" s="711"/>
      <c r="AL59" s="711"/>
      <c r="AM59" s="711"/>
      <c r="AN59" s="711"/>
      <c r="AO59" s="711"/>
      <c r="AP59" s="711"/>
      <c r="AQ59" s="711"/>
      <c r="AR59" s="711"/>
      <c r="AS59" s="711"/>
      <c r="AT59" s="711"/>
      <c r="AU59" s="711"/>
      <c r="AV59" s="711"/>
      <c r="AW59" s="711"/>
      <c r="AX59" s="711"/>
      <c r="AY59" s="711"/>
      <c r="AZ59" s="711"/>
      <c r="BA59" s="711"/>
      <c r="BB59" s="711"/>
      <c r="BC59" s="711"/>
      <c r="BD59" s="711"/>
      <c r="BE59" s="711"/>
      <c r="BF59" s="711"/>
      <c r="BG59" s="711"/>
      <c r="BH59" s="711"/>
      <c r="BI59" s="711"/>
      <c r="BJ59" s="711"/>
      <c r="BK59" s="711"/>
      <c r="BL59" s="711"/>
      <c r="BM59" s="711"/>
      <c r="BN59" s="711"/>
      <c r="BO59" s="711"/>
      <c r="BP59" s="711"/>
      <c r="BQ59" s="711"/>
      <c r="BR59" s="711"/>
      <c r="BS59" s="711"/>
      <c r="BT59" s="711"/>
      <c r="BU59" s="711"/>
      <c r="BV59" s="711"/>
      <c r="BW59" s="711"/>
      <c r="BX59" s="711"/>
      <c r="BY59" s="711"/>
      <c r="BZ59" s="711"/>
      <c r="CA59" s="711"/>
      <c r="CB59" s="711"/>
      <c r="CC59" s="711"/>
      <c r="CD59" s="711"/>
      <c r="CE59" s="711"/>
      <c r="CF59" s="711"/>
      <c r="CG59" s="711"/>
      <c r="CH59" s="711"/>
      <c r="CI59" s="711"/>
      <c r="CJ59" s="711"/>
      <c r="CK59" s="711"/>
      <c r="CL59" s="711"/>
      <c r="CM59" s="711"/>
      <c r="CN59" s="711"/>
      <c r="CO59" s="711"/>
      <c r="CP59" s="711"/>
      <c r="CQ59" s="711"/>
      <c r="CR59" s="711"/>
      <c r="CS59" s="711"/>
      <c r="CT59" s="711"/>
      <c r="CU59" s="711"/>
      <c r="CV59" s="711"/>
      <c r="CW59" s="711"/>
      <c r="CX59" s="711"/>
      <c r="CY59" s="711"/>
      <c r="CZ59" s="711"/>
      <c r="DA59" s="711"/>
      <c r="DB59" s="711"/>
      <c r="DC59" s="711"/>
      <c r="DD59" s="711"/>
      <c r="DE59" s="711"/>
      <c r="DF59" s="711"/>
      <c r="DG59" s="711"/>
      <c r="DH59" s="711"/>
      <c r="DI59" s="711"/>
      <c r="DJ59" s="711"/>
      <c r="DK59" s="711"/>
      <c r="DL59" s="711"/>
      <c r="DM59" s="711"/>
      <c r="DN59" s="711"/>
      <c r="DO59" s="711"/>
      <c r="DP59" s="711"/>
      <c r="DQ59" s="711"/>
      <c r="DR59" s="711"/>
      <c r="DS59" s="711"/>
      <c r="DT59" s="711"/>
      <c r="DU59" s="711"/>
      <c r="DV59" s="711"/>
      <c r="DW59" s="711"/>
      <c r="DX59" s="711"/>
      <c r="DY59" s="711"/>
      <c r="DZ59" s="711"/>
      <c r="EA59" s="711"/>
      <c r="EB59" s="711"/>
      <c r="EC59" s="711"/>
      <c r="ED59" s="711"/>
      <c r="EE59" s="711"/>
      <c r="EF59" s="711"/>
      <c r="EG59" s="711"/>
      <c r="EH59" s="711"/>
      <c r="EI59" s="711"/>
      <c r="EJ59" s="711"/>
      <c r="EK59" s="711"/>
      <c r="EL59" s="711"/>
      <c r="EM59" s="711"/>
      <c r="EN59" s="711"/>
      <c r="EO59" s="711"/>
      <c r="EP59" s="711"/>
      <c r="EQ59" s="711"/>
      <c r="ER59" s="711"/>
      <c r="ES59" s="711"/>
      <c r="ET59" s="711"/>
      <c r="EU59" s="711"/>
      <c r="EV59" s="711"/>
      <c r="EW59" s="711"/>
      <c r="EX59" s="711"/>
      <c r="EY59" s="711"/>
      <c r="EZ59" s="711"/>
      <c r="FA59" s="711"/>
      <c r="FB59" s="711"/>
      <c r="FC59" s="711"/>
      <c r="FD59" s="711"/>
      <c r="FE59" s="711"/>
      <c r="FF59" s="711"/>
      <c r="FG59" s="711"/>
      <c r="FH59" s="711"/>
      <c r="FI59" s="711"/>
      <c r="FJ59" s="711"/>
      <c r="FK59" s="711"/>
      <c r="FL59" s="711"/>
      <c r="FM59" s="711"/>
      <c r="FN59" s="711"/>
      <c r="FO59" s="711"/>
      <c r="FP59" s="711"/>
      <c r="FQ59" s="711"/>
      <c r="FR59" s="711"/>
      <c r="FS59" s="711"/>
      <c r="FT59" s="711"/>
      <c r="FU59" s="711"/>
      <c r="FV59" s="711"/>
      <c r="FW59" s="711"/>
      <c r="FX59" s="711"/>
      <c r="FY59" s="711"/>
      <c r="FZ59" s="711"/>
      <c r="GA59" s="711"/>
      <c r="GB59" s="711"/>
      <c r="GC59" s="711"/>
      <c r="GD59" s="711"/>
      <c r="GE59" s="711"/>
      <c r="GF59" s="711"/>
      <c r="GG59" s="711"/>
      <c r="GH59" s="711"/>
      <c r="GI59" s="711"/>
      <c r="GJ59" s="711"/>
      <c r="GK59" s="711"/>
      <c r="GL59" s="711"/>
      <c r="GM59" s="711"/>
      <c r="GN59" s="711"/>
      <c r="GO59" s="711"/>
      <c r="GP59" s="711"/>
      <c r="GQ59" s="711"/>
      <c r="GR59" s="711"/>
      <c r="GS59" s="711"/>
      <c r="GT59" s="711"/>
      <c r="GU59" s="711"/>
      <c r="GV59" s="711"/>
      <c r="GW59" s="711"/>
      <c r="GX59" s="711"/>
      <c r="GY59" s="711"/>
      <c r="GZ59" s="711"/>
      <c r="HA59" s="711"/>
      <c r="HB59" s="711"/>
      <c r="HC59" s="711"/>
      <c r="HD59" s="711"/>
      <c r="HE59" s="711"/>
      <c r="HF59" s="711"/>
      <c r="HG59" s="711"/>
      <c r="HH59" s="711"/>
      <c r="HI59" s="711"/>
      <c r="HJ59" s="711"/>
      <c r="HK59" s="711"/>
      <c r="HL59" s="711"/>
      <c r="HM59" s="711"/>
      <c r="HN59" s="711"/>
      <c r="HO59" s="711"/>
      <c r="HP59" s="711"/>
      <c r="HQ59" s="711"/>
      <c r="HR59" s="711"/>
      <c r="HS59" s="711"/>
      <c r="HT59" s="711"/>
      <c r="HU59" s="711"/>
      <c r="HV59" s="711"/>
      <c r="HW59" s="711"/>
      <c r="HX59" s="711"/>
      <c r="HY59" s="711"/>
      <c r="HZ59" s="711"/>
      <c r="IA59" s="711"/>
      <c r="IB59" s="711"/>
      <c r="IC59" s="711"/>
      <c r="ID59" s="711"/>
      <c r="IE59" s="711"/>
      <c r="IF59" s="711"/>
      <c r="IG59" s="711"/>
      <c r="IH59" s="711"/>
      <c r="II59" s="711"/>
      <c r="IJ59" s="711"/>
      <c r="IK59" s="711"/>
      <c r="IL59" s="711"/>
      <c r="IM59" s="711"/>
      <c r="IN59" s="711"/>
      <c r="IO59" s="711"/>
      <c r="IP59" s="711"/>
      <c r="IQ59" s="711"/>
      <c r="IR59" s="711"/>
      <c r="IS59" s="711"/>
      <c r="IT59" s="711"/>
      <c r="IU59" s="711"/>
      <c r="IV59" s="711"/>
    </row>
    <row r="60" spans="1:256" ht="12.75" hidden="1" customHeight="1">
      <c r="A60" s="708" t="s">
        <v>337</v>
      </c>
      <c r="B60" s="690">
        <v>8630.6</v>
      </c>
      <c r="C60" s="708">
        <v>13967</v>
      </c>
      <c r="D60" s="691"/>
      <c r="E60" s="708">
        <f t="shared" si="3"/>
        <v>-5336.4</v>
      </c>
      <c r="F60" s="690">
        <v>5334.2</v>
      </c>
      <c r="G60" s="708">
        <v>48</v>
      </c>
      <c r="H60" s="708">
        <f t="shared" si="4"/>
        <v>5382.2</v>
      </c>
      <c r="I60" s="695"/>
      <c r="J60" s="690">
        <v>-45.8</v>
      </c>
      <c r="K60" s="708">
        <f t="shared" si="5"/>
        <v>5336.4</v>
      </c>
      <c r="L60" s="693"/>
      <c r="M60" s="711"/>
      <c r="N60" s="711"/>
      <c r="O60" s="711"/>
      <c r="P60" s="711"/>
      <c r="Q60" s="711"/>
      <c r="R60" s="711"/>
      <c r="S60" s="711"/>
      <c r="T60" s="711"/>
      <c r="U60" s="711"/>
      <c r="V60" s="711"/>
      <c r="W60" s="711"/>
      <c r="X60" s="711"/>
      <c r="Y60" s="711"/>
      <c r="Z60" s="711"/>
      <c r="AA60" s="711"/>
      <c r="AB60" s="711"/>
      <c r="AC60" s="711"/>
      <c r="AD60" s="711"/>
      <c r="AE60" s="711"/>
      <c r="AF60" s="711"/>
      <c r="AG60" s="711"/>
      <c r="AH60" s="711"/>
      <c r="AI60" s="711"/>
      <c r="AJ60" s="711"/>
      <c r="AK60" s="711"/>
      <c r="AL60" s="711"/>
      <c r="AM60" s="711"/>
      <c r="AN60" s="711"/>
      <c r="AO60" s="711"/>
      <c r="AP60" s="711"/>
      <c r="AQ60" s="711"/>
      <c r="AR60" s="711"/>
      <c r="AS60" s="711"/>
      <c r="AT60" s="711"/>
      <c r="AU60" s="711"/>
      <c r="AV60" s="711"/>
      <c r="AW60" s="711"/>
      <c r="AX60" s="711"/>
      <c r="AY60" s="711"/>
      <c r="AZ60" s="711"/>
      <c r="BA60" s="711"/>
      <c r="BB60" s="711"/>
      <c r="BC60" s="711"/>
      <c r="BD60" s="711"/>
      <c r="BE60" s="711"/>
      <c r="BF60" s="711"/>
      <c r="BG60" s="711"/>
      <c r="BH60" s="711"/>
      <c r="BI60" s="711"/>
      <c r="BJ60" s="711"/>
      <c r="BK60" s="711"/>
      <c r="BL60" s="711"/>
      <c r="BM60" s="711"/>
      <c r="BN60" s="711"/>
      <c r="BO60" s="711"/>
      <c r="BP60" s="711"/>
      <c r="BQ60" s="711"/>
      <c r="BR60" s="711"/>
      <c r="BS60" s="711"/>
      <c r="BT60" s="711"/>
      <c r="BU60" s="711"/>
      <c r="BV60" s="711"/>
      <c r="BW60" s="711"/>
      <c r="BX60" s="711"/>
      <c r="BY60" s="711"/>
      <c r="BZ60" s="711"/>
      <c r="CA60" s="711"/>
      <c r="CB60" s="711"/>
      <c r="CC60" s="711"/>
      <c r="CD60" s="711"/>
      <c r="CE60" s="711"/>
      <c r="CF60" s="711"/>
      <c r="CG60" s="711"/>
      <c r="CH60" s="711"/>
      <c r="CI60" s="711"/>
      <c r="CJ60" s="711"/>
      <c r="CK60" s="711"/>
      <c r="CL60" s="711"/>
      <c r="CM60" s="711"/>
      <c r="CN60" s="711"/>
      <c r="CO60" s="711"/>
      <c r="CP60" s="711"/>
      <c r="CQ60" s="711"/>
      <c r="CR60" s="711"/>
      <c r="CS60" s="711"/>
      <c r="CT60" s="711"/>
      <c r="CU60" s="711"/>
      <c r="CV60" s="711"/>
      <c r="CW60" s="711"/>
      <c r="CX60" s="711"/>
      <c r="CY60" s="711"/>
      <c r="CZ60" s="711"/>
      <c r="DA60" s="711"/>
      <c r="DB60" s="711"/>
      <c r="DC60" s="711"/>
      <c r="DD60" s="711"/>
      <c r="DE60" s="711"/>
      <c r="DF60" s="711"/>
      <c r="DG60" s="711"/>
      <c r="DH60" s="711"/>
      <c r="DI60" s="711"/>
      <c r="DJ60" s="711"/>
      <c r="DK60" s="711"/>
      <c r="DL60" s="711"/>
      <c r="DM60" s="711"/>
      <c r="DN60" s="711"/>
      <c r="DO60" s="711"/>
      <c r="DP60" s="711"/>
      <c r="DQ60" s="711"/>
      <c r="DR60" s="711"/>
      <c r="DS60" s="711"/>
      <c r="DT60" s="711"/>
      <c r="DU60" s="711"/>
      <c r="DV60" s="711"/>
      <c r="DW60" s="711"/>
      <c r="DX60" s="711"/>
      <c r="DY60" s="711"/>
      <c r="DZ60" s="711"/>
      <c r="EA60" s="711"/>
      <c r="EB60" s="711"/>
      <c r="EC60" s="711"/>
      <c r="ED60" s="711"/>
      <c r="EE60" s="711"/>
      <c r="EF60" s="711"/>
      <c r="EG60" s="711"/>
      <c r="EH60" s="711"/>
      <c r="EI60" s="711"/>
      <c r="EJ60" s="711"/>
      <c r="EK60" s="711"/>
      <c r="EL60" s="711"/>
      <c r="EM60" s="711"/>
      <c r="EN60" s="711"/>
      <c r="EO60" s="711"/>
      <c r="EP60" s="711"/>
      <c r="EQ60" s="711"/>
      <c r="ER60" s="711"/>
      <c r="ES60" s="711"/>
      <c r="ET60" s="711"/>
      <c r="EU60" s="711"/>
      <c r="EV60" s="711"/>
      <c r="EW60" s="711"/>
      <c r="EX60" s="711"/>
      <c r="EY60" s="711"/>
      <c r="EZ60" s="711"/>
      <c r="FA60" s="711"/>
      <c r="FB60" s="711"/>
      <c r="FC60" s="711"/>
      <c r="FD60" s="711"/>
      <c r="FE60" s="711"/>
      <c r="FF60" s="711"/>
      <c r="FG60" s="711"/>
      <c r="FH60" s="711"/>
      <c r="FI60" s="711"/>
      <c r="FJ60" s="711"/>
      <c r="FK60" s="711"/>
      <c r="FL60" s="711"/>
      <c r="FM60" s="711"/>
      <c r="FN60" s="711"/>
      <c r="FO60" s="711"/>
      <c r="FP60" s="711"/>
      <c r="FQ60" s="711"/>
      <c r="FR60" s="711"/>
      <c r="FS60" s="711"/>
      <c r="FT60" s="711"/>
      <c r="FU60" s="711"/>
      <c r="FV60" s="711"/>
      <c r="FW60" s="711"/>
      <c r="FX60" s="711"/>
      <c r="FY60" s="711"/>
      <c r="FZ60" s="711"/>
      <c r="GA60" s="711"/>
      <c r="GB60" s="711"/>
      <c r="GC60" s="711"/>
      <c r="GD60" s="711"/>
      <c r="GE60" s="711"/>
      <c r="GF60" s="711"/>
      <c r="GG60" s="711"/>
      <c r="GH60" s="711"/>
      <c r="GI60" s="711"/>
      <c r="GJ60" s="711"/>
      <c r="GK60" s="711"/>
      <c r="GL60" s="711"/>
      <c r="GM60" s="711"/>
      <c r="GN60" s="711"/>
      <c r="GO60" s="711"/>
      <c r="GP60" s="711"/>
      <c r="GQ60" s="711"/>
      <c r="GR60" s="711"/>
      <c r="GS60" s="711"/>
      <c r="GT60" s="711"/>
      <c r="GU60" s="711"/>
      <c r="GV60" s="711"/>
      <c r="GW60" s="711"/>
      <c r="GX60" s="711"/>
      <c r="GY60" s="711"/>
      <c r="GZ60" s="711"/>
      <c r="HA60" s="711"/>
      <c r="HB60" s="711"/>
      <c r="HC60" s="711"/>
      <c r="HD60" s="711"/>
      <c r="HE60" s="711"/>
      <c r="HF60" s="711"/>
      <c r="HG60" s="711"/>
      <c r="HH60" s="711"/>
      <c r="HI60" s="711"/>
      <c r="HJ60" s="711"/>
      <c r="HK60" s="711"/>
      <c r="HL60" s="711"/>
      <c r="HM60" s="711"/>
      <c r="HN60" s="711"/>
      <c r="HO60" s="711"/>
      <c r="HP60" s="711"/>
      <c r="HQ60" s="711"/>
      <c r="HR60" s="711"/>
      <c r="HS60" s="711"/>
      <c r="HT60" s="711"/>
      <c r="HU60" s="711"/>
      <c r="HV60" s="711"/>
      <c r="HW60" s="711"/>
      <c r="HX60" s="711"/>
      <c r="HY60" s="711"/>
      <c r="HZ60" s="711"/>
      <c r="IA60" s="711"/>
      <c r="IB60" s="711"/>
      <c r="IC60" s="711"/>
      <c r="ID60" s="711"/>
      <c r="IE60" s="711"/>
      <c r="IF60" s="711"/>
      <c r="IG60" s="711"/>
      <c r="IH60" s="711"/>
      <c r="II60" s="711"/>
      <c r="IJ60" s="711"/>
      <c r="IK60" s="711"/>
      <c r="IL60" s="711"/>
      <c r="IM60" s="711"/>
      <c r="IN60" s="711"/>
      <c r="IO60" s="711"/>
      <c r="IP60" s="711"/>
      <c r="IQ60" s="711"/>
      <c r="IR60" s="711"/>
      <c r="IS60" s="711"/>
      <c r="IT60" s="711"/>
      <c r="IU60" s="711"/>
      <c r="IV60" s="711"/>
    </row>
    <row r="61" spans="1:256" ht="12.75" hidden="1" customHeight="1">
      <c r="A61" s="708" t="s">
        <v>338</v>
      </c>
      <c r="B61" s="690">
        <f>9289.7+229.9</f>
        <v>9519.6</v>
      </c>
      <c r="C61" s="708">
        <v>12355</v>
      </c>
      <c r="D61" s="691"/>
      <c r="E61" s="708">
        <f t="shared" si="3"/>
        <v>-2835.3999999999996</v>
      </c>
      <c r="F61" s="690">
        <v>3165.1</v>
      </c>
      <c r="G61" s="708">
        <v>-308.5</v>
      </c>
      <c r="H61" s="708">
        <f t="shared" si="4"/>
        <v>2856.6</v>
      </c>
      <c r="I61" s="695"/>
      <c r="J61" s="690">
        <v>-21.2</v>
      </c>
      <c r="K61" s="708">
        <f t="shared" si="5"/>
        <v>2835.4</v>
      </c>
      <c r="L61" s="693"/>
      <c r="M61" s="711"/>
      <c r="N61" s="711"/>
      <c r="O61" s="711"/>
      <c r="P61" s="711"/>
      <c r="Q61" s="711"/>
      <c r="R61" s="711"/>
      <c r="S61" s="711"/>
      <c r="T61" s="711"/>
      <c r="U61" s="711"/>
      <c r="V61" s="711"/>
      <c r="W61" s="711"/>
      <c r="X61" s="711"/>
      <c r="Y61" s="711"/>
      <c r="Z61" s="711"/>
      <c r="AA61" s="711"/>
      <c r="AB61" s="711"/>
      <c r="AC61" s="711"/>
      <c r="AD61" s="711"/>
      <c r="AE61" s="711"/>
      <c r="AF61" s="711"/>
      <c r="AG61" s="711"/>
      <c r="AH61" s="711"/>
      <c r="AI61" s="711"/>
      <c r="AJ61" s="711"/>
      <c r="AK61" s="711"/>
      <c r="AL61" s="711"/>
      <c r="AM61" s="711"/>
      <c r="AN61" s="711"/>
      <c r="AO61" s="711"/>
      <c r="AP61" s="711"/>
      <c r="AQ61" s="711"/>
      <c r="AR61" s="711"/>
      <c r="AS61" s="711"/>
      <c r="AT61" s="711"/>
      <c r="AU61" s="711"/>
      <c r="AV61" s="711"/>
      <c r="AW61" s="711"/>
      <c r="AX61" s="711"/>
      <c r="AY61" s="711"/>
      <c r="AZ61" s="711"/>
      <c r="BA61" s="711"/>
      <c r="BB61" s="711"/>
      <c r="BC61" s="711"/>
      <c r="BD61" s="711"/>
      <c r="BE61" s="711"/>
      <c r="BF61" s="711"/>
      <c r="BG61" s="711"/>
      <c r="BH61" s="711"/>
      <c r="BI61" s="711"/>
      <c r="BJ61" s="711"/>
      <c r="BK61" s="711"/>
      <c r="BL61" s="711"/>
      <c r="BM61" s="711"/>
      <c r="BN61" s="711"/>
      <c r="BO61" s="711"/>
      <c r="BP61" s="711"/>
      <c r="BQ61" s="711"/>
      <c r="BR61" s="711"/>
      <c r="BS61" s="711"/>
      <c r="BT61" s="711"/>
      <c r="BU61" s="711"/>
      <c r="BV61" s="711"/>
      <c r="BW61" s="711"/>
      <c r="BX61" s="711"/>
      <c r="BY61" s="711"/>
      <c r="BZ61" s="711"/>
      <c r="CA61" s="711"/>
      <c r="CB61" s="711"/>
      <c r="CC61" s="711"/>
      <c r="CD61" s="711"/>
      <c r="CE61" s="711"/>
      <c r="CF61" s="711"/>
      <c r="CG61" s="711"/>
      <c r="CH61" s="711"/>
      <c r="CI61" s="711"/>
      <c r="CJ61" s="711"/>
      <c r="CK61" s="711"/>
      <c r="CL61" s="711"/>
      <c r="CM61" s="711"/>
      <c r="CN61" s="711"/>
      <c r="CO61" s="711"/>
      <c r="CP61" s="711"/>
      <c r="CQ61" s="711"/>
      <c r="CR61" s="711"/>
      <c r="CS61" s="711"/>
      <c r="CT61" s="711"/>
      <c r="CU61" s="711"/>
      <c r="CV61" s="711"/>
      <c r="CW61" s="711"/>
      <c r="CX61" s="711"/>
      <c r="CY61" s="711"/>
      <c r="CZ61" s="711"/>
      <c r="DA61" s="711"/>
      <c r="DB61" s="711"/>
      <c r="DC61" s="711"/>
      <c r="DD61" s="711"/>
      <c r="DE61" s="711"/>
      <c r="DF61" s="711"/>
      <c r="DG61" s="711"/>
      <c r="DH61" s="711"/>
      <c r="DI61" s="711"/>
      <c r="DJ61" s="711"/>
      <c r="DK61" s="711"/>
      <c r="DL61" s="711"/>
      <c r="DM61" s="711"/>
      <c r="DN61" s="711"/>
      <c r="DO61" s="711"/>
      <c r="DP61" s="711"/>
      <c r="DQ61" s="711"/>
      <c r="DR61" s="711"/>
      <c r="DS61" s="711"/>
      <c r="DT61" s="711"/>
      <c r="DU61" s="711"/>
      <c r="DV61" s="711"/>
      <c r="DW61" s="711"/>
      <c r="DX61" s="711"/>
      <c r="DY61" s="711"/>
      <c r="DZ61" s="711"/>
      <c r="EA61" s="711"/>
      <c r="EB61" s="711"/>
      <c r="EC61" s="711"/>
      <c r="ED61" s="711"/>
      <c r="EE61" s="711"/>
      <c r="EF61" s="711"/>
      <c r="EG61" s="711"/>
      <c r="EH61" s="711"/>
      <c r="EI61" s="711"/>
      <c r="EJ61" s="711"/>
      <c r="EK61" s="711"/>
      <c r="EL61" s="711"/>
      <c r="EM61" s="711"/>
      <c r="EN61" s="711"/>
      <c r="EO61" s="711"/>
      <c r="EP61" s="711"/>
      <c r="EQ61" s="711"/>
      <c r="ER61" s="711"/>
      <c r="ES61" s="711"/>
      <c r="ET61" s="711"/>
      <c r="EU61" s="711"/>
      <c r="EV61" s="711"/>
      <c r="EW61" s="711"/>
      <c r="EX61" s="711"/>
      <c r="EY61" s="711"/>
      <c r="EZ61" s="711"/>
      <c r="FA61" s="711"/>
      <c r="FB61" s="711"/>
      <c r="FC61" s="711"/>
      <c r="FD61" s="711"/>
      <c r="FE61" s="711"/>
      <c r="FF61" s="711"/>
      <c r="FG61" s="711"/>
      <c r="FH61" s="711"/>
      <c r="FI61" s="711"/>
      <c r="FJ61" s="711"/>
      <c r="FK61" s="711"/>
      <c r="FL61" s="711"/>
      <c r="FM61" s="711"/>
      <c r="FN61" s="711"/>
      <c r="FO61" s="711"/>
      <c r="FP61" s="711"/>
      <c r="FQ61" s="711"/>
      <c r="FR61" s="711"/>
      <c r="FS61" s="711"/>
      <c r="FT61" s="711"/>
      <c r="FU61" s="711"/>
      <c r="FV61" s="711"/>
      <c r="FW61" s="711"/>
      <c r="FX61" s="711"/>
      <c r="FY61" s="711"/>
      <c r="FZ61" s="711"/>
      <c r="GA61" s="711"/>
      <c r="GB61" s="711"/>
      <c r="GC61" s="711"/>
      <c r="GD61" s="711"/>
      <c r="GE61" s="711"/>
      <c r="GF61" s="711"/>
      <c r="GG61" s="711"/>
      <c r="GH61" s="711"/>
      <c r="GI61" s="711"/>
      <c r="GJ61" s="711"/>
      <c r="GK61" s="711"/>
      <c r="GL61" s="711"/>
      <c r="GM61" s="711"/>
      <c r="GN61" s="711"/>
      <c r="GO61" s="711"/>
      <c r="GP61" s="711"/>
      <c r="GQ61" s="711"/>
      <c r="GR61" s="711"/>
      <c r="GS61" s="711"/>
      <c r="GT61" s="711"/>
      <c r="GU61" s="711"/>
      <c r="GV61" s="711"/>
      <c r="GW61" s="711"/>
      <c r="GX61" s="711"/>
      <c r="GY61" s="711"/>
      <c r="GZ61" s="711"/>
      <c r="HA61" s="711"/>
      <c r="HB61" s="711"/>
      <c r="HC61" s="711"/>
      <c r="HD61" s="711"/>
      <c r="HE61" s="711"/>
      <c r="HF61" s="711"/>
      <c r="HG61" s="711"/>
      <c r="HH61" s="711"/>
      <c r="HI61" s="711"/>
      <c r="HJ61" s="711"/>
      <c r="HK61" s="711"/>
      <c r="HL61" s="711"/>
      <c r="HM61" s="711"/>
      <c r="HN61" s="711"/>
      <c r="HO61" s="711"/>
      <c r="HP61" s="711"/>
      <c r="HQ61" s="711"/>
      <c r="HR61" s="711"/>
      <c r="HS61" s="711"/>
      <c r="HT61" s="711"/>
      <c r="HU61" s="711"/>
      <c r="HV61" s="711"/>
      <c r="HW61" s="711"/>
      <c r="HX61" s="711"/>
      <c r="HY61" s="711"/>
      <c r="HZ61" s="711"/>
      <c r="IA61" s="711"/>
      <c r="IB61" s="711"/>
      <c r="IC61" s="711"/>
      <c r="ID61" s="711"/>
      <c r="IE61" s="711"/>
      <c r="IF61" s="711"/>
      <c r="IG61" s="711"/>
      <c r="IH61" s="711"/>
      <c r="II61" s="711"/>
      <c r="IJ61" s="711"/>
      <c r="IK61" s="711"/>
      <c r="IL61" s="711"/>
      <c r="IM61" s="711"/>
      <c r="IN61" s="711"/>
      <c r="IO61" s="711"/>
      <c r="IP61" s="711"/>
      <c r="IQ61" s="711"/>
      <c r="IR61" s="711"/>
      <c r="IS61" s="711"/>
      <c r="IT61" s="711"/>
      <c r="IU61" s="711"/>
      <c r="IV61" s="711"/>
    </row>
    <row r="62" spans="1:256" ht="12.75" hidden="1" customHeight="1">
      <c r="A62" s="708" t="s">
        <v>339</v>
      </c>
      <c r="B62" s="690">
        <f>13008.6+3.9</f>
        <v>13012.5</v>
      </c>
      <c r="C62" s="708">
        <v>10774.4</v>
      </c>
      <c r="D62" s="691"/>
      <c r="E62" s="708">
        <f t="shared" si="3"/>
        <v>2238.1000000000004</v>
      </c>
      <c r="F62" s="690">
        <v>2270.3000000000002</v>
      </c>
      <c r="G62" s="708">
        <v>119.6</v>
      </c>
      <c r="H62" s="708">
        <f t="shared" si="4"/>
        <v>2389.9</v>
      </c>
      <c r="I62" s="695"/>
      <c r="J62" s="690">
        <v>-151.80000000000001</v>
      </c>
      <c r="K62" s="708">
        <f>-(+J62+H62)</f>
        <v>-2238.1</v>
      </c>
      <c r="L62" s="693"/>
      <c r="M62" s="711"/>
      <c r="N62" s="711"/>
      <c r="O62" s="711"/>
      <c r="P62" s="711"/>
      <c r="Q62" s="711"/>
      <c r="R62" s="711"/>
      <c r="S62" s="711"/>
      <c r="T62" s="711"/>
      <c r="U62" s="711"/>
      <c r="V62" s="711"/>
      <c r="W62" s="711"/>
      <c r="X62" s="711"/>
      <c r="Y62" s="711"/>
      <c r="Z62" s="711"/>
      <c r="AA62" s="711"/>
      <c r="AB62" s="711"/>
      <c r="AC62" s="711"/>
      <c r="AD62" s="711"/>
      <c r="AE62" s="711"/>
      <c r="AF62" s="711"/>
      <c r="AG62" s="711"/>
      <c r="AH62" s="711"/>
      <c r="AI62" s="711"/>
      <c r="AJ62" s="711"/>
      <c r="AK62" s="711"/>
      <c r="AL62" s="711"/>
      <c r="AM62" s="711"/>
      <c r="AN62" s="711"/>
      <c r="AO62" s="711"/>
      <c r="AP62" s="711"/>
      <c r="AQ62" s="711"/>
      <c r="AR62" s="711"/>
      <c r="AS62" s="711"/>
      <c r="AT62" s="711"/>
      <c r="AU62" s="711"/>
      <c r="AV62" s="711"/>
      <c r="AW62" s="711"/>
      <c r="AX62" s="711"/>
      <c r="AY62" s="711"/>
      <c r="AZ62" s="711"/>
      <c r="BA62" s="711"/>
      <c r="BB62" s="711"/>
      <c r="BC62" s="711"/>
      <c r="BD62" s="711"/>
      <c r="BE62" s="711"/>
      <c r="BF62" s="711"/>
      <c r="BG62" s="711"/>
      <c r="BH62" s="711"/>
      <c r="BI62" s="711"/>
      <c r="BJ62" s="711"/>
      <c r="BK62" s="711"/>
      <c r="BL62" s="711"/>
      <c r="BM62" s="711"/>
      <c r="BN62" s="711"/>
      <c r="BO62" s="711"/>
      <c r="BP62" s="711"/>
      <c r="BQ62" s="711"/>
      <c r="BR62" s="711"/>
      <c r="BS62" s="711"/>
      <c r="BT62" s="711"/>
      <c r="BU62" s="711"/>
      <c r="BV62" s="711"/>
      <c r="BW62" s="711"/>
      <c r="BX62" s="711"/>
      <c r="BY62" s="711"/>
      <c r="BZ62" s="711"/>
      <c r="CA62" s="711"/>
      <c r="CB62" s="711"/>
      <c r="CC62" s="711"/>
      <c r="CD62" s="711"/>
      <c r="CE62" s="711"/>
      <c r="CF62" s="711"/>
      <c r="CG62" s="711"/>
      <c r="CH62" s="711"/>
      <c r="CI62" s="711"/>
      <c r="CJ62" s="711"/>
      <c r="CK62" s="711"/>
      <c r="CL62" s="711"/>
      <c r="CM62" s="711"/>
      <c r="CN62" s="711"/>
      <c r="CO62" s="711"/>
      <c r="CP62" s="711"/>
      <c r="CQ62" s="711"/>
      <c r="CR62" s="711"/>
      <c r="CS62" s="711"/>
      <c r="CT62" s="711"/>
      <c r="CU62" s="711"/>
      <c r="CV62" s="711"/>
      <c r="CW62" s="711"/>
      <c r="CX62" s="711"/>
      <c r="CY62" s="711"/>
      <c r="CZ62" s="711"/>
      <c r="DA62" s="711"/>
      <c r="DB62" s="711"/>
      <c r="DC62" s="711"/>
      <c r="DD62" s="711"/>
      <c r="DE62" s="711"/>
      <c r="DF62" s="711"/>
      <c r="DG62" s="711"/>
      <c r="DH62" s="711"/>
      <c r="DI62" s="711"/>
      <c r="DJ62" s="711"/>
      <c r="DK62" s="711"/>
      <c r="DL62" s="711"/>
      <c r="DM62" s="711"/>
      <c r="DN62" s="711"/>
      <c r="DO62" s="711"/>
      <c r="DP62" s="711"/>
      <c r="DQ62" s="711"/>
      <c r="DR62" s="711"/>
      <c r="DS62" s="711"/>
      <c r="DT62" s="711"/>
      <c r="DU62" s="711"/>
      <c r="DV62" s="711"/>
      <c r="DW62" s="711"/>
      <c r="DX62" s="711"/>
      <c r="DY62" s="711"/>
      <c r="DZ62" s="711"/>
      <c r="EA62" s="711"/>
      <c r="EB62" s="711"/>
      <c r="EC62" s="711"/>
      <c r="ED62" s="711"/>
      <c r="EE62" s="711"/>
      <c r="EF62" s="711"/>
      <c r="EG62" s="711"/>
      <c r="EH62" s="711"/>
      <c r="EI62" s="711"/>
      <c r="EJ62" s="711"/>
      <c r="EK62" s="711"/>
      <c r="EL62" s="711"/>
      <c r="EM62" s="711"/>
      <c r="EN62" s="711"/>
      <c r="EO62" s="711"/>
      <c r="EP62" s="711"/>
      <c r="EQ62" s="711"/>
      <c r="ER62" s="711"/>
      <c r="ES62" s="711"/>
      <c r="ET62" s="711"/>
      <c r="EU62" s="711"/>
      <c r="EV62" s="711"/>
      <c r="EW62" s="711"/>
      <c r="EX62" s="711"/>
      <c r="EY62" s="711"/>
      <c r="EZ62" s="711"/>
      <c r="FA62" s="711"/>
      <c r="FB62" s="711"/>
      <c r="FC62" s="711"/>
      <c r="FD62" s="711"/>
      <c r="FE62" s="711"/>
      <c r="FF62" s="711"/>
      <c r="FG62" s="711"/>
      <c r="FH62" s="711"/>
      <c r="FI62" s="711"/>
      <c r="FJ62" s="711"/>
      <c r="FK62" s="711"/>
      <c r="FL62" s="711"/>
      <c r="FM62" s="711"/>
      <c r="FN62" s="711"/>
      <c r="FO62" s="711"/>
      <c r="FP62" s="711"/>
      <c r="FQ62" s="711"/>
      <c r="FR62" s="711"/>
      <c r="FS62" s="711"/>
      <c r="FT62" s="711"/>
      <c r="FU62" s="711"/>
      <c r="FV62" s="711"/>
      <c r="FW62" s="711"/>
      <c r="FX62" s="711"/>
      <c r="FY62" s="711"/>
      <c r="FZ62" s="711"/>
      <c r="GA62" s="711"/>
      <c r="GB62" s="711"/>
      <c r="GC62" s="711"/>
      <c r="GD62" s="711"/>
      <c r="GE62" s="711"/>
      <c r="GF62" s="711"/>
      <c r="GG62" s="711"/>
      <c r="GH62" s="711"/>
      <c r="GI62" s="711"/>
      <c r="GJ62" s="711"/>
      <c r="GK62" s="711"/>
      <c r="GL62" s="711"/>
      <c r="GM62" s="711"/>
      <c r="GN62" s="711"/>
      <c r="GO62" s="711"/>
      <c r="GP62" s="711"/>
      <c r="GQ62" s="711"/>
      <c r="GR62" s="711"/>
      <c r="GS62" s="711"/>
      <c r="GT62" s="711"/>
      <c r="GU62" s="711"/>
      <c r="GV62" s="711"/>
      <c r="GW62" s="711"/>
      <c r="GX62" s="711"/>
      <c r="GY62" s="711"/>
      <c r="GZ62" s="711"/>
      <c r="HA62" s="711"/>
      <c r="HB62" s="711"/>
      <c r="HC62" s="711"/>
      <c r="HD62" s="711"/>
      <c r="HE62" s="711"/>
      <c r="HF62" s="711"/>
      <c r="HG62" s="711"/>
      <c r="HH62" s="711"/>
      <c r="HI62" s="711"/>
      <c r="HJ62" s="711"/>
      <c r="HK62" s="711"/>
      <c r="HL62" s="711"/>
      <c r="HM62" s="711"/>
      <c r="HN62" s="711"/>
      <c r="HO62" s="711"/>
      <c r="HP62" s="711"/>
      <c r="HQ62" s="711"/>
      <c r="HR62" s="711"/>
      <c r="HS62" s="711"/>
      <c r="HT62" s="711"/>
      <c r="HU62" s="711"/>
      <c r="HV62" s="711"/>
      <c r="HW62" s="711"/>
      <c r="HX62" s="711"/>
      <c r="HY62" s="711"/>
      <c r="HZ62" s="711"/>
      <c r="IA62" s="711"/>
      <c r="IB62" s="711"/>
      <c r="IC62" s="711"/>
      <c r="ID62" s="711"/>
      <c r="IE62" s="711"/>
      <c r="IF62" s="711"/>
      <c r="IG62" s="711"/>
      <c r="IH62" s="711"/>
      <c r="II62" s="711"/>
      <c r="IJ62" s="711"/>
      <c r="IK62" s="711"/>
      <c r="IL62" s="711"/>
      <c r="IM62" s="711"/>
      <c r="IN62" s="711"/>
      <c r="IO62" s="711"/>
      <c r="IP62" s="711"/>
      <c r="IQ62" s="711"/>
      <c r="IR62" s="711"/>
      <c r="IS62" s="711"/>
      <c r="IT62" s="711"/>
      <c r="IU62" s="711"/>
      <c r="IV62" s="711"/>
    </row>
    <row r="63" spans="1:256" ht="12.75" hidden="1" customHeight="1">
      <c r="A63" s="708" t="s">
        <v>340</v>
      </c>
      <c r="B63" s="690">
        <v>10744.3</v>
      </c>
      <c r="C63" s="708">
        <v>15745.5</v>
      </c>
      <c r="D63" s="691"/>
      <c r="E63" s="708">
        <f t="shared" si="3"/>
        <v>-5001.2000000000007</v>
      </c>
      <c r="F63" s="690">
        <v>5077.8999999999996</v>
      </c>
      <c r="G63" s="708">
        <v>-20.8</v>
      </c>
      <c r="H63" s="708">
        <f t="shared" si="4"/>
        <v>5057.0999999999995</v>
      </c>
      <c r="I63" s="695"/>
      <c r="J63" s="690">
        <v>-55.9</v>
      </c>
      <c r="K63" s="708">
        <f>J63+H63</f>
        <v>5001.2</v>
      </c>
      <c r="L63" s="693"/>
      <c r="M63" s="711"/>
      <c r="N63" s="711"/>
      <c r="O63" s="711"/>
      <c r="P63" s="711"/>
      <c r="Q63" s="711"/>
      <c r="R63" s="711"/>
      <c r="S63" s="711"/>
      <c r="T63" s="711"/>
      <c r="U63" s="711"/>
      <c r="V63" s="711"/>
      <c r="W63" s="711"/>
      <c r="X63" s="711"/>
      <c r="Y63" s="711"/>
      <c r="Z63" s="711"/>
      <c r="AA63" s="711"/>
      <c r="AB63" s="711"/>
      <c r="AC63" s="711"/>
      <c r="AD63" s="711"/>
      <c r="AE63" s="711"/>
      <c r="AF63" s="711"/>
      <c r="AG63" s="711"/>
      <c r="AH63" s="711"/>
      <c r="AI63" s="711"/>
      <c r="AJ63" s="711"/>
      <c r="AK63" s="711"/>
      <c r="AL63" s="711"/>
      <c r="AM63" s="711"/>
      <c r="AN63" s="711"/>
      <c r="AO63" s="711"/>
      <c r="AP63" s="711"/>
      <c r="AQ63" s="711"/>
      <c r="AR63" s="711"/>
      <c r="AS63" s="711"/>
      <c r="AT63" s="711"/>
      <c r="AU63" s="711"/>
      <c r="AV63" s="711"/>
      <c r="AW63" s="711"/>
      <c r="AX63" s="711"/>
      <c r="AY63" s="711"/>
      <c r="AZ63" s="711"/>
      <c r="BA63" s="711"/>
      <c r="BB63" s="711"/>
      <c r="BC63" s="711"/>
      <c r="BD63" s="711"/>
      <c r="BE63" s="711"/>
      <c r="BF63" s="711"/>
      <c r="BG63" s="711"/>
      <c r="BH63" s="711"/>
      <c r="BI63" s="711"/>
      <c r="BJ63" s="711"/>
      <c r="BK63" s="711"/>
      <c r="BL63" s="711"/>
      <c r="BM63" s="711"/>
      <c r="BN63" s="711"/>
      <c r="BO63" s="711"/>
      <c r="BP63" s="711"/>
      <c r="BQ63" s="711"/>
      <c r="BR63" s="711"/>
      <c r="BS63" s="711"/>
      <c r="BT63" s="711"/>
      <c r="BU63" s="711"/>
      <c r="BV63" s="711"/>
      <c r="BW63" s="711"/>
      <c r="BX63" s="711"/>
      <c r="BY63" s="711"/>
      <c r="BZ63" s="711"/>
      <c r="CA63" s="711"/>
      <c r="CB63" s="711"/>
      <c r="CC63" s="711"/>
      <c r="CD63" s="711"/>
      <c r="CE63" s="711"/>
      <c r="CF63" s="711"/>
      <c r="CG63" s="711"/>
      <c r="CH63" s="711"/>
      <c r="CI63" s="711"/>
      <c r="CJ63" s="711"/>
      <c r="CK63" s="711"/>
      <c r="CL63" s="711"/>
      <c r="CM63" s="711"/>
      <c r="CN63" s="711"/>
      <c r="CO63" s="711"/>
      <c r="CP63" s="711"/>
      <c r="CQ63" s="711"/>
      <c r="CR63" s="711"/>
      <c r="CS63" s="711"/>
      <c r="CT63" s="711"/>
      <c r="CU63" s="711"/>
      <c r="CV63" s="711"/>
      <c r="CW63" s="711"/>
      <c r="CX63" s="711"/>
      <c r="CY63" s="711"/>
      <c r="CZ63" s="711"/>
      <c r="DA63" s="711"/>
      <c r="DB63" s="711"/>
      <c r="DC63" s="711"/>
      <c r="DD63" s="711"/>
      <c r="DE63" s="711"/>
      <c r="DF63" s="711"/>
      <c r="DG63" s="711"/>
      <c r="DH63" s="711"/>
      <c r="DI63" s="711"/>
      <c r="DJ63" s="711"/>
      <c r="DK63" s="711"/>
      <c r="DL63" s="711"/>
      <c r="DM63" s="711"/>
      <c r="DN63" s="711"/>
      <c r="DO63" s="711"/>
      <c r="DP63" s="711"/>
      <c r="DQ63" s="711"/>
      <c r="DR63" s="711"/>
      <c r="DS63" s="711"/>
      <c r="DT63" s="711"/>
      <c r="DU63" s="711"/>
      <c r="DV63" s="711"/>
      <c r="DW63" s="711"/>
      <c r="DX63" s="711"/>
      <c r="DY63" s="711"/>
      <c r="DZ63" s="711"/>
      <c r="EA63" s="711"/>
      <c r="EB63" s="711"/>
      <c r="EC63" s="711"/>
      <c r="ED63" s="711"/>
      <c r="EE63" s="711"/>
      <c r="EF63" s="711"/>
      <c r="EG63" s="711"/>
      <c r="EH63" s="711"/>
      <c r="EI63" s="711"/>
      <c r="EJ63" s="711"/>
      <c r="EK63" s="711"/>
      <c r="EL63" s="711"/>
      <c r="EM63" s="711"/>
      <c r="EN63" s="711"/>
      <c r="EO63" s="711"/>
      <c r="EP63" s="711"/>
      <c r="EQ63" s="711"/>
      <c r="ER63" s="711"/>
      <c r="ES63" s="711"/>
      <c r="ET63" s="711"/>
      <c r="EU63" s="711"/>
      <c r="EV63" s="711"/>
      <c r="EW63" s="711"/>
      <c r="EX63" s="711"/>
      <c r="EY63" s="711"/>
      <c r="EZ63" s="711"/>
      <c r="FA63" s="711"/>
      <c r="FB63" s="711"/>
      <c r="FC63" s="711"/>
      <c r="FD63" s="711"/>
      <c r="FE63" s="711"/>
      <c r="FF63" s="711"/>
      <c r="FG63" s="711"/>
      <c r="FH63" s="711"/>
      <c r="FI63" s="711"/>
      <c r="FJ63" s="711"/>
      <c r="FK63" s="711"/>
      <c r="FL63" s="711"/>
      <c r="FM63" s="711"/>
      <c r="FN63" s="711"/>
      <c r="FO63" s="711"/>
      <c r="FP63" s="711"/>
      <c r="FQ63" s="711"/>
      <c r="FR63" s="711"/>
      <c r="FS63" s="711"/>
      <c r="FT63" s="711"/>
      <c r="FU63" s="711"/>
      <c r="FV63" s="711"/>
      <c r="FW63" s="711"/>
      <c r="FX63" s="711"/>
      <c r="FY63" s="711"/>
      <c r="FZ63" s="711"/>
      <c r="GA63" s="711"/>
      <c r="GB63" s="711"/>
      <c r="GC63" s="711"/>
      <c r="GD63" s="711"/>
      <c r="GE63" s="711"/>
      <c r="GF63" s="711"/>
      <c r="GG63" s="711"/>
      <c r="GH63" s="711"/>
      <c r="GI63" s="711"/>
      <c r="GJ63" s="711"/>
      <c r="GK63" s="711"/>
      <c r="GL63" s="711"/>
      <c r="GM63" s="711"/>
      <c r="GN63" s="711"/>
      <c r="GO63" s="711"/>
      <c r="GP63" s="711"/>
      <c r="GQ63" s="711"/>
      <c r="GR63" s="711"/>
      <c r="GS63" s="711"/>
      <c r="GT63" s="711"/>
      <c r="GU63" s="711"/>
      <c r="GV63" s="711"/>
      <c r="GW63" s="711"/>
      <c r="GX63" s="711"/>
      <c r="GY63" s="711"/>
      <c r="GZ63" s="711"/>
      <c r="HA63" s="711"/>
      <c r="HB63" s="711"/>
      <c r="HC63" s="711"/>
      <c r="HD63" s="711"/>
      <c r="HE63" s="711"/>
      <c r="HF63" s="711"/>
      <c r="HG63" s="711"/>
      <c r="HH63" s="711"/>
      <c r="HI63" s="711"/>
      <c r="HJ63" s="711"/>
      <c r="HK63" s="711"/>
      <c r="HL63" s="711"/>
      <c r="HM63" s="711"/>
      <c r="HN63" s="711"/>
      <c r="HO63" s="711"/>
      <c r="HP63" s="711"/>
      <c r="HQ63" s="711"/>
      <c r="HR63" s="711"/>
      <c r="HS63" s="711"/>
      <c r="HT63" s="711"/>
      <c r="HU63" s="711"/>
      <c r="HV63" s="711"/>
      <c r="HW63" s="711"/>
      <c r="HX63" s="711"/>
      <c r="HY63" s="711"/>
      <c r="HZ63" s="711"/>
      <c r="IA63" s="711"/>
      <c r="IB63" s="711"/>
      <c r="IC63" s="711"/>
      <c r="ID63" s="711"/>
      <c r="IE63" s="711"/>
      <c r="IF63" s="711"/>
      <c r="IG63" s="711"/>
      <c r="IH63" s="711"/>
      <c r="II63" s="711"/>
      <c r="IJ63" s="711"/>
      <c r="IK63" s="711"/>
      <c r="IL63" s="711"/>
      <c r="IM63" s="711"/>
      <c r="IN63" s="711"/>
      <c r="IO63" s="711"/>
      <c r="IP63" s="711"/>
      <c r="IQ63" s="711"/>
      <c r="IR63" s="711"/>
      <c r="IS63" s="711"/>
      <c r="IT63" s="711"/>
      <c r="IU63" s="711"/>
      <c r="IV63" s="711"/>
    </row>
    <row r="64" spans="1:256" ht="12.75" hidden="1" customHeight="1">
      <c r="A64" s="708" t="s">
        <v>341</v>
      </c>
      <c r="B64" s="690">
        <f>10797.3+558.5</f>
        <v>11355.8</v>
      </c>
      <c r="C64" s="708">
        <v>18231</v>
      </c>
      <c r="D64" s="691"/>
      <c r="E64" s="708">
        <f t="shared" si="3"/>
        <v>-6875.2000000000007</v>
      </c>
      <c r="F64" s="708">
        <v>6422</v>
      </c>
      <c r="G64" s="708">
        <v>454.2</v>
      </c>
      <c r="H64" s="708">
        <f t="shared" si="4"/>
        <v>6876.2</v>
      </c>
      <c r="I64" s="695"/>
      <c r="J64" s="708">
        <v>-1</v>
      </c>
      <c r="K64" s="708">
        <f>J64+H64</f>
        <v>6875.2</v>
      </c>
      <c r="L64" s="693"/>
      <c r="M64" s="711"/>
      <c r="N64" s="711"/>
      <c r="O64" s="711"/>
      <c r="P64" s="711"/>
      <c r="Q64" s="711"/>
      <c r="R64" s="711"/>
      <c r="S64" s="711"/>
      <c r="T64" s="711"/>
      <c r="U64" s="711"/>
      <c r="V64" s="711"/>
      <c r="W64" s="711"/>
      <c r="X64" s="711"/>
      <c r="Y64" s="711"/>
      <c r="Z64" s="711"/>
      <c r="AA64" s="711"/>
      <c r="AB64" s="711"/>
      <c r="AC64" s="711"/>
      <c r="AD64" s="711"/>
      <c r="AE64" s="711"/>
      <c r="AF64" s="711"/>
      <c r="AG64" s="711"/>
      <c r="AH64" s="711"/>
      <c r="AI64" s="711"/>
      <c r="AJ64" s="711"/>
      <c r="AK64" s="711"/>
      <c r="AL64" s="711"/>
      <c r="AM64" s="711"/>
      <c r="AN64" s="711"/>
      <c r="AO64" s="711"/>
      <c r="AP64" s="711"/>
      <c r="AQ64" s="711"/>
      <c r="AR64" s="711"/>
      <c r="AS64" s="711"/>
      <c r="AT64" s="711"/>
      <c r="AU64" s="711"/>
      <c r="AV64" s="711"/>
      <c r="AW64" s="711"/>
      <c r="AX64" s="711"/>
      <c r="AY64" s="711"/>
      <c r="AZ64" s="711"/>
      <c r="BA64" s="711"/>
      <c r="BB64" s="711"/>
      <c r="BC64" s="711"/>
      <c r="BD64" s="711"/>
      <c r="BE64" s="711"/>
      <c r="BF64" s="711"/>
      <c r="BG64" s="711"/>
      <c r="BH64" s="711"/>
      <c r="BI64" s="711"/>
      <c r="BJ64" s="711"/>
      <c r="BK64" s="711"/>
      <c r="BL64" s="711"/>
      <c r="BM64" s="711"/>
      <c r="BN64" s="711"/>
      <c r="BO64" s="711"/>
      <c r="BP64" s="711"/>
      <c r="BQ64" s="711"/>
      <c r="BR64" s="711"/>
      <c r="BS64" s="711"/>
      <c r="BT64" s="711"/>
      <c r="BU64" s="711"/>
      <c r="BV64" s="711"/>
      <c r="BW64" s="711"/>
      <c r="BX64" s="711"/>
      <c r="BY64" s="711"/>
      <c r="BZ64" s="711"/>
      <c r="CA64" s="711"/>
      <c r="CB64" s="711"/>
      <c r="CC64" s="711"/>
      <c r="CD64" s="711"/>
      <c r="CE64" s="711"/>
      <c r="CF64" s="711"/>
      <c r="CG64" s="711"/>
      <c r="CH64" s="711"/>
      <c r="CI64" s="711"/>
      <c r="CJ64" s="711"/>
      <c r="CK64" s="711"/>
      <c r="CL64" s="711"/>
      <c r="CM64" s="711"/>
      <c r="CN64" s="711"/>
      <c r="CO64" s="711"/>
      <c r="CP64" s="711"/>
      <c r="CQ64" s="711"/>
      <c r="CR64" s="711"/>
      <c r="CS64" s="711"/>
      <c r="CT64" s="711"/>
      <c r="CU64" s="711"/>
      <c r="CV64" s="711"/>
      <c r="CW64" s="711"/>
      <c r="CX64" s="711"/>
      <c r="CY64" s="711"/>
      <c r="CZ64" s="711"/>
      <c r="DA64" s="711"/>
      <c r="DB64" s="711"/>
      <c r="DC64" s="711"/>
      <c r="DD64" s="711"/>
      <c r="DE64" s="711"/>
      <c r="DF64" s="711"/>
      <c r="DG64" s="711"/>
      <c r="DH64" s="711"/>
      <c r="DI64" s="711"/>
      <c r="DJ64" s="711"/>
      <c r="DK64" s="711"/>
      <c r="DL64" s="711"/>
      <c r="DM64" s="711"/>
      <c r="DN64" s="711"/>
      <c r="DO64" s="711"/>
      <c r="DP64" s="711"/>
      <c r="DQ64" s="711"/>
      <c r="DR64" s="711"/>
      <c r="DS64" s="711"/>
      <c r="DT64" s="711"/>
      <c r="DU64" s="711"/>
      <c r="DV64" s="711"/>
      <c r="DW64" s="711"/>
      <c r="DX64" s="711"/>
      <c r="DY64" s="711"/>
      <c r="DZ64" s="711"/>
      <c r="EA64" s="711"/>
      <c r="EB64" s="711"/>
      <c r="EC64" s="711"/>
      <c r="ED64" s="711"/>
      <c r="EE64" s="711"/>
      <c r="EF64" s="711"/>
      <c r="EG64" s="711"/>
      <c r="EH64" s="711"/>
      <c r="EI64" s="711"/>
      <c r="EJ64" s="711"/>
      <c r="EK64" s="711"/>
      <c r="EL64" s="711"/>
      <c r="EM64" s="711"/>
      <c r="EN64" s="711"/>
      <c r="EO64" s="711"/>
      <c r="EP64" s="711"/>
      <c r="EQ64" s="711"/>
      <c r="ER64" s="711"/>
      <c r="ES64" s="711"/>
      <c r="ET64" s="711"/>
      <c r="EU64" s="711"/>
      <c r="EV64" s="711"/>
      <c r="EW64" s="711"/>
      <c r="EX64" s="711"/>
      <c r="EY64" s="711"/>
      <c r="EZ64" s="711"/>
      <c r="FA64" s="711"/>
      <c r="FB64" s="711"/>
      <c r="FC64" s="711"/>
      <c r="FD64" s="711"/>
      <c r="FE64" s="711"/>
      <c r="FF64" s="711"/>
      <c r="FG64" s="711"/>
      <c r="FH64" s="711"/>
      <c r="FI64" s="711"/>
      <c r="FJ64" s="711"/>
      <c r="FK64" s="711"/>
      <c r="FL64" s="711"/>
      <c r="FM64" s="711"/>
      <c r="FN64" s="711"/>
      <c r="FO64" s="711"/>
      <c r="FP64" s="711"/>
      <c r="FQ64" s="711"/>
      <c r="FR64" s="711"/>
      <c r="FS64" s="711"/>
      <c r="FT64" s="711"/>
      <c r="FU64" s="711"/>
      <c r="FV64" s="711"/>
      <c r="FW64" s="711"/>
      <c r="FX64" s="711"/>
      <c r="FY64" s="711"/>
      <c r="FZ64" s="711"/>
      <c r="GA64" s="711"/>
      <c r="GB64" s="711"/>
      <c r="GC64" s="711"/>
      <c r="GD64" s="711"/>
      <c r="GE64" s="711"/>
      <c r="GF64" s="711"/>
      <c r="GG64" s="711"/>
      <c r="GH64" s="711"/>
      <c r="GI64" s="711"/>
      <c r="GJ64" s="711"/>
      <c r="GK64" s="711"/>
      <c r="GL64" s="711"/>
      <c r="GM64" s="711"/>
      <c r="GN64" s="711"/>
      <c r="GO64" s="711"/>
      <c r="GP64" s="711"/>
      <c r="GQ64" s="711"/>
      <c r="GR64" s="711"/>
      <c r="GS64" s="711"/>
      <c r="GT64" s="711"/>
      <c r="GU64" s="711"/>
      <c r="GV64" s="711"/>
      <c r="GW64" s="711"/>
      <c r="GX64" s="711"/>
      <c r="GY64" s="711"/>
      <c r="GZ64" s="711"/>
      <c r="HA64" s="711"/>
      <c r="HB64" s="711"/>
      <c r="HC64" s="711"/>
      <c r="HD64" s="711"/>
      <c r="HE64" s="711"/>
      <c r="HF64" s="711"/>
      <c r="HG64" s="711"/>
      <c r="HH64" s="711"/>
      <c r="HI64" s="711"/>
      <c r="HJ64" s="711"/>
      <c r="HK64" s="711"/>
      <c r="HL64" s="711"/>
      <c r="HM64" s="711"/>
      <c r="HN64" s="711"/>
      <c r="HO64" s="711"/>
      <c r="HP64" s="711"/>
      <c r="HQ64" s="711"/>
      <c r="HR64" s="711"/>
      <c r="HS64" s="711"/>
      <c r="HT64" s="711"/>
      <c r="HU64" s="711"/>
      <c r="HV64" s="711"/>
      <c r="HW64" s="711"/>
      <c r="HX64" s="711"/>
      <c r="HY64" s="711"/>
      <c r="HZ64" s="711"/>
      <c r="IA64" s="711"/>
      <c r="IB64" s="711"/>
      <c r="IC64" s="711"/>
      <c r="ID64" s="711"/>
      <c r="IE64" s="711"/>
      <c r="IF64" s="711"/>
      <c r="IG64" s="711"/>
      <c r="IH64" s="711"/>
      <c r="II64" s="711"/>
      <c r="IJ64" s="711"/>
      <c r="IK64" s="711"/>
      <c r="IL64" s="711"/>
      <c r="IM64" s="711"/>
      <c r="IN64" s="711"/>
      <c r="IO64" s="711"/>
      <c r="IP64" s="711"/>
      <c r="IQ64" s="711"/>
      <c r="IR64" s="711"/>
      <c r="IS64" s="711"/>
      <c r="IT64" s="711"/>
      <c r="IU64" s="711"/>
      <c r="IV64" s="711"/>
    </row>
    <row r="65" spans="1:256" ht="12.75" hidden="1" customHeight="1">
      <c r="A65" s="708" t="s">
        <v>342</v>
      </c>
      <c r="B65" s="690">
        <v>12077.1</v>
      </c>
      <c r="C65" s="708">
        <v>11534.1</v>
      </c>
      <c r="D65" s="691"/>
      <c r="E65" s="708">
        <f t="shared" si="3"/>
        <v>543</v>
      </c>
      <c r="F65" s="690">
        <v>358.3</v>
      </c>
      <c r="G65" s="690">
        <f>-1585.4+710.2</f>
        <v>-875.2</v>
      </c>
      <c r="H65" s="708">
        <f t="shared" si="4"/>
        <v>-516.90000000000009</v>
      </c>
      <c r="I65" s="695"/>
      <c r="J65" s="690">
        <v>-26.1</v>
      </c>
      <c r="K65" s="708">
        <f>J65+H65</f>
        <v>-543.00000000000011</v>
      </c>
      <c r="L65" s="693"/>
      <c r="M65" s="711"/>
      <c r="N65" s="711"/>
      <c r="O65" s="711"/>
      <c r="P65" s="711"/>
      <c r="Q65" s="711"/>
      <c r="R65" s="711"/>
      <c r="S65" s="711"/>
      <c r="T65" s="711"/>
      <c r="U65" s="711"/>
      <c r="V65" s="711"/>
      <c r="W65" s="711"/>
      <c r="X65" s="711"/>
      <c r="Y65" s="711"/>
      <c r="Z65" s="711"/>
      <c r="AA65" s="711"/>
      <c r="AB65" s="711"/>
      <c r="AC65" s="711"/>
      <c r="AD65" s="711"/>
      <c r="AE65" s="711"/>
      <c r="AF65" s="711"/>
      <c r="AG65" s="711"/>
      <c r="AH65" s="711"/>
      <c r="AI65" s="711"/>
      <c r="AJ65" s="711"/>
      <c r="AK65" s="711"/>
      <c r="AL65" s="711"/>
      <c r="AM65" s="711"/>
      <c r="AN65" s="711"/>
      <c r="AO65" s="711"/>
      <c r="AP65" s="711"/>
      <c r="AQ65" s="711"/>
      <c r="AR65" s="711"/>
      <c r="AS65" s="711"/>
      <c r="AT65" s="711"/>
      <c r="AU65" s="711"/>
      <c r="AV65" s="711"/>
      <c r="AW65" s="711"/>
      <c r="AX65" s="711"/>
      <c r="AY65" s="711"/>
      <c r="AZ65" s="711"/>
      <c r="BA65" s="711"/>
      <c r="BB65" s="711"/>
      <c r="BC65" s="711"/>
      <c r="BD65" s="711"/>
      <c r="BE65" s="711"/>
      <c r="BF65" s="711"/>
      <c r="BG65" s="711"/>
      <c r="BH65" s="711"/>
      <c r="BI65" s="711"/>
      <c r="BJ65" s="711"/>
      <c r="BK65" s="711"/>
      <c r="BL65" s="711"/>
      <c r="BM65" s="711"/>
      <c r="BN65" s="711"/>
      <c r="BO65" s="711"/>
      <c r="BP65" s="711"/>
      <c r="BQ65" s="711"/>
      <c r="BR65" s="711"/>
      <c r="BS65" s="711"/>
      <c r="BT65" s="711"/>
      <c r="BU65" s="711"/>
      <c r="BV65" s="711"/>
      <c r="BW65" s="711"/>
      <c r="BX65" s="711"/>
      <c r="BY65" s="711"/>
      <c r="BZ65" s="711"/>
      <c r="CA65" s="711"/>
      <c r="CB65" s="711"/>
      <c r="CC65" s="711"/>
      <c r="CD65" s="711"/>
      <c r="CE65" s="711"/>
      <c r="CF65" s="711"/>
      <c r="CG65" s="711"/>
      <c r="CH65" s="711"/>
      <c r="CI65" s="711"/>
      <c r="CJ65" s="711"/>
      <c r="CK65" s="711"/>
      <c r="CL65" s="711"/>
      <c r="CM65" s="711"/>
      <c r="CN65" s="711"/>
      <c r="CO65" s="711"/>
      <c r="CP65" s="711"/>
      <c r="CQ65" s="711"/>
      <c r="CR65" s="711"/>
      <c r="CS65" s="711"/>
      <c r="CT65" s="711"/>
      <c r="CU65" s="711"/>
      <c r="CV65" s="711"/>
      <c r="CW65" s="711"/>
      <c r="CX65" s="711"/>
      <c r="CY65" s="711"/>
      <c r="CZ65" s="711"/>
      <c r="DA65" s="711"/>
      <c r="DB65" s="711"/>
      <c r="DC65" s="711"/>
      <c r="DD65" s="711"/>
      <c r="DE65" s="711"/>
      <c r="DF65" s="711"/>
      <c r="DG65" s="711"/>
      <c r="DH65" s="711"/>
      <c r="DI65" s="711"/>
      <c r="DJ65" s="711"/>
      <c r="DK65" s="711"/>
      <c r="DL65" s="711"/>
      <c r="DM65" s="711"/>
      <c r="DN65" s="711"/>
      <c r="DO65" s="711"/>
      <c r="DP65" s="711"/>
      <c r="DQ65" s="711"/>
      <c r="DR65" s="711"/>
      <c r="DS65" s="711"/>
      <c r="DT65" s="711"/>
      <c r="DU65" s="711"/>
      <c r="DV65" s="711"/>
      <c r="DW65" s="711"/>
      <c r="DX65" s="711"/>
      <c r="DY65" s="711"/>
      <c r="DZ65" s="711"/>
      <c r="EA65" s="711"/>
      <c r="EB65" s="711"/>
      <c r="EC65" s="711"/>
      <c r="ED65" s="711"/>
      <c r="EE65" s="711"/>
      <c r="EF65" s="711"/>
      <c r="EG65" s="711"/>
      <c r="EH65" s="711"/>
      <c r="EI65" s="711"/>
      <c r="EJ65" s="711"/>
      <c r="EK65" s="711"/>
      <c r="EL65" s="711"/>
      <c r="EM65" s="711"/>
      <c r="EN65" s="711"/>
      <c r="EO65" s="711"/>
      <c r="EP65" s="711"/>
      <c r="EQ65" s="711"/>
      <c r="ER65" s="711"/>
      <c r="ES65" s="711"/>
      <c r="ET65" s="711"/>
      <c r="EU65" s="711"/>
      <c r="EV65" s="711"/>
      <c r="EW65" s="711"/>
      <c r="EX65" s="711"/>
      <c r="EY65" s="711"/>
      <c r="EZ65" s="711"/>
      <c r="FA65" s="711"/>
      <c r="FB65" s="711"/>
      <c r="FC65" s="711"/>
      <c r="FD65" s="711"/>
      <c r="FE65" s="711"/>
      <c r="FF65" s="711"/>
      <c r="FG65" s="711"/>
      <c r="FH65" s="711"/>
      <c r="FI65" s="711"/>
      <c r="FJ65" s="711"/>
      <c r="FK65" s="711"/>
      <c r="FL65" s="711"/>
      <c r="FM65" s="711"/>
      <c r="FN65" s="711"/>
      <c r="FO65" s="711"/>
      <c r="FP65" s="711"/>
      <c r="FQ65" s="711"/>
      <c r="FR65" s="711"/>
      <c r="FS65" s="711"/>
      <c r="FT65" s="711"/>
      <c r="FU65" s="711"/>
      <c r="FV65" s="711"/>
      <c r="FW65" s="711"/>
      <c r="FX65" s="711"/>
      <c r="FY65" s="711"/>
      <c r="FZ65" s="711"/>
      <c r="GA65" s="711"/>
      <c r="GB65" s="711"/>
      <c r="GC65" s="711"/>
      <c r="GD65" s="711"/>
      <c r="GE65" s="711"/>
      <c r="GF65" s="711"/>
      <c r="GG65" s="711"/>
      <c r="GH65" s="711"/>
      <c r="GI65" s="711"/>
      <c r="GJ65" s="711"/>
      <c r="GK65" s="711"/>
      <c r="GL65" s="711"/>
      <c r="GM65" s="711"/>
      <c r="GN65" s="711"/>
      <c r="GO65" s="711"/>
      <c r="GP65" s="711"/>
      <c r="GQ65" s="711"/>
      <c r="GR65" s="711"/>
      <c r="GS65" s="711"/>
      <c r="GT65" s="711"/>
      <c r="GU65" s="711"/>
      <c r="GV65" s="711"/>
      <c r="GW65" s="711"/>
      <c r="GX65" s="711"/>
      <c r="GY65" s="711"/>
      <c r="GZ65" s="711"/>
      <c r="HA65" s="711"/>
      <c r="HB65" s="711"/>
      <c r="HC65" s="711"/>
      <c r="HD65" s="711"/>
      <c r="HE65" s="711"/>
      <c r="HF65" s="711"/>
      <c r="HG65" s="711"/>
      <c r="HH65" s="711"/>
      <c r="HI65" s="711"/>
      <c r="HJ65" s="711"/>
      <c r="HK65" s="711"/>
      <c r="HL65" s="711"/>
      <c r="HM65" s="711"/>
      <c r="HN65" s="711"/>
      <c r="HO65" s="711"/>
      <c r="HP65" s="711"/>
      <c r="HQ65" s="711"/>
      <c r="HR65" s="711"/>
      <c r="HS65" s="711"/>
      <c r="HT65" s="711"/>
      <c r="HU65" s="711"/>
      <c r="HV65" s="711"/>
      <c r="HW65" s="711"/>
      <c r="HX65" s="711"/>
      <c r="HY65" s="711"/>
      <c r="HZ65" s="711"/>
      <c r="IA65" s="711"/>
      <c r="IB65" s="711"/>
      <c r="IC65" s="711"/>
      <c r="ID65" s="711"/>
      <c r="IE65" s="711"/>
      <c r="IF65" s="711"/>
      <c r="IG65" s="711"/>
      <c r="IH65" s="711"/>
      <c r="II65" s="711"/>
      <c r="IJ65" s="711"/>
      <c r="IK65" s="711"/>
      <c r="IL65" s="711"/>
      <c r="IM65" s="711"/>
      <c r="IN65" s="711"/>
      <c r="IO65" s="711"/>
      <c r="IP65" s="711"/>
      <c r="IQ65" s="711"/>
      <c r="IR65" s="711"/>
      <c r="IS65" s="711"/>
      <c r="IT65" s="711"/>
      <c r="IU65" s="711"/>
      <c r="IV65" s="711"/>
    </row>
    <row r="66" spans="1:256" ht="12.75" hidden="1" customHeight="1">
      <c r="A66" s="708" t="s">
        <v>343</v>
      </c>
      <c r="B66" s="690">
        <f>19597.5+641</f>
        <v>20238.5</v>
      </c>
      <c r="C66" s="708">
        <v>26089.7</v>
      </c>
      <c r="D66" s="691"/>
      <c r="E66" s="708">
        <v>-5851.2</v>
      </c>
      <c r="F66" s="690">
        <v>5627.7</v>
      </c>
      <c r="G66" s="690">
        <f>-2648.8+2831</f>
        <v>182.19999999999982</v>
      </c>
      <c r="H66" s="708">
        <f t="shared" si="4"/>
        <v>5809.9</v>
      </c>
      <c r="I66" s="695"/>
      <c r="J66" s="690">
        <v>41.3</v>
      </c>
      <c r="K66" s="708">
        <f>J66+H66</f>
        <v>5851.2</v>
      </c>
      <c r="L66" s="693"/>
      <c r="M66" s="711"/>
      <c r="N66" s="711"/>
      <c r="O66" s="711"/>
      <c r="P66" s="711"/>
      <c r="Q66" s="711"/>
      <c r="R66" s="711"/>
      <c r="S66" s="711"/>
      <c r="T66" s="711"/>
      <c r="U66" s="711"/>
      <c r="V66" s="711"/>
      <c r="W66" s="711"/>
      <c r="X66" s="711"/>
      <c r="Y66" s="711"/>
      <c r="Z66" s="711"/>
      <c r="AA66" s="711"/>
      <c r="AB66" s="711"/>
      <c r="AC66" s="711"/>
      <c r="AD66" s="711"/>
      <c r="AE66" s="711"/>
      <c r="AF66" s="711"/>
      <c r="AG66" s="711"/>
      <c r="AH66" s="711"/>
      <c r="AI66" s="711"/>
      <c r="AJ66" s="711"/>
      <c r="AK66" s="711"/>
      <c r="AL66" s="711"/>
      <c r="AM66" s="711"/>
      <c r="AN66" s="711"/>
      <c r="AO66" s="711"/>
      <c r="AP66" s="711"/>
      <c r="AQ66" s="711"/>
      <c r="AR66" s="711"/>
      <c r="AS66" s="711"/>
      <c r="AT66" s="711"/>
      <c r="AU66" s="711"/>
      <c r="AV66" s="711"/>
      <c r="AW66" s="711"/>
      <c r="AX66" s="711"/>
      <c r="AY66" s="711"/>
      <c r="AZ66" s="711"/>
      <c r="BA66" s="711"/>
      <c r="BB66" s="711"/>
      <c r="BC66" s="711"/>
      <c r="BD66" s="711"/>
      <c r="BE66" s="711"/>
      <c r="BF66" s="711"/>
      <c r="BG66" s="711"/>
      <c r="BH66" s="711"/>
      <c r="BI66" s="711"/>
      <c r="BJ66" s="711"/>
      <c r="BK66" s="711"/>
      <c r="BL66" s="711"/>
      <c r="BM66" s="711"/>
      <c r="BN66" s="711"/>
      <c r="BO66" s="711"/>
      <c r="BP66" s="711"/>
      <c r="BQ66" s="711"/>
      <c r="BR66" s="711"/>
      <c r="BS66" s="711"/>
      <c r="BT66" s="711"/>
      <c r="BU66" s="711"/>
      <c r="BV66" s="711"/>
      <c r="BW66" s="711"/>
      <c r="BX66" s="711"/>
      <c r="BY66" s="711"/>
      <c r="BZ66" s="711"/>
      <c r="CA66" s="711"/>
      <c r="CB66" s="711"/>
      <c r="CC66" s="711"/>
      <c r="CD66" s="711"/>
      <c r="CE66" s="711"/>
      <c r="CF66" s="711"/>
      <c r="CG66" s="711"/>
      <c r="CH66" s="711"/>
      <c r="CI66" s="711"/>
      <c r="CJ66" s="711"/>
      <c r="CK66" s="711"/>
      <c r="CL66" s="711"/>
      <c r="CM66" s="711"/>
      <c r="CN66" s="711"/>
      <c r="CO66" s="711"/>
      <c r="CP66" s="711"/>
      <c r="CQ66" s="711"/>
      <c r="CR66" s="711"/>
      <c r="CS66" s="711"/>
      <c r="CT66" s="711"/>
      <c r="CU66" s="711"/>
      <c r="CV66" s="711"/>
      <c r="CW66" s="711"/>
      <c r="CX66" s="711"/>
      <c r="CY66" s="711"/>
      <c r="CZ66" s="711"/>
      <c r="DA66" s="711"/>
      <c r="DB66" s="711"/>
      <c r="DC66" s="711"/>
      <c r="DD66" s="711"/>
      <c r="DE66" s="711"/>
      <c r="DF66" s="711"/>
      <c r="DG66" s="711"/>
      <c r="DH66" s="711"/>
      <c r="DI66" s="711"/>
      <c r="DJ66" s="711"/>
      <c r="DK66" s="711"/>
      <c r="DL66" s="711"/>
      <c r="DM66" s="711"/>
      <c r="DN66" s="711"/>
      <c r="DO66" s="711"/>
      <c r="DP66" s="711"/>
      <c r="DQ66" s="711"/>
      <c r="DR66" s="711"/>
      <c r="DS66" s="711"/>
      <c r="DT66" s="711"/>
      <c r="DU66" s="711"/>
      <c r="DV66" s="711"/>
      <c r="DW66" s="711"/>
      <c r="DX66" s="711"/>
      <c r="DY66" s="711"/>
      <c r="DZ66" s="711"/>
      <c r="EA66" s="711"/>
      <c r="EB66" s="711"/>
      <c r="EC66" s="711"/>
      <c r="ED66" s="711"/>
      <c r="EE66" s="711"/>
      <c r="EF66" s="711"/>
      <c r="EG66" s="711"/>
      <c r="EH66" s="711"/>
      <c r="EI66" s="711"/>
      <c r="EJ66" s="711"/>
      <c r="EK66" s="711"/>
      <c r="EL66" s="711"/>
      <c r="EM66" s="711"/>
      <c r="EN66" s="711"/>
      <c r="EO66" s="711"/>
      <c r="EP66" s="711"/>
      <c r="EQ66" s="711"/>
      <c r="ER66" s="711"/>
      <c r="ES66" s="711"/>
      <c r="ET66" s="711"/>
      <c r="EU66" s="711"/>
      <c r="EV66" s="711"/>
      <c r="EW66" s="711"/>
      <c r="EX66" s="711"/>
      <c r="EY66" s="711"/>
      <c r="EZ66" s="711"/>
      <c r="FA66" s="711"/>
      <c r="FB66" s="711"/>
      <c r="FC66" s="711"/>
      <c r="FD66" s="711"/>
      <c r="FE66" s="711"/>
      <c r="FF66" s="711"/>
      <c r="FG66" s="711"/>
      <c r="FH66" s="711"/>
      <c r="FI66" s="711"/>
      <c r="FJ66" s="711"/>
      <c r="FK66" s="711"/>
      <c r="FL66" s="711"/>
      <c r="FM66" s="711"/>
      <c r="FN66" s="711"/>
      <c r="FO66" s="711"/>
      <c r="FP66" s="711"/>
      <c r="FQ66" s="711"/>
      <c r="FR66" s="711"/>
      <c r="FS66" s="711"/>
      <c r="FT66" s="711"/>
      <c r="FU66" s="711"/>
      <c r="FV66" s="711"/>
      <c r="FW66" s="711"/>
      <c r="FX66" s="711"/>
      <c r="FY66" s="711"/>
      <c r="FZ66" s="711"/>
      <c r="GA66" s="711"/>
      <c r="GB66" s="711"/>
      <c r="GC66" s="711"/>
      <c r="GD66" s="711"/>
      <c r="GE66" s="711"/>
      <c r="GF66" s="711"/>
      <c r="GG66" s="711"/>
      <c r="GH66" s="711"/>
      <c r="GI66" s="711"/>
      <c r="GJ66" s="711"/>
      <c r="GK66" s="711"/>
      <c r="GL66" s="711"/>
      <c r="GM66" s="711"/>
      <c r="GN66" s="711"/>
      <c r="GO66" s="711"/>
      <c r="GP66" s="711"/>
      <c r="GQ66" s="711"/>
      <c r="GR66" s="711"/>
      <c r="GS66" s="711"/>
      <c r="GT66" s="711"/>
      <c r="GU66" s="711"/>
      <c r="GV66" s="711"/>
      <c r="GW66" s="711"/>
      <c r="GX66" s="711"/>
      <c r="GY66" s="711"/>
      <c r="GZ66" s="711"/>
      <c r="HA66" s="711"/>
      <c r="HB66" s="711"/>
      <c r="HC66" s="711"/>
      <c r="HD66" s="711"/>
      <c r="HE66" s="711"/>
      <c r="HF66" s="711"/>
      <c r="HG66" s="711"/>
      <c r="HH66" s="711"/>
      <c r="HI66" s="711"/>
      <c r="HJ66" s="711"/>
      <c r="HK66" s="711"/>
      <c r="HL66" s="711"/>
      <c r="HM66" s="711"/>
      <c r="HN66" s="711"/>
      <c r="HO66" s="711"/>
      <c r="HP66" s="711"/>
      <c r="HQ66" s="711"/>
      <c r="HR66" s="711"/>
      <c r="HS66" s="711"/>
      <c r="HT66" s="711"/>
      <c r="HU66" s="711"/>
      <c r="HV66" s="711"/>
      <c r="HW66" s="711"/>
      <c r="HX66" s="711"/>
      <c r="HY66" s="711"/>
      <c r="HZ66" s="711"/>
      <c r="IA66" s="711"/>
      <c r="IB66" s="711"/>
      <c r="IC66" s="711"/>
      <c r="ID66" s="711"/>
      <c r="IE66" s="711"/>
      <c r="IF66" s="711"/>
      <c r="IG66" s="711"/>
      <c r="IH66" s="711"/>
      <c r="II66" s="711"/>
      <c r="IJ66" s="711"/>
      <c r="IK66" s="711"/>
      <c r="IL66" s="711"/>
      <c r="IM66" s="711"/>
      <c r="IN66" s="711"/>
      <c r="IO66" s="711"/>
      <c r="IP66" s="711"/>
      <c r="IQ66" s="711"/>
      <c r="IR66" s="711"/>
      <c r="IS66" s="711"/>
      <c r="IT66" s="711"/>
      <c r="IU66" s="711"/>
      <c r="IV66" s="711"/>
    </row>
    <row r="67" spans="1:256" ht="12.75" hidden="1" customHeight="1">
      <c r="A67" s="708" t="s">
        <v>344</v>
      </c>
      <c r="B67" s="690">
        <f>14146.9+1368.3</f>
        <v>15515.199999999999</v>
      </c>
      <c r="C67" s="708">
        <v>18362.900000000001</v>
      </c>
      <c r="D67" s="691"/>
      <c r="E67" s="708">
        <f>B67-C67</f>
        <v>-2847.7000000000025</v>
      </c>
      <c r="F67" s="690">
        <v>-2650.2</v>
      </c>
      <c r="G67" s="690">
        <v>4189.3</v>
      </c>
      <c r="H67" s="708">
        <f t="shared" si="4"/>
        <v>1539.1000000000004</v>
      </c>
      <c r="I67" s="695"/>
      <c r="J67" s="690">
        <v>1308.5999999999999</v>
      </c>
      <c r="K67" s="708">
        <f>J67+H67</f>
        <v>2847.7000000000003</v>
      </c>
      <c r="L67" s="693"/>
      <c r="M67" s="711"/>
      <c r="N67" s="711"/>
      <c r="O67" s="711"/>
      <c r="P67" s="711"/>
      <c r="Q67" s="711"/>
      <c r="R67" s="711"/>
      <c r="S67" s="711"/>
      <c r="T67" s="711"/>
      <c r="U67" s="711"/>
      <c r="V67" s="711"/>
      <c r="W67" s="711"/>
      <c r="X67" s="711"/>
      <c r="Y67" s="711"/>
      <c r="Z67" s="711"/>
      <c r="AA67" s="711"/>
      <c r="AB67" s="711"/>
      <c r="AC67" s="711"/>
      <c r="AD67" s="711"/>
      <c r="AE67" s="711"/>
      <c r="AF67" s="711"/>
      <c r="AG67" s="711"/>
      <c r="AH67" s="711"/>
      <c r="AI67" s="711"/>
      <c r="AJ67" s="711"/>
      <c r="AK67" s="711"/>
      <c r="AL67" s="711"/>
      <c r="AM67" s="711"/>
      <c r="AN67" s="711"/>
      <c r="AO67" s="711"/>
      <c r="AP67" s="711"/>
      <c r="AQ67" s="711"/>
      <c r="AR67" s="711"/>
      <c r="AS67" s="711"/>
      <c r="AT67" s="711"/>
      <c r="AU67" s="711"/>
      <c r="AV67" s="711"/>
      <c r="AW67" s="711"/>
      <c r="AX67" s="711"/>
      <c r="AY67" s="711"/>
      <c r="AZ67" s="711"/>
      <c r="BA67" s="711"/>
      <c r="BB67" s="711"/>
      <c r="BC67" s="711"/>
      <c r="BD67" s="711"/>
      <c r="BE67" s="711"/>
      <c r="BF67" s="711"/>
      <c r="BG67" s="711"/>
      <c r="BH67" s="711"/>
      <c r="BI67" s="711"/>
      <c r="BJ67" s="711"/>
      <c r="BK67" s="711"/>
      <c r="BL67" s="711"/>
      <c r="BM67" s="711"/>
      <c r="BN67" s="711"/>
      <c r="BO67" s="711"/>
      <c r="BP67" s="711"/>
      <c r="BQ67" s="711"/>
      <c r="BR67" s="711"/>
      <c r="BS67" s="711"/>
      <c r="BT67" s="711"/>
      <c r="BU67" s="711"/>
      <c r="BV67" s="711"/>
      <c r="BW67" s="711"/>
      <c r="BX67" s="711"/>
      <c r="BY67" s="711"/>
      <c r="BZ67" s="711"/>
      <c r="CA67" s="711"/>
      <c r="CB67" s="711"/>
      <c r="CC67" s="711"/>
      <c r="CD67" s="711"/>
      <c r="CE67" s="711"/>
      <c r="CF67" s="711"/>
      <c r="CG67" s="711"/>
      <c r="CH67" s="711"/>
      <c r="CI67" s="711"/>
      <c r="CJ67" s="711"/>
      <c r="CK67" s="711"/>
      <c r="CL67" s="711"/>
      <c r="CM67" s="711"/>
      <c r="CN67" s="711"/>
      <c r="CO67" s="711"/>
      <c r="CP67" s="711"/>
      <c r="CQ67" s="711"/>
      <c r="CR67" s="711"/>
      <c r="CS67" s="711"/>
      <c r="CT67" s="711"/>
      <c r="CU67" s="711"/>
      <c r="CV67" s="711"/>
      <c r="CW67" s="711"/>
      <c r="CX67" s="711"/>
      <c r="CY67" s="711"/>
      <c r="CZ67" s="711"/>
      <c r="DA67" s="711"/>
      <c r="DB67" s="711"/>
      <c r="DC67" s="711"/>
      <c r="DD67" s="711"/>
      <c r="DE67" s="711"/>
      <c r="DF67" s="711"/>
      <c r="DG67" s="711"/>
      <c r="DH67" s="711"/>
      <c r="DI67" s="711"/>
      <c r="DJ67" s="711"/>
      <c r="DK67" s="711"/>
      <c r="DL67" s="711"/>
      <c r="DM67" s="711"/>
      <c r="DN67" s="711"/>
      <c r="DO67" s="711"/>
      <c r="DP67" s="711"/>
      <c r="DQ67" s="711"/>
      <c r="DR67" s="711"/>
      <c r="DS67" s="711"/>
      <c r="DT67" s="711"/>
      <c r="DU67" s="711"/>
      <c r="DV67" s="711"/>
      <c r="DW67" s="711"/>
      <c r="DX67" s="711"/>
      <c r="DY67" s="711"/>
      <c r="DZ67" s="711"/>
      <c r="EA67" s="711"/>
      <c r="EB67" s="711"/>
      <c r="EC67" s="711"/>
      <c r="ED67" s="711"/>
      <c r="EE67" s="711"/>
      <c r="EF67" s="711"/>
      <c r="EG67" s="711"/>
      <c r="EH67" s="711"/>
      <c r="EI67" s="711"/>
      <c r="EJ67" s="711"/>
      <c r="EK67" s="711"/>
      <c r="EL67" s="711"/>
      <c r="EM67" s="711"/>
      <c r="EN67" s="711"/>
      <c r="EO67" s="711"/>
      <c r="EP67" s="711"/>
      <c r="EQ67" s="711"/>
      <c r="ER67" s="711"/>
      <c r="ES67" s="711"/>
      <c r="ET67" s="711"/>
      <c r="EU67" s="711"/>
      <c r="EV67" s="711"/>
      <c r="EW67" s="711"/>
      <c r="EX67" s="711"/>
      <c r="EY67" s="711"/>
      <c r="EZ67" s="711"/>
      <c r="FA67" s="711"/>
      <c r="FB67" s="711"/>
      <c r="FC67" s="711"/>
      <c r="FD67" s="711"/>
      <c r="FE67" s="711"/>
      <c r="FF67" s="711"/>
      <c r="FG67" s="711"/>
      <c r="FH67" s="711"/>
      <c r="FI67" s="711"/>
      <c r="FJ67" s="711"/>
      <c r="FK67" s="711"/>
      <c r="FL67" s="711"/>
      <c r="FM67" s="711"/>
      <c r="FN67" s="711"/>
      <c r="FO67" s="711"/>
      <c r="FP67" s="711"/>
      <c r="FQ67" s="711"/>
      <c r="FR67" s="711"/>
      <c r="FS67" s="711"/>
      <c r="FT67" s="711"/>
      <c r="FU67" s="711"/>
      <c r="FV67" s="711"/>
      <c r="FW67" s="711"/>
      <c r="FX67" s="711"/>
      <c r="FY67" s="711"/>
      <c r="FZ67" s="711"/>
      <c r="GA67" s="711"/>
      <c r="GB67" s="711"/>
      <c r="GC67" s="711"/>
      <c r="GD67" s="711"/>
      <c r="GE67" s="711"/>
      <c r="GF67" s="711"/>
      <c r="GG67" s="711"/>
      <c r="GH67" s="711"/>
      <c r="GI67" s="711"/>
      <c r="GJ67" s="711"/>
      <c r="GK67" s="711"/>
      <c r="GL67" s="711"/>
      <c r="GM67" s="711"/>
      <c r="GN67" s="711"/>
      <c r="GO67" s="711"/>
      <c r="GP67" s="711"/>
      <c r="GQ67" s="711"/>
      <c r="GR67" s="711"/>
      <c r="GS67" s="711"/>
      <c r="GT67" s="711"/>
      <c r="GU67" s="711"/>
      <c r="GV67" s="711"/>
      <c r="GW67" s="711"/>
      <c r="GX67" s="711"/>
      <c r="GY67" s="711"/>
      <c r="GZ67" s="711"/>
      <c r="HA67" s="711"/>
      <c r="HB67" s="711"/>
      <c r="HC67" s="711"/>
      <c r="HD67" s="711"/>
      <c r="HE67" s="711"/>
      <c r="HF67" s="711"/>
      <c r="HG67" s="711"/>
      <c r="HH67" s="711"/>
      <c r="HI67" s="711"/>
      <c r="HJ67" s="711"/>
      <c r="HK67" s="711"/>
      <c r="HL67" s="711"/>
      <c r="HM67" s="711"/>
      <c r="HN67" s="711"/>
      <c r="HO67" s="711"/>
      <c r="HP67" s="711"/>
      <c r="HQ67" s="711"/>
      <c r="HR67" s="711"/>
      <c r="HS67" s="711"/>
      <c r="HT67" s="711"/>
      <c r="HU67" s="711"/>
      <c r="HV67" s="711"/>
      <c r="HW67" s="711"/>
      <c r="HX67" s="711"/>
      <c r="HY67" s="711"/>
      <c r="HZ67" s="711"/>
      <c r="IA67" s="711"/>
      <c r="IB67" s="711"/>
      <c r="IC67" s="711"/>
      <c r="ID67" s="711"/>
      <c r="IE67" s="711"/>
      <c r="IF67" s="711"/>
      <c r="IG67" s="711"/>
      <c r="IH67" s="711"/>
      <c r="II67" s="711"/>
      <c r="IJ67" s="711"/>
      <c r="IK67" s="711"/>
      <c r="IL67" s="711"/>
      <c r="IM67" s="711"/>
      <c r="IN67" s="711"/>
      <c r="IO67" s="711"/>
      <c r="IP67" s="711"/>
      <c r="IQ67" s="711"/>
      <c r="IR67" s="711"/>
      <c r="IS67" s="711"/>
      <c r="IT67" s="711"/>
      <c r="IU67" s="711"/>
      <c r="IV67" s="711"/>
    </row>
    <row r="68" spans="1:256" ht="12.75" hidden="1" customHeight="1">
      <c r="A68" s="690"/>
      <c r="B68" s="690"/>
      <c r="C68" s="690"/>
      <c r="D68" s="691"/>
      <c r="E68" s="690"/>
      <c r="F68" s="690"/>
      <c r="G68" s="690"/>
      <c r="H68" s="690"/>
      <c r="I68" s="695"/>
      <c r="J68" s="690"/>
      <c r="K68" s="690"/>
      <c r="L68" s="693"/>
      <c r="M68" s="711"/>
      <c r="N68" s="711"/>
      <c r="O68" s="711"/>
      <c r="P68" s="711"/>
      <c r="Q68" s="711"/>
      <c r="R68" s="711"/>
      <c r="S68" s="711"/>
      <c r="T68" s="711"/>
      <c r="U68" s="711"/>
      <c r="V68" s="711"/>
      <c r="W68" s="711"/>
      <c r="X68" s="711"/>
      <c r="Y68" s="711"/>
      <c r="Z68" s="711"/>
      <c r="AA68" s="711"/>
      <c r="AB68" s="711"/>
      <c r="AC68" s="711"/>
      <c r="AD68" s="711"/>
      <c r="AE68" s="711"/>
      <c r="AF68" s="711"/>
      <c r="AG68" s="711"/>
      <c r="AH68" s="711"/>
      <c r="AI68" s="711"/>
      <c r="AJ68" s="711"/>
      <c r="AK68" s="711"/>
      <c r="AL68" s="711"/>
      <c r="AM68" s="711"/>
      <c r="AN68" s="711"/>
      <c r="AO68" s="711"/>
      <c r="AP68" s="711"/>
      <c r="AQ68" s="711"/>
      <c r="AR68" s="711"/>
      <c r="AS68" s="711"/>
      <c r="AT68" s="711"/>
      <c r="AU68" s="711"/>
      <c r="AV68" s="711"/>
      <c r="AW68" s="711"/>
      <c r="AX68" s="711"/>
      <c r="AY68" s="711"/>
      <c r="AZ68" s="711"/>
      <c r="BA68" s="711"/>
      <c r="BB68" s="711"/>
      <c r="BC68" s="711"/>
      <c r="BD68" s="711"/>
      <c r="BE68" s="711"/>
      <c r="BF68" s="711"/>
      <c r="BG68" s="711"/>
      <c r="BH68" s="711"/>
      <c r="BI68" s="711"/>
      <c r="BJ68" s="711"/>
      <c r="BK68" s="711"/>
      <c r="BL68" s="711"/>
      <c r="BM68" s="711"/>
      <c r="BN68" s="711"/>
      <c r="BO68" s="711"/>
      <c r="BP68" s="711"/>
      <c r="BQ68" s="711"/>
      <c r="BR68" s="711"/>
      <c r="BS68" s="711"/>
      <c r="BT68" s="711"/>
      <c r="BU68" s="711"/>
      <c r="BV68" s="711"/>
      <c r="BW68" s="711"/>
      <c r="BX68" s="711"/>
      <c r="BY68" s="711"/>
      <c r="BZ68" s="711"/>
      <c r="CA68" s="711"/>
      <c r="CB68" s="711"/>
      <c r="CC68" s="711"/>
      <c r="CD68" s="711"/>
      <c r="CE68" s="711"/>
      <c r="CF68" s="711"/>
      <c r="CG68" s="711"/>
      <c r="CH68" s="711"/>
      <c r="CI68" s="711"/>
      <c r="CJ68" s="711"/>
      <c r="CK68" s="711"/>
      <c r="CL68" s="711"/>
      <c r="CM68" s="711"/>
      <c r="CN68" s="711"/>
      <c r="CO68" s="711"/>
      <c r="CP68" s="711"/>
      <c r="CQ68" s="711"/>
      <c r="CR68" s="711"/>
      <c r="CS68" s="711"/>
      <c r="CT68" s="711"/>
      <c r="CU68" s="711"/>
      <c r="CV68" s="711"/>
      <c r="CW68" s="711"/>
      <c r="CX68" s="711"/>
      <c r="CY68" s="711"/>
      <c r="CZ68" s="711"/>
      <c r="DA68" s="711"/>
      <c r="DB68" s="711"/>
      <c r="DC68" s="711"/>
      <c r="DD68" s="711"/>
      <c r="DE68" s="711"/>
      <c r="DF68" s="711"/>
      <c r="DG68" s="711"/>
      <c r="DH68" s="711"/>
      <c r="DI68" s="711"/>
      <c r="DJ68" s="711"/>
      <c r="DK68" s="711"/>
      <c r="DL68" s="711"/>
      <c r="DM68" s="711"/>
      <c r="DN68" s="711"/>
      <c r="DO68" s="711"/>
      <c r="DP68" s="711"/>
      <c r="DQ68" s="711"/>
      <c r="DR68" s="711"/>
      <c r="DS68" s="711"/>
      <c r="DT68" s="711"/>
      <c r="DU68" s="711"/>
      <c r="DV68" s="711"/>
      <c r="DW68" s="711"/>
      <c r="DX68" s="711"/>
      <c r="DY68" s="711"/>
      <c r="DZ68" s="711"/>
      <c r="EA68" s="711"/>
      <c r="EB68" s="711"/>
      <c r="EC68" s="711"/>
      <c r="ED68" s="711"/>
      <c r="EE68" s="711"/>
      <c r="EF68" s="711"/>
      <c r="EG68" s="711"/>
      <c r="EH68" s="711"/>
      <c r="EI68" s="711"/>
      <c r="EJ68" s="711"/>
      <c r="EK68" s="711"/>
      <c r="EL68" s="711"/>
      <c r="EM68" s="711"/>
      <c r="EN68" s="711"/>
      <c r="EO68" s="711"/>
      <c r="EP68" s="711"/>
      <c r="EQ68" s="711"/>
      <c r="ER68" s="711"/>
      <c r="ES68" s="711"/>
      <c r="ET68" s="711"/>
      <c r="EU68" s="711"/>
      <c r="EV68" s="711"/>
      <c r="EW68" s="711"/>
      <c r="EX68" s="711"/>
      <c r="EY68" s="711"/>
      <c r="EZ68" s="711"/>
      <c r="FA68" s="711"/>
      <c r="FB68" s="711"/>
      <c r="FC68" s="711"/>
      <c r="FD68" s="711"/>
      <c r="FE68" s="711"/>
      <c r="FF68" s="711"/>
      <c r="FG68" s="711"/>
      <c r="FH68" s="711"/>
      <c r="FI68" s="711"/>
      <c r="FJ68" s="711"/>
      <c r="FK68" s="711"/>
      <c r="FL68" s="711"/>
      <c r="FM68" s="711"/>
      <c r="FN68" s="711"/>
      <c r="FO68" s="711"/>
      <c r="FP68" s="711"/>
      <c r="FQ68" s="711"/>
      <c r="FR68" s="711"/>
      <c r="FS68" s="711"/>
      <c r="FT68" s="711"/>
      <c r="FU68" s="711"/>
      <c r="FV68" s="711"/>
      <c r="FW68" s="711"/>
      <c r="FX68" s="711"/>
      <c r="FY68" s="711"/>
      <c r="FZ68" s="711"/>
      <c r="GA68" s="711"/>
      <c r="GB68" s="711"/>
      <c r="GC68" s="711"/>
      <c r="GD68" s="711"/>
      <c r="GE68" s="711"/>
      <c r="GF68" s="711"/>
      <c r="GG68" s="711"/>
      <c r="GH68" s="711"/>
      <c r="GI68" s="711"/>
      <c r="GJ68" s="711"/>
      <c r="GK68" s="711"/>
      <c r="GL68" s="711"/>
      <c r="GM68" s="711"/>
      <c r="GN68" s="711"/>
      <c r="GO68" s="711"/>
      <c r="GP68" s="711"/>
      <c r="GQ68" s="711"/>
      <c r="GR68" s="711"/>
      <c r="GS68" s="711"/>
      <c r="GT68" s="711"/>
      <c r="GU68" s="711"/>
      <c r="GV68" s="711"/>
      <c r="GW68" s="711"/>
      <c r="GX68" s="711"/>
      <c r="GY68" s="711"/>
      <c r="GZ68" s="711"/>
      <c r="HA68" s="711"/>
      <c r="HB68" s="711"/>
      <c r="HC68" s="711"/>
      <c r="HD68" s="711"/>
      <c r="HE68" s="711"/>
      <c r="HF68" s="711"/>
      <c r="HG68" s="711"/>
      <c r="HH68" s="711"/>
      <c r="HI68" s="711"/>
      <c r="HJ68" s="711"/>
      <c r="HK68" s="711"/>
      <c r="HL68" s="711"/>
      <c r="HM68" s="711"/>
      <c r="HN68" s="711"/>
      <c r="HO68" s="711"/>
      <c r="HP68" s="711"/>
      <c r="HQ68" s="711"/>
      <c r="HR68" s="711"/>
      <c r="HS68" s="711"/>
      <c r="HT68" s="711"/>
      <c r="HU68" s="711"/>
      <c r="HV68" s="711"/>
      <c r="HW68" s="711"/>
      <c r="HX68" s="711"/>
      <c r="HY68" s="711"/>
      <c r="HZ68" s="711"/>
      <c r="IA68" s="711"/>
      <c r="IB68" s="711"/>
      <c r="IC68" s="711"/>
      <c r="ID68" s="711"/>
      <c r="IE68" s="711"/>
      <c r="IF68" s="711"/>
      <c r="IG68" s="711"/>
      <c r="IH68" s="711"/>
      <c r="II68" s="711"/>
      <c r="IJ68" s="711"/>
      <c r="IK68" s="711"/>
      <c r="IL68" s="711"/>
      <c r="IM68" s="711"/>
      <c r="IN68" s="711"/>
      <c r="IO68" s="711"/>
      <c r="IP68" s="711"/>
      <c r="IQ68" s="711"/>
      <c r="IR68" s="711"/>
      <c r="IS68" s="711"/>
      <c r="IT68" s="711"/>
      <c r="IU68" s="711"/>
      <c r="IV68" s="711"/>
    </row>
    <row r="69" spans="1:256" ht="12.75" hidden="1" customHeight="1">
      <c r="A69" s="710">
        <v>2002</v>
      </c>
      <c r="B69" s="690"/>
      <c r="C69" s="708"/>
      <c r="D69" s="691"/>
      <c r="E69" s="708"/>
      <c r="F69" s="690"/>
      <c r="G69" s="690"/>
      <c r="H69" s="708"/>
      <c r="I69" s="695"/>
      <c r="J69" s="690"/>
      <c r="K69" s="708"/>
      <c r="L69" s="693"/>
      <c r="M69" s="711"/>
      <c r="N69" s="711"/>
      <c r="O69" s="711"/>
      <c r="P69" s="711"/>
      <c r="Q69" s="711"/>
      <c r="R69" s="711"/>
      <c r="S69" s="711"/>
      <c r="T69" s="711"/>
      <c r="U69" s="711"/>
      <c r="V69" s="711"/>
      <c r="W69" s="711"/>
      <c r="X69" s="711"/>
      <c r="Y69" s="711"/>
      <c r="Z69" s="711"/>
      <c r="AA69" s="711"/>
      <c r="AB69" s="711"/>
      <c r="AC69" s="711"/>
      <c r="AD69" s="711"/>
      <c r="AE69" s="711"/>
      <c r="AF69" s="711"/>
      <c r="AG69" s="711"/>
      <c r="AH69" s="711"/>
      <c r="AI69" s="711"/>
      <c r="AJ69" s="711"/>
      <c r="AK69" s="711"/>
      <c r="AL69" s="711"/>
      <c r="AM69" s="711"/>
      <c r="AN69" s="711"/>
      <c r="AO69" s="711"/>
      <c r="AP69" s="711"/>
      <c r="AQ69" s="711"/>
      <c r="AR69" s="711"/>
      <c r="AS69" s="711"/>
      <c r="AT69" s="711"/>
      <c r="AU69" s="711"/>
      <c r="AV69" s="711"/>
      <c r="AW69" s="711"/>
      <c r="AX69" s="711"/>
      <c r="AY69" s="711"/>
      <c r="AZ69" s="711"/>
      <c r="BA69" s="711"/>
      <c r="BB69" s="711"/>
      <c r="BC69" s="711"/>
      <c r="BD69" s="711"/>
      <c r="BE69" s="711"/>
      <c r="BF69" s="711"/>
      <c r="BG69" s="711"/>
      <c r="BH69" s="711"/>
      <c r="BI69" s="711"/>
      <c r="BJ69" s="711"/>
      <c r="BK69" s="711"/>
      <c r="BL69" s="711"/>
      <c r="BM69" s="711"/>
      <c r="BN69" s="711"/>
      <c r="BO69" s="711"/>
      <c r="BP69" s="711"/>
      <c r="BQ69" s="711"/>
      <c r="BR69" s="711"/>
      <c r="BS69" s="711"/>
      <c r="BT69" s="711"/>
      <c r="BU69" s="711"/>
      <c r="BV69" s="711"/>
      <c r="BW69" s="711"/>
      <c r="BX69" s="711"/>
      <c r="BY69" s="711"/>
      <c r="BZ69" s="711"/>
      <c r="CA69" s="711"/>
      <c r="CB69" s="711"/>
      <c r="CC69" s="711"/>
      <c r="CD69" s="711"/>
      <c r="CE69" s="711"/>
      <c r="CF69" s="711"/>
      <c r="CG69" s="711"/>
      <c r="CH69" s="711"/>
      <c r="CI69" s="711"/>
      <c r="CJ69" s="711"/>
      <c r="CK69" s="711"/>
      <c r="CL69" s="711"/>
      <c r="CM69" s="711"/>
      <c r="CN69" s="711"/>
      <c r="CO69" s="711"/>
      <c r="CP69" s="711"/>
      <c r="CQ69" s="711"/>
      <c r="CR69" s="711"/>
      <c r="CS69" s="711"/>
      <c r="CT69" s="711"/>
      <c r="CU69" s="711"/>
      <c r="CV69" s="711"/>
      <c r="CW69" s="711"/>
      <c r="CX69" s="711"/>
      <c r="CY69" s="711"/>
      <c r="CZ69" s="711"/>
      <c r="DA69" s="711"/>
      <c r="DB69" s="711"/>
      <c r="DC69" s="711"/>
      <c r="DD69" s="711"/>
      <c r="DE69" s="711"/>
      <c r="DF69" s="711"/>
      <c r="DG69" s="711"/>
      <c r="DH69" s="711"/>
      <c r="DI69" s="711"/>
      <c r="DJ69" s="711"/>
      <c r="DK69" s="711"/>
      <c r="DL69" s="711"/>
      <c r="DM69" s="711"/>
      <c r="DN69" s="711"/>
      <c r="DO69" s="711"/>
      <c r="DP69" s="711"/>
      <c r="DQ69" s="711"/>
      <c r="DR69" s="711"/>
      <c r="DS69" s="711"/>
      <c r="DT69" s="711"/>
      <c r="DU69" s="711"/>
      <c r="DV69" s="711"/>
      <c r="DW69" s="711"/>
      <c r="DX69" s="711"/>
      <c r="DY69" s="711"/>
      <c r="DZ69" s="711"/>
      <c r="EA69" s="711"/>
      <c r="EB69" s="711"/>
      <c r="EC69" s="711"/>
      <c r="ED69" s="711"/>
      <c r="EE69" s="711"/>
      <c r="EF69" s="711"/>
      <c r="EG69" s="711"/>
      <c r="EH69" s="711"/>
      <c r="EI69" s="711"/>
      <c r="EJ69" s="711"/>
      <c r="EK69" s="711"/>
      <c r="EL69" s="711"/>
      <c r="EM69" s="711"/>
      <c r="EN69" s="711"/>
      <c r="EO69" s="711"/>
      <c r="EP69" s="711"/>
      <c r="EQ69" s="711"/>
      <c r="ER69" s="711"/>
      <c r="ES69" s="711"/>
      <c r="ET69" s="711"/>
      <c r="EU69" s="711"/>
      <c r="EV69" s="711"/>
      <c r="EW69" s="711"/>
      <c r="EX69" s="711"/>
      <c r="EY69" s="711"/>
      <c r="EZ69" s="711"/>
      <c r="FA69" s="711"/>
      <c r="FB69" s="711"/>
      <c r="FC69" s="711"/>
      <c r="FD69" s="711"/>
      <c r="FE69" s="711"/>
      <c r="FF69" s="711"/>
      <c r="FG69" s="711"/>
      <c r="FH69" s="711"/>
      <c r="FI69" s="711"/>
      <c r="FJ69" s="711"/>
      <c r="FK69" s="711"/>
      <c r="FL69" s="711"/>
      <c r="FM69" s="711"/>
      <c r="FN69" s="711"/>
      <c r="FO69" s="711"/>
      <c r="FP69" s="711"/>
      <c r="FQ69" s="711"/>
      <c r="FR69" s="711"/>
      <c r="FS69" s="711"/>
      <c r="FT69" s="711"/>
      <c r="FU69" s="711"/>
      <c r="FV69" s="711"/>
      <c r="FW69" s="711"/>
      <c r="FX69" s="711"/>
      <c r="FY69" s="711"/>
      <c r="FZ69" s="711"/>
      <c r="GA69" s="711"/>
      <c r="GB69" s="711"/>
      <c r="GC69" s="711"/>
      <c r="GD69" s="711"/>
      <c r="GE69" s="711"/>
      <c r="GF69" s="711"/>
      <c r="GG69" s="711"/>
      <c r="GH69" s="711"/>
      <c r="GI69" s="711"/>
      <c r="GJ69" s="711"/>
      <c r="GK69" s="711"/>
      <c r="GL69" s="711"/>
      <c r="GM69" s="711"/>
      <c r="GN69" s="711"/>
      <c r="GO69" s="711"/>
      <c r="GP69" s="711"/>
      <c r="GQ69" s="711"/>
      <c r="GR69" s="711"/>
      <c r="GS69" s="711"/>
      <c r="GT69" s="711"/>
      <c r="GU69" s="711"/>
      <c r="GV69" s="711"/>
      <c r="GW69" s="711"/>
      <c r="GX69" s="711"/>
      <c r="GY69" s="711"/>
      <c r="GZ69" s="711"/>
      <c r="HA69" s="711"/>
      <c r="HB69" s="711"/>
      <c r="HC69" s="711"/>
      <c r="HD69" s="711"/>
      <c r="HE69" s="711"/>
      <c r="HF69" s="711"/>
      <c r="HG69" s="711"/>
      <c r="HH69" s="711"/>
      <c r="HI69" s="711"/>
      <c r="HJ69" s="711"/>
      <c r="HK69" s="711"/>
      <c r="HL69" s="711"/>
      <c r="HM69" s="711"/>
      <c r="HN69" s="711"/>
      <c r="HO69" s="711"/>
      <c r="HP69" s="711"/>
      <c r="HQ69" s="711"/>
      <c r="HR69" s="711"/>
      <c r="HS69" s="711"/>
      <c r="HT69" s="711"/>
      <c r="HU69" s="711"/>
      <c r="HV69" s="711"/>
      <c r="HW69" s="711"/>
      <c r="HX69" s="711"/>
      <c r="HY69" s="711"/>
      <c r="HZ69" s="711"/>
      <c r="IA69" s="711"/>
      <c r="IB69" s="711"/>
      <c r="IC69" s="711"/>
      <c r="ID69" s="711"/>
      <c r="IE69" s="711"/>
      <c r="IF69" s="711"/>
      <c r="IG69" s="711"/>
      <c r="IH69" s="711"/>
      <c r="II69" s="711"/>
      <c r="IJ69" s="711"/>
      <c r="IK69" s="711"/>
      <c r="IL69" s="711"/>
      <c r="IM69" s="711"/>
      <c r="IN69" s="711"/>
      <c r="IO69" s="711"/>
      <c r="IP69" s="711"/>
      <c r="IQ69" s="711"/>
      <c r="IR69" s="711"/>
      <c r="IS69" s="711"/>
      <c r="IT69" s="711"/>
      <c r="IU69" s="711"/>
      <c r="IV69" s="711"/>
    </row>
    <row r="70" spans="1:256" ht="12.75" hidden="1" customHeight="1">
      <c r="A70" s="710"/>
      <c r="B70" s="690"/>
      <c r="C70" s="708"/>
      <c r="D70" s="691"/>
      <c r="E70" s="708"/>
      <c r="F70" s="690"/>
      <c r="G70" s="690"/>
      <c r="H70" s="708"/>
      <c r="I70" s="695"/>
      <c r="J70" s="690"/>
      <c r="K70" s="708"/>
      <c r="L70" s="693"/>
      <c r="M70" s="711"/>
      <c r="N70" s="711"/>
      <c r="O70" s="711"/>
      <c r="P70" s="711"/>
      <c r="Q70" s="711"/>
      <c r="R70" s="711"/>
      <c r="S70" s="711"/>
      <c r="T70" s="711"/>
      <c r="U70" s="711"/>
      <c r="V70" s="711"/>
      <c r="W70" s="711"/>
      <c r="X70" s="711"/>
      <c r="Y70" s="711"/>
      <c r="Z70" s="711"/>
      <c r="AA70" s="711"/>
      <c r="AB70" s="711"/>
      <c r="AC70" s="711"/>
      <c r="AD70" s="711"/>
      <c r="AE70" s="711"/>
      <c r="AF70" s="711"/>
      <c r="AG70" s="711"/>
      <c r="AH70" s="711"/>
      <c r="AI70" s="711"/>
      <c r="AJ70" s="711"/>
      <c r="AK70" s="711"/>
      <c r="AL70" s="711"/>
      <c r="AM70" s="711"/>
      <c r="AN70" s="711"/>
      <c r="AO70" s="711"/>
      <c r="AP70" s="711"/>
      <c r="AQ70" s="711"/>
      <c r="AR70" s="711"/>
      <c r="AS70" s="711"/>
      <c r="AT70" s="711"/>
      <c r="AU70" s="711"/>
      <c r="AV70" s="711"/>
      <c r="AW70" s="711"/>
      <c r="AX70" s="711"/>
      <c r="AY70" s="711"/>
      <c r="AZ70" s="711"/>
      <c r="BA70" s="711"/>
      <c r="BB70" s="711"/>
      <c r="BC70" s="711"/>
      <c r="BD70" s="711"/>
      <c r="BE70" s="711"/>
      <c r="BF70" s="711"/>
      <c r="BG70" s="711"/>
      <c r="BH70" s="711"/>
      <c r="BI70" s="711"/>
      <c r="BJ70" s="711"/>
      <c r="BK70" s="711"/>
      <c r="BL70" s="711"/>
      <c r="BM70" s="711"/>
      <c r="BN70" s="711"/>
      <c r="BO70" s="711"/>
      <c r="BP70" s="711"/>
      <c r="BQ70" s="711"/>
      <c r="BR70" s="711"/>
      <c r="BS70" s="711"/>
      <c r="BT70" s="711"/>
      <c r="BU70" s="711"/>
      <c r="BV70" s="711"/>
      <c r="BW70" s="711"/>
      <c r="BX70" s="711"/>
      <c r="BY70" s="711"/>
      <c r="BZ70" s="711"/>
      <c r="CA70" s="711"/>
      <c r="CB70" s="711"/>
      <c r="CC70" s="711"/>
      <c r="CD70" s="711"/>
      <c r="CE70" s="711"/>
      <c r="CF70" s="711"/>
      <c r="CG70" s="711"/>
      <c r="CH70" s="711"/>
      <c r="CI70" s="711"/>
      <c r="CJ70" s="711"/>
      <c r="CK70" s="711"/>
      <c r="CL70" s="711"/>
      <c r="CM70" s="711"/>
      <c r="CN70" s="711"/>
      <c r="CO70" s="711"/>
      <c r="CP70" s="711"/>
      <c r="CQ70" s="711"/>
      <c r="CR70" s="711"/>
      <c r="CS70" s="711"/>
      <c r="CT70" s="711"/>
      <c r="CU70" s="711"/>
      <c r="CV70" s="711"/>
      <c r="CW70" s="711"/>
      <c r="CX70" s="711"/>
      <c r="CY70" s="711"/>
      <c r="CZ70" s="711"/>
      <c r="DA70" s="711"/>
      <c r="DB70" s="711"/>
      <c r="DC70" s="711"/>
      <c r="DD70" s="711"/>
      <c r="DE70" s="711"/>
      <c r="DF70" s="711"/>
      <c r="DG70" s="711"/>
      <c r="DH70" s="711"/>
      <c r="DI70" s="711"/>
      <c r="DJ70" s="711"/>
      <c r="DK70" s="711"/>
      <c r="DL70" s="711"/>
      <c r="DM70" s="711"/>
      <c r="DN70" s="711"/>
      <c r="DO70" s="711"/>
      <c r="DP70" s="711"/>
      <c r="DQ70" s="711"/>
      <c r="DR70" s="711"/>
      <c r="DS70" s="711"/>
      <c r="DT70" s="711"/>
      <c r="DU70" s="711"/>
      <c r="DV70" s="711"/>
      <c r="DW70" s="711"/>
      <c r="DX70" s="711"/>
      <c r="DY70" s="711"/>
      <c r="DZ70" s="711"/>
      <c r="EA70" s="711"/>
      <c r="EB70" s="711"/>
      <c r="EC70" s="711"/>
      <c r="ED70" s="711"/>
      <c r="EE70" s="711"/>
      <c r="EF70" s="711"/>
      <c r="EG70" s="711"/>
      <c r="EH70" s="711"/>
      <c r="EI70" s="711"/>
      <c r="EJ70" s="711"/>
      <c r="EK70" s="711"/>
      <c r="EL70" s="711"/>
      <c r="EM70" s="711"/>
      <c r="EN70" s="711"/>
      <c r="EO70" s="711"/>
      <c r="EP70" s="711"/>
      <c r="EQ70" s="711"/>
      <c r="ER70" s="711"/>
      <c r="ES70" s="711"/>
      <c r="ET70" s="711"/>
      <c r="EU70" s="711"/>
      <c r="EV70" s="711"/>
      <c r="EW70" s="711"/>
      <c r="EX70" s="711"/>
      <c r="EY70" s="711"/>
      <c r="EZ70" s="711"/>
      <c r="FA70" s="711"/>
      <c r="FB70" s="711"/>
      <c r="FC70" s="711"/>
      <c r="FD70" s="711"/>
      <c r="FE70" s="711"/>
      <c r="FF70" s="711"/>
      <c r="FG70" s="711"/>
      <c r="FH70" s="711"/>
      <c r="FI70" s="711"/>
      <c r="FJ70" s="711"/>
      <c r="FK70" s="711"/>
      <c r="FL70" s="711"/>
      <c r="FM70" s="711"/>
      <c r="FN70" s="711"/>
      <c r="FO70" s="711"/>
      <c r="FP70" s="711"/>
      <c r="FQ70" s="711"/>
      <c r="FR70" s="711"/>
      <c r="FS70" s="711"/>
      <c r="FT70" s="711"/>
      <c r="FU70" s="711"/>
      <c r="FV70" s="711"/>
      <c r="FW70" s="711"/>
      <c r="FX70" s="711"/>
      <c r="FY70" s="711"/>
      <c r="FZ70" s="711"/>
      <c r="GA70" s="711"/>
      <c r="GB70" s="711"/>
      <c r="GC70" s="711"/>
      <c r="GD70" s="711"/>
      <c r="GE70" s="711"/>
      <c r="GF70" s="711"/>
      <c r="GG70" s="711"/>
      <c r="GH70" s="711"/>
      <c r="GI70" s="711"/>
      <c r="GJ70" s="711"/>
      <c r="GK70" s="711"/>
      <c r="GL70" s="711"/>
      <c r="GM70" s="711"/>
      <c r="GN70" s="711"/>
      <c r="GO70" s="711"/>
      <c r="GP70" s="711"/>
      <c r="GQ70" s="711"/>
      <c r="GR70" s="711"/>
      <c r="GS70" s="711"/>
      <c r="GT70" s="711"/>
      <c r="GU70" s="711"/>
      <c r="GV70" s="711"/>
      <c r="GW70" s="711"/>
      <c r="GX70" s="711"/>
      <c r="GY70" s="711"/>
      <c r="GZ70" s="711"/>
      <c r="HA70" s="711"/>
      <c r="HB70" s="711"/>
      <c r="HC70" s="711"/>
      <c r="HD70" s="711"/>
      <c r="HE70" s="711"/>
      <c r="HF70" s="711"/>
      <c r="HG70" s="711"/>
      <c r="HH70" s="711"/>
      <c r="HI70" s="711"/>
      <c r="HJ70" s="711"/>
      <c r="HK70" s="711"/>
      <c r="HL70" s="711"/>
      <c r="HM70" s="711"/>
      <c r="HN70" s="711"/>
      <c r="HO70" s="711"/>
      <c r="HP70" s="711"/>
      <c r="HQ70" s="711"/>
      <c r="HR70" s="711"/>
      <c r="HS70" s="711"/>
      <c r="HT70" s="711"/>
      <c r="HU70" s="711"/>
      <c r="HV70" s="711"/>
      <c r="HW70" s="711"/>
      <c r="HX70" s="711"/>
      <c r="HY70" s="711"/>
      <c r="HZ70" s="711"/>
      <c r="IA70" s="711"/>
      <c r="IB70" s="711"/>
      <c r="IC70" s="711"/>
      <c r="ID70" s="711"/>
      <c r="IE70" s="711"/>
      <c r="IF70" s="711"/>
      <c r="IG70" s="711"/>
      <c r="IH70" s="711"/>
      <c r="II70" s="711"/>
      <c r="IJ70" s="711"/>
      <c r="IK70" s="711"/>
      <c r="IL70" s="711"/>
      <c r="IM70" s="711"/>
      <c r="IN70" s="711"/>
      <c r="IO70" s="711"/>
      <c r="IP70" s="711"/>
      <c r="IQ70" s="711"/>
      <c r="IR70" s="711"/>
      <c r="IS70" s="711"/>
      <c r="IT70" s="711"/>
      <c r="IU70" s="711"/>
      <c r="IV70" s="711"/>
    </row>
    <row r="71" spans="1:256" ht="12.75" hidden="1" customHeight="1">
      <c r="A71" s="708" t="s">
        <v>345</v>
      </c>
      <c r="B71" s="690">
        <v>12369.5</v>
      </c>
      <c r="C71" s="708">
        <v>31083.7</v>
      </c>
      <c r="D71" s="691"/>
      <c r="E71" s="708">
        <f>B71-C71</f>
        <v>-18714.2</v>
      </c>
      <c r="F71" s="690">
        <v>16148.6</v>
      </c>
      <c r="G71" s="690">
        <f>2586.1+2.2</f>
        <v>2588.2999999999997</v>
      </c>
      <c r="H71" s="708">
        <f t="shared" ref="H71:H82" si="6">G71+F71</f>
        <v>18736.900000000001</v>
      </c>
      <c r="I71" s="695"/>
      <c r="J71" s="690">
        <v>-23.3</v>
      </c>
      <c r="K71" s="708">
        <f t="shared" ref="K71:K82" si="7">J71+H71</f>
        <v>18713.600000000002</v>
      </c>
      <c r="L71" s="693"/>
      <c r="M71" s="711"/>
      <c r="N71" s="711"/>
      <c r="O71" s="711"/>
      <c r="P71" s="711"/>
      <c r="Q71" s="711"/>
      <c r="R71" s="711"/>
      <c r="S71" s="711"/>
      <c r="T71" s="711"/>
      <c r="U71" s="711"/>
      <c r="V71" s="711"/>
      <c r="W71" s="711"/>
      <c r="X71" s="711"/>
      <c r="Y71" s="711"/>
      <c r="Z71" s="711"/>
      <c r="AA71" s="711"/>
      <c r="AB71" s="711"/>
      <c r="AC71" s="711"/>
      <c r="AD71" s="711"/>
      <c r="AE71" s="711"/>
      <c r="AF71" s="711"/>
      <c r="AG71" s="711"/>
      <c r="AH71" s="711"/>
      <c r="AI71" s="711"/>
      <c r="AJ71" s="711"/>
      <c r="AK71" s="711"/>
      <c r="AL71" s="711"/>
      <c r="AM71" s="711"/>
      <c r="AN71" s="711"/>
      <c r="AO71" s="711"/>
      <c r="AP71" s="711"/>
      <c r="AQ71" s="711"/>
      <c r="AR71" s="711"/>
      <c r="AS71" s="711"/>
      <c r="AT71" s="711"/>
      <c r="AU71" s="711"/>
      <c r="AV71" s="711"/>
      <c r="AW71" s="711"/>
      <c r="AX71" s="711"/>
      <c r="AY71" s="711"/>
      <c r="AZ71" s="711"/>
      <c r="BA71" s="711"/>
      <c r="BB71" s="711"/>
      <c r="BC71" s="711"/>
      <c r="BD71" s="711"/>
      <c r="BE71" s="711"/>
      <c r="BF71" s="711"/>
      <c r="BG71" s="711"/>
      <c r="BH71" s="711"/>
      <c r="BI71" s="711"/>
      <c r="BJ71" s="711"/>
      <c r="BK71" s="711"/>
      <c r="BL71" s="711"/>
      <c r="BM71" s="711"/>
      <c r="BN71" s="711"/>
      <c r="BO71" s="711"/>
      <c r="BP71" s="711"/>
      <c r="BQ71" s="711"/>
      <c r="BR71" s="711"/>
      <c r="BS71" s="711"/>
      <c r="BT71" s="711"/>
      <c r="BU71" s="711"/>
      <c r="BV71" s="711"/>
      <c r="BW71" s="711"/>
      <c r="BX71" s="711"/>
      <c r="BY71" s="711"/>
      <c r="BZ71" s="711"/>
      <c r="CA71" s="711"/>
      <c r="CB71" s="711"/>
      <c r="CC71" s="711"/>
      <c r="CD71" s="711"/>
      <c r="CE71" s="711"/>
      <c r="CF71" s="711"/>
      <c r="CG71" s="711"/>
      <c r="CH71" s="711"/>
      <c r="CI71" s="711"/>
      <c r="CJ71" s="711"/>
      <c r="CK71" s="711"/>
      <c r="CL71" s="711"/>
      <c r="CM71" s="711"/>
      <c r="CN71" s="711"/>
      <c r="CO71" s="711"/>
      <c r="CP71" s="711"/>
      <c r="CQ71" s="711"/>
      <c r="CR71" s="711"/>
      <c r="CS71" s="711"/>
      <c r="CT71" s="711"/>
      <c r="CU71" s="711"/>
      <c r="CV71" s="711"/>
      <c r="CW71" s="711"/>
      <c r="CX71" s="711"/>
      <c r="CY71" s="711"/>
      <c r="CZ71" s="711"/>
      <c r="DA71" s="711"/>
      <c r="DB71" s="711"/>
      <c r="DC71" s="711"/>
      <c r="DD71" s="711"/>
      <c r="DE71" s="711"/>
      <c r="DF71" s="711"/>
      <c r="DG71" s="711"/>
      <c r="DH71" s="711"/>
      <c r="DI71" s="711"/>
      <c r="DJ71" s="711"/>
      <c r="DK71" s="711"/>
      <c r="DL71" s="711"/>
      <c r="DM71" s="711"/>
      <c r="DN71" s="711"/>
      <c r="DO71" s="711"/>
      <c r="DP71" s="711"/>
      <c r="DQ71" s="711"/>
      <c r="DR71" s="711"/>
      <c r="DS71" s="711"/>
      <c r="DT71" s="711"/>
      <c r="DU71" s="711"/>
      <c r="DV71" s="711"/>
      <c r="DW71" s="711"/>
      <c r="DX71" s="711"/>
      <c r="DY71" s="711"/>
      <c r="DZ71" s="711"/>
      <c r="EA71" s="711"/>
      <c r="EB71" s="711"/>
      <c r="EC71" s="711"/>
      <c r="ED71" s="711"/>
      <c r="EE71" s="711"/>
      <c r="EF71" s="711"/>
      <c r="EG71" s="711"/>
      <c r="EH71" s="711"/>
      <c r="EI71" s="711"/>
      <c r="EJ71" s="711"/>
      <c r="EK71" s="711"/>
      <c r="EL71" s="711"/>
      <c r="EM71" s="711"/>
      <c r="EN71" s="711"/>
      <c r="EO71" s="711"/>
      <c r="EP71" s="711"/>
      <c r="EQ71" s="711"/>
      <c r="ER71" s="711"/>
      <c r="ES71" s="711"/>
      <c r="ET71" s="711"/>
      <c r="EU71" s="711"/>
      <c r="EV71" s="711"/>
      <c r="EW71" s="711"/>
      <c r="EX71" s="711"/>
      <c r="EY71" s="711"/>
      <c r="EZ71" s="711"/>
      <c r="FA71" s="711"/>
      <c r="FB71" s="711"/>
      <c r="FC71" s="711"/>
      <c r="FD71" s="711"/>
      <c r="FE71" s="711"/>
      <c r="FF71" s="711"/>
      <c r="FG71" s="711"/>
      <c r="FH71" s="711"/>
      <c r="FI71" s="711"/>
      <c r="FJ71" s="711"/>
      <c r="FK71" s="711"/>
      <c r="FL71" s="711"/>
      <c r="FM71" s="711"/>
      <c r="FN71" s="711"/>
      <c r="FO71" s="711"/>
      <c r="FP71" s="711"/>
      <c r="FQ71" s="711"/>
      <c r="FR71" s="711"/>
      <c r="FS71" s="711"/>
      <c r="FT71" s="711"/>
      <c r="FU71" s="711"/>
      <c r="FV71" s="711"/>
      <c r="FW71" s="711"/>
      <c r="FX71" s="711"/>
      <c r="FY71" s="711"/>
      <c r="FZ71" s="711"/>
      <c r="GA71" s="711"/>
      <c r="GB71" s="711"/>
      <c r="GC71" s="711"/>
      <c r="GD71" s="711"/>
      <c r="GE71" s="711"/>
      <c r="GF71" s="711"/>
      <c r="GG71" s="711"/>
      <c r="GH71" s="711"/>
      <c r="GI71" s="711"/>
      <c r="GJ71" s="711"/>
      <c r="GK71" s="711"/>
      <c r="GL71" s="711"/>
      <c r="GM71" s="711"/>
      <c r="GN71" s="711"/>
      <c r="GO71" s="711"/>
      <c r="GP71" s="711"/>
      <c r="GQ71" s="711"/>
      <c r="GR71" s="711"/>
      <c r="GS71" s="711"/>
      <c r="GT71" s="711"/>
      <c r="GU71" s="711"/>
      <c r="GV71" s="711"/>
      <c r="GW71" s="711"/>
      <c r="GX71" s="711"/>
      <c r="GY71" s="711"/>
      <c r="GZ71" s="711"/>
      <c r="HA71" s="711"/>
      <c r="HB71" s="711"/>
      <c r="HC71" s="711"/>
      <c r="HD71" s="711"/>
      <c r="HE71" s="711"/>
      <c r="HF71" s="711"/>
      <c r="HG71" s="711"/>
      <c r="HH71" s="711"/>
      <c r="HI71" s="711"/>
      <c r="HJ71" s="711"/>
      <c r="HK71" s="711"/>
      <c r="HL71" s="711"/>
      <c r="HM71" s="711"/>
      <c r="HN71" s="711"/>
      <c r="HO71" s="711"/>
      <c r="HP71" s="711"/>
      <c r="HQ71" s="711"/>
      <c r="HR71" s="711"/>
      <c r="HS71" s="711"/>
      <c r="HT71" s="711"/>
      <c r="HU71" s="711"/>
      <c r="HV71" s="711"/>
      <c r="HW71" s="711"/>
      <c r="HX71" s="711"/>
      <c r="HY71" s="711"/>
      <c r="HZ71" s="711"/>
      <c r="IA71" s="711"/>
      <c r="IB71" s="711"/>
      <c r="IC71" s="711"/>
      <c r="ID71" s="711"/>
      <c r="IE71" s="711"/>
      <c r="IF71" s="711"/>
      <c r="IG71" s="711"/>
      <c r="IH71" s="711"/>
      <c r="II71" s="711"/>
      <c r="IJ71" s="711"/>
      <c r="IK71" s="711"/>
      <c r="IL71" s="711"/>
      <c r="IM71" s="711"/>
      <c r="IN71" s="711"/>
      <c r="IO71" s="711"/>
      <c r="IP71" s="711"/>
      <c r="IQ71" s="711"/>
      <c r="IR71" s="711"/>
      <c r="IS71" s="711"/>
      <c r="IT71" s="711"/>
      <c r="IU71" s="711"/>
      <c r="IV71" s="711"/>
    </row>
    <row r="72" spans="1:256" ht="12.75" hidden="1" customHeight="1">
      <c r="A72" s="708" t="s">
        <v>334</v>
      </c>
      <c r="B72" s="708">
        <v>15295</v>
      </c>
      <c r="C72" s="708">
        <v>31957.3</v>
      </c>
      <c r="D72" s="691"/>
      <c r="E72" s="708">
        <f>B72-C72</f>
        <v>-16662.3</v>
      </c>
      <c r="F72" s="690">
        <v>16510.400000000001</v>
      </c>
      <c r="G72" s="708">
        <v>153</v>
      </c>
      <c r="H72" s="708">
        <f t="shared" si="6"/>
        <v>16663.400000000001</v>
      </c>
      <c r="I72" s="695"/>
      <c r="J72" s="690">
        <v>-1.1000000000000001</v>
      </c>
      <c r="K72" s="708">
        <f t="shared" si="7"/>
        <v>16662.300000000003</v>
      </c>
      <c r="L72" s="693"/>
      <c r="M72" s="711"/>
      <c r="N72" s="711"/>
      <c r="O72" s="711"/>
      <c r="P72" s="711"/>
      <c r="Q72" s="711"/>
      <c r="R72" s="711"/>
      <c r="S72" s="711"/>
      <c r="T72" s="711"/>
      <c r="U72" s="711"/>
      <c r="V72" s="711"/>
      <c r="W72" s="711"/>
      <c r="X72" s="711"/>
      <c r="Y72" s="711"/>
      <c r="Z72" s="711"/>
      <c r="AA72" s="711"/>
      <c r="AB72" s="711"/>
      <c r="AC72" s="711"/>
      <c r="AD72" s="711"/>
      <c r="AE72" s="711"/>
      <c r="AF72" s="711"/>
      <c r="AG72" s="711"/>
      <c r="AH72" s="711"/>
      <c r="AI72" s="711"/>
      <c r="AJ72" s="711"/>
      <c r="AK72" s="711"/>
      <c r="AL72" s="711"/>
      <c r="AM72" s="711"/>
      <c r="AN72" s="711"/>
      <c r="AO72" s="711"/>
      <c r="AP72" s="711"/>
      <c r="AQ72" s="711"/>
      <c r="AR72" s="711"/>
      <c r="AS72" s="711"/>
      <c r="AT72" s="711"/>
      <c r="AU72" s="711"/>
      <c r="AV72" s="711"/>
      <c r="AW72" s="711"/>
      <c r="AX72" s="711"/>
      <c r="AY72" s="711"/>
      <c r="AZ72" s="711"/>
      <c r="BA72" s="711"/>
      <c r="BB72" s="711"/>
      <c r="BC72" s="711"/>
      <c r="BD72" s="711"/>
      <c r="BE72" s="711"/>
      <c r="BF72" s="711"/>
      <c r="BG72" s="711"/>
      <c r="BH72" s="711"/>
      <c r="BI72" s="711"/>
      <c r="BJ72" s="711"/>
      <c r="BK72" s="711"/>
      <c r="BL72" s="711"/>
      <c r="BM72" s="711"/>
      <c r="BN72" s="711"/>
      <c r="BO72" s="711"/>
      <c r="BP72" s="711"/>
      <c r="BQ72" s="711"/>
      <c r="BR72" s="711"/>
      <c r="BS72" s="711"/>
      <c r="BT72" s="711"/>
      <c r="BU72" s="711"/>
      <c r="BV72" s="711"/>
      <c r="BW72" s="711"/>
      <c r="BX72" s="711"/>
      <c r="BY72" s="711"/>
      <c r="BZ72" s="711"/>
      <c r="CA72" s="711"/>
      <c r="CB72" s="711"/>
      <c r="CC72" s="711"/>
      <c r="CD72" s="711"/>
      <c r="CE72" s="711"/>
      <c r="CF72" s="711"/>
      <c r="CG72" s="711"/>
      <c r="CH72" s="711"/>
      <c r="CI72" s="711"/>
      <c r="CJ72" s="711"/>
      <c r="CK72" s="711"/>
      <c r="CL72" s="711"/>
      <c r="CM72" s="711"/>
      <c r="CN72" s="711"/>
      <c r="CO72" s="711"/>
      <c r="CP72" s="711"/>
      <c r="CQ72" s="711"/>
      <c r="CR72" s="711"/>
      <c r="CS72" s="711"/>
      <c r="CT72" s="711"/>
      <c r="CU72" s="711"/>
      <c r="CV72" s="711"/>
      <c r="CW72" s="711"/>
      <c r="CX72" s="711"/>
      <c r="CY72" s="711"/>
      <c r="CZ72" s="711"/>
      <c r="DA72" s="711"/>
      <c r="DB72" s="711"/>
      <c r="DC72" s="711"/>
      <c r="DD72" s="711"/>
      <c r="DE72" s="711"/>
      <c r="DF72" s="711"/>
      <c r="DG72" s="711"/>
      <c r="DH72" s="711"/>
      <c r="DI72" s="711"/>
      <c r="DJ72" s="711"/>
      <c r="DK72" s="711"/>
      <c r="DL72" s="711"/>
      <c r="DM72" s="711"/>
      <c r="DN72" s="711"/>
      <c r="DO72" s="711"/>
      <c r="DP72" s="711"/>
      <c r="DQ72" s="711"/>
      <c r="DR72" s="711"/>
      <c r="DS72" s="711"/>
      <c r="DT72" s="711"/>
      <c r="DU72" s="711"/>
      <c r="DV72" s="711"/>
      <c r="DW72" s="711"/>
      <c r="DX72" s="711"/>
      <c r="DY72" s="711"/>
      <c r="DZ72" s="711"/>
      <c r="EA72" s="711"/>
      <c r="EB72" s="711"/>
      <c r="EC72" s="711"/>
      <c r="ED72" s="711"/>
      <c r="EE72" s="711"/>
      <c r="EF72" s="711"/>
      <c r="EG72" s="711"/>
      <c r="EH72" s="711"/>
      <c r="EI72" s="711"/>
      <c r="EJ72" s="711"/>
      <c r="EK72" s="711"/>
      <c r="EL72" s="711"/>
      <c r="EM72" s="711"/>
      <c r="EN72" s="711"/>
      <c r="EO72" s="711"/>
      <c r="EP72" s="711"/>
      <c r="EQ72" s="711"/>
      <c r="ER72" s="711"/>
      <c r="ES72" s="711"/>
      <c r="ET72" s="711"/>
      <c r="EU72" s="711"/>
      <c r="EV72" s="711"/>
      <c r="EW72" s="711"/>
      <c r="EX72" s="711"/>
      <c r="EY72" s="711"/>
      <c r="EZ72" s="711"/>
      <c r="FA72" s="711"/>
      <c r="FB72" s="711"/>
      <c r="FC72" s="711"/>
      <c r="FD72" s="711"/>
      <c r="FE72" s="711"/>
      <c r="FF72" s="711"/>
      <c r="FG72" s="711"/>
      <c r="FH72" s="711"/>
      <c r="FI72" s="711"/>
      <c r="FJ72" s="711"/>
      <c r="FK72" s="711"/>
      <c r="FL72" s="711"/>
      <c r="FM72" s="711"/>
      <c r="FN72" s="711"/>
      <c r="FO72" s="711"/>
      <c r="FP72" s="711"/>
      <c r="FQ72" s="711"/>
      <c r="FR72" s="711"/>
      <c r="FS72" s="711"/>
      <c r="FT72" s="711"/>
      <c r="FU72" s="711"/>
      <c r="FV72" s="711"/>
      <c r="FW72" s="711"/>
      <c r="FX72" s="711"/>
      <c r="FY72" s="711"/>
      <c r="FZ72" s="711"/>
      <c r="GA72" s="711"/>
      <c r="GB72" s="711"/>
      <c r="GC72" s="711"/>
      <c r="GD72" s="711"/>
      <c r="GE72" s="711"/>
      <c r="GF72" s="711"/>
      <c r="GG72" s="711"/>
      <c r="GH72" s="711"/>
      <c r="GI72" s="711"/>
      <c r="GJ72" s="711"/>
      <c r="GK72" s="711"/>
      <c r="GL72" s="711"/>
      <c r="GM72" s="711"/>
      <c r="GN72" s="711"/>
      <c r="GO72" s="711"/>
      <c r="GP72" s="711"/>
      <c r="GQ72" s="711"/>
      <c r="GR72" s="711"/>
      <c r="GS72" s="711"/>
      <c r="GT72" s="711"/>
      <c r="GU72" s="711"/>
      <c r="GV72" s="711"/>
      <c r="GW72" s="711"/>
      <c r="GX72" s="711"/>
      <c r="GY72" s="711"/>
      <c r="GZ72" s="711"/>
      <c r="HA72" s="711"/>
      <c r="HB72" s="711"/>
      <c r="HC72" s="711"/>
      <c r="HD72" s="711"/>
      <c r="HE72" s="711"/>
      <c r="HF72" s="711"/>
      <c r="HG72" s="711"/>
      <c r="HH72" s="711"/>
      <c r="HI72" s="711"/>
      <c r="HJ72" s="711"/>
      <c r="HK72" s="711"/>
      <c r="HL72" s="711"/>
      <c r="HM72" s="711"/>
      <c r="HN72" s="711"/>
      <c r="HO72" s="711"/>
      <c r="HP72" s="711"/>
      <c r="HQ72" s="711"/>
      <c r="HR72" s="711"/>
      <c r="HS72" s="711"/>
      <c r="HT72" s="711"/>
      <c r="HU72" s="711"/>
      <c r="HV72" s="711"/>
      <c r="HW72" s="711"/>
      <c r="HX72" s="711"/>
      <c r="HY72" s="711"/>
      <c r="HZ72" s="711"/>
      <c r="IA72" s="711"/>
      <c r="IB72" s="711"/>
      <c r="IC72" s="711"/>
      <c r="ID72" s="711"/>
      <c r="IE72" s="711"/>
      <c r="IF72" s="711"/>
      <c r="IG72" s="711"/>
      <c r="IH72" s="711"/>
      <c r="II72" s="711"/>
      <c r="IJ72" s="711"/>
      <c r="IK72" s="711"/>
      <c r="IL72" s="711"/>
      <c r="IM72" s="711"/>
      <c r="IN72" s="711"/>
      <c r="IO72" s="711"/>
      <c r="IP72" s="711"/>
      <c r="IQ72" s="711"/>
      <c r="IR72" s="711"/>
      <c r="IS72" s="711"/>
      <c r="IT72" s="711"/>
      <c r="IU72" s="711"/>
      <c r="IV72" s="711"/>
    </row>
    <row r="73" spans="1:256" ht="12.75" hidden="1" customHeight="1">
      <c r="A73" s="708" t="s">
        <v>335</v>
      </c>
      <c r="B73" s="708">
        <f>27988+179.7</f>
        <v>28167.7</v>
      </c>
      <c r="C73" s="708">
        <v>20691.400000000001</v>
      </c>
      <c r="D73" s="691"/>
      <c r="E73" s="708">
        <f>B73-C73</f>
        <v>7476.2999999999993</v>
      </c>
      <c r="F73" s="690">
        <v>-7653.3</v>
      </c>
      <c r="G73" s="708">
        <f>173.5+8</f>
        <v>181.5</v>
      </c>
      <c r="H73" s="708">
        <f t="shared" si="6"/>
        <v>-7471.8</v>
      </c>
      <c r="I73" s="695"/>
      <c r="J73" s="690">
        <v>-4.5</v>
      </c>
      <c r="K73" s="708">
        <f t="shared" si="7"/>
        <v>-7476.3</v>
      </c>
      <c r="L73" s="693"/>
      <c r="M73" s="711"/>
      <c r="N73" s="711"/>
      <c r="O73" s="711"/>
      <c r="P73" s="711"/>
      <c r="Q73" s="711"/>
      <c r="R73" s="711"/>
      <c r="S73" s="711"/>
      <c r="T73" s="711"/>
      <c r="U73" s="711"/>
      <c r="V73" s="711"/>
      <c r="W73" s="711"/>
      <c r="X73" s="711"/>
      <c r="Y73" s="711"/>
      <c r="Z73" s="711"/>
      <c r="AA73" s="711"/>
      <c r="AB73" s="711"/>
      <c r="AC73" s="711"/>
      <c r="AD73" s="711"/>
      <c r="AE73" s="711"/>
      <c r="AF73" s="711"/>
      <c r="AG73" s="711"/>
      <c r="AH73" s="711"/>
      <c r="AI73" s="711"/>
      <c r="AJ73" s="711"/>
      <c r="AK73" s="711"/>
      <c r="AL73" s="711"/>
      <c r="AM73" s="711"/>
      <c r="AN73" s="711"/>
      <c r="AO73" s="711"/>
      <c r="AP73" s="711"/>
      <c r="AQ73" s="711"/>
      <c r="AR73" s="711"/>
      <c r="AS73" s="711"/>
      <c r="AT73" s="711"/>
      <c r="AU73" s="711"/>
      <c r="AV73" s="711"/>
      <c r="AW73" s="711"/>
      <c r="AX73" s="711"/>
      <c r="AY73" s="711"/>
      <c r="AZ73" s="711"/>
      <c r="BA73" s="711"/>
      <c r="BB73" s="711"/>
      <c r="BC73" s="711"/>
      <c r="BD73" s="711"/>
      <c r="BE73" s="711"/>
      <c r="BF73" s="711"/>
      <c r="BG73" s="711"/>
      <c r="BH73" s="711"/>
      <c r="BI73" s="711"/>
      <c r="BJ73" s="711"/>
      <c r="BK73" s="711"/>
      <c r="BL73" s="711"/>
      <c r="BM73" s="711"/>
      <c r="BN73" s="711"/>
      <c r="BO73" s="711"/>
      <c r="BP73" s="711"/>
      <c r="BQ73" s="711"/>
      <c r="BR73" s="711"/>
      <c r="BS73" s="711"/>
      <c r="BT73" s="711"/>
      <c r="BU73" s="711"/>
      <c r="BV73" s="711"/>
      <c r="BW73" s="711"/>
      <c r="BX73" s="711"/>
      <c r="BY73" s="711"/>
      <c r="BZ73" s="711"/>
      <c r="CA73" s="711"/>
      <c r="CB73" s="711"/>
      <c r="CC73" s="711"/>
      <c r="CD73" s="711"/>
      <c r="CE73" s="711"/>
      <c r="CF73" s="711"/>
      <c r="CG73" s="711"/>
      <c r="CH73" s="711"/>
      <c r="CI73" s="711"/>
      <c r="CJ73" s="711"/>
      <c r="CK73" s="711"/>
      <c r="CL73" s="711"/>
      <c r="CM73" s="711"/>
      <c r="CN73" s="711"/>
      <c r="CO73" s="711"/>
      <c r="CP73" s="711"/>
      <c r="CQ73" s="711"/>
      <c r="CR73" s="711"/>
      <c r="CS73" s="711"/>
      <c r="CT73" s="711"/>
      <c r="CU73" s="711"/>
      <c r="CV73" s="711"/>
      <c r="CW73" s="711"/>
      <c r="CX73" s="711"/>
      <c r="CY73" s="711"/>
      <c r="CZ73" s="711"/>
      <c r="DA73" s="711"/>
      <c r="DB73" s="711"/>
      <c r="DC73" s="711"/>
      <c r="DD73" s="711"/>
      <c r="DE73" s="711"/>
      <c r="DF73" s="711"/>
      <c r="DG73" s="711"/>
      <c r="DH73" s="711"/>
      <c r="DI73" s="711"/>
      <c r="DJ73" s="711"/>
      <c r="DK73" s="711"/>
      <c r="DL73" s="711"/>
      <c r="DM73" s="711"/>
      <c r="DN73" s="711"/>
      <c r="DO73" s="711"/>
      <c r="DP73" s="711"/>
      <c r="DQ73" s="711"/>
      <c r="DR73" s="711"/>
      <c r="DS73" s="711"/>
      <c r="DT73" s="711"/>
      <c r="DU73" s="711"/>
      <c r="DV73" s="711"/>
      <c r="DW73" s="711"/>
      <c r="DX73" s="711"/>
      <c r="DY73" s="711"/>
      <c r="DZ73" s="711"/>
      <c r="EA73" s="711"/>
      <c r="EB73" s="711"/>
      <c r="EC73" s="711"/>
      <c r="ED73" s="711"/>
      <c r="EE73" s="711"/>
      <c r="EF73" s="711"/>
      <c r="EG73" s="711"/>
      <c r="EH73" s="711"/>
      <c r="EI73" s="711"/>
      <c r="EJ73" s="711"/>
      <c r="EK73" s="711"/>
      <c r="EL73" s="711"/>
      <c r="EM73" s="711"/>
      <c r="EN73" s="711"/>
      <c r="EO73" s="711"/>
      <c r="EP73" s="711"/>
      <c r="EQ73" s="711"/>
      <c r="ER73" s="711"/>
      <c r="ES73" s="711"/>
      <c r="ET73" s="711"/>
      <c r="EU73" s="711"/>
      <c r="EV73" s="711"/>
      <c r="EW73" s="711"/>
      <c r="EX73" s="711"/>
      <c r="EY73" s="711"/>
      <c r="EZ73" s="711"/>
      <c r="FA73" s="711"/>
      <c r="FB73" s="711"/>
      <c r="FC73" s="711"/>
      <c r="FD73" s="711"/>
      <c r="FE73" s="711"/>
      <c r="FF73" s="711"/>
      <c r="FG73" s="711"/>
      <c r="FH73" s="711"/>
      <c r="FI73" s="711"/>
      <c r="FJ73" s="711"/>
      <c r="FK73" s="711"/>
      <c r="FL73" s="711"/>
      <c r="FM73" s="711"/>
      <c r="FN73" s="711"/>
      <c r="FO73" s="711"/>
      <c r="FP73" s="711"/>
      <c r="FQ73" s="711"/>
      <c r="FR73" s="711"/>
      <c r="FS73" s="711"/>
      <c r="FT73" s="711"/>
      <c r="FU73" s="711"/>
      <c r="FV73" s="711"/>
      <c r="FW73" s="711"/>
      <c r="FX73" s="711"/>
      <c r="FY73" s="711"/>
      <c r="FZ73" s="711"/>
      <c r="GA73" s="711"/>
      <c r="GB73" s="711"/>
      <c r="GC73" s="711"/>
      <c r="GD73" s="711"/>
      <c r="GE73" s="711"/>
      <c r="GF73" s="711"/>
      <c r="GG73" s="711"/>
      <c r="GH73" s="711"/>
      <c r="GI73" s="711"/>
      <c r="GJ73" s="711"/>
      <c r="GK73" s="711"/>
      <c r="GL73" s="711"/>
      <c r="GM73" s="711"/>
      <c r="GN73" s="711"/>
      <c r="GO73" s="711"/>
      <c r="GP73" s="711"/>
      <c r="GQ73" s="711"/>
      <c r="GR73" s="711"/>
      <c r="GS73" s="711"/>
      <c r="GT73" s="711"/>
      <c r="GU73" s="711"/>
      <c r="GV73" s="711"/>
      <c r="GW73" s="711"/>
      <c r="GX73" s="711"/>
      <c r="GY73" s="711"/>
      <c r="GZ73" s="711"/>
      <c r="HA73" s="711"/>
      <c r="HB73" s="711"/>
      <c r="HC73" s="711"/>
      <c r="HD73" s="711"/>
      <c r="HE73" s="711"/>
      <c r="HF73" s="711"/>
      <c r="HG73" s="711"/>
      <c r="HH73" s="711"/>
      <c r="HI73" s="711"/>
      <c r="HJ73" s="711"/>
      <c r="HK73" s="711"/>
      <c r="HL73" s="711"/>
      <c r="HM73" s="711"/>
      <c r="HN73" s="711"/>
      <c r="HO73" s="711"/>
      <c r="HP73" s="711"/>
      <c r="HQ73" s="711"/>
      <c r="HR73" s="711"/>
      <c r="HS73" s="711"/>
      <c r="HT73" s="711"/>
      <c r="HU73" s="711"/>
      <c r="HV73" s="711"/>
      <c r="HW73" s="711"/>
      <c r="HX73" s="711"/>
      <c r="HY73" s="711"/>
      <c r="HZ73" s="711"/>
      <c r="IA73" s="711"/>
      <c r="IB73" s="711"/>
      <c r="IC73" s="711"/>
      <c r="ID73" s="711"/>
      <c r="IE73" s="711"/>
      <c r="IF73" s="711"/>
      <c r="IG73" s="711"/>
      <c r="IH73" s="711"/>
      <c r="II73" s="711"/>
      <c r="IJ73" s="711"/>
      <c r="IK73" s="711"/>
      <c r="IL73" s="711"/>
      <c r="IM73" s="711"/>
      <c r="IN73" s="711"/>
      <c r="IO73" s="711"/>
      <c r="IP73" s="711"/>
      <c r="IQ73" s="711"/>
      <c r="IR73" s="711"/>
      <c r="IS73" s="711"/>
      <c r="IT73" s="711"/>
      <c r="IU73" s="711"/>
      <c r="IV73" s="711"/>
    </row>
    <row r="74" spans="1:256" ht="12.75" hidden="1" customHeight="1">
      <c r="A74" s="708" t="s">
        <v>336</v>
      </c>
      <c r="B74" s="708">
        <v>18997.5</v>
      </c>
      <c r="C74" s="708">
        <v>27633.4</v>
      </c>
      <c r="D74" s="691"/>
      <c r="E74" s="708">
        <f>B74-C74</f>
        <v>-8635.9000000000015</v>
      </c>
      <c r="F74" s="690">
        <v>9467.7999999999993</v>
      </c>
      <c r="G74" s="708">
        <v>-666.2</v>
      </c>
      <c r="H74" s="708">
        <f t="shared" si="6"/>
        <v>8801.5999999999985</v>
      </c>
      <c r="I74" s="695"/>
      <c r="J74" s="690">
        <v>-165.7</v>
      </c>
      <c r="K74" s="708">
        <f t="shared" si="7"/>
        <v>8635.8999999999978</v>
      </c>
      <c r="L74" s="693"/>
      <c r="M74" s="711"/>
      <c r="N74" s="711"/>
      <c r="O74" s="711"/>
      <c r="P74" s="711"/>
      <c r="Q74" s="711"/>
      <c r="R74" s="711"/>
      <c r="S74" s="711"/>
      <c r="T74" s="711"/>
      <c r="U74" s="711"/>
      <c r="V74" s="711"/>
      <c r="W74" s="711"/>
      <c r="X74" s="711"/>
      <c r="Y74" s="711"/>
      <c r="Z74" s="711"/>
      <c r="AA74" s="711"/>
      <c r="AB74" s="711"/>
      <c r="AC74" s="711"/>
      <c r="AD74" s="711"/>
      <c r="AE74" s="711"/>
      <c r="AF74" s="711"/>
      <c r="AG74" s="711"/>
      <c r="AH74" s="711"/>
      <c r="AI74" s="711"/>
      <c r="AJ74" s="711"/>
      <c r="AK74" s="711"/>
      <c r="AL74" s="711"/>
      <c r="AM74" s="711"/>
      <c r="AN74" s="711"/>
      <c r="AO74" s="711"/>
      <c r="AP74" s="711"/>
      <c r="AQ74" s="711"/>
      <c r="AR74" s="711"/>
      <c r="AS74" s="711"/>
      <c r="AT74" s="711"/>
      <c r="AU74" s="711"/>
      <c r="AV74" s="711"/>
      <c r="AW74" s="711"/>
      <c r="AX74" s="711"/>
      <c r="AY74" s="711"/>
      <c r="AZ74" s="711"/>
      <c r="BA74" s="711"/>
      <c r="BB74" s="711"/>
      <c r="BC74" s="711"/>
      <c r="BD74" s="711"/>
      <c r="BE74" s="711"/>
      <c r="BF74" s="711"/>
      <c r="BG74" s="711"/>
      <c r="BH74" s="711"/>
      <c r="BI74" s="711"/>
      <c r="BJ74" s="711"/>
      <c r="BK74" s="711"/>
      <c r="BL74" s="711"/>
      <c r="BM74" s="711"/>
      <c r="BN74" s="711"/>
      <c r="BO74" s="711"/>
      <c r="BP74" s="711"/>
      <c r="BQ74" s="711"/>
      <c r="BR74" s="711"/>
      <c r="BS74" s="711"/>
      <c r="BT74" s="711"/>
      <c r="BU74" s="711"/>
      <c r="BV74" s="711"/>
      <c r="BW74" s="711"/>
      <c r="BX74" s="711"/>
      <c r="BY74" s="711"/>
      <c r="BZ74" s="711"/>
      <c r="CA74" s="711"/>
      <c r="CB74" s="711"/>
      <c r="CC74" s="711"/>
      <c r="CD74" s="711"/>
      <c r="CE74" s="711"/>
      <c r="CF74" s="711"/>
      <c r="CG74" s="711"/>
      <c r="CH74" s="711"/>
      <c r="CI74" s="711"/>
      <c r="CJ74" s="711"/>
      <c r="CK74" s="711"/>
      <c r="CL74" s="711"/>
      <c r="CM74" s="711"/>
      <c r="CN74" s="711"/>
      <c r="CO74" s="711"/>
      <c r="CP74" s="711"/>
      <c r="CQ74" s="711"/>
      <c r="CR74" s="711"/>
      <c r="CS74" s="711"/>
      <c r="CT74" s="711"/>
      <c r="CU74" s="711"/>
      <c r="CV74" s="711"/>
      <c r="CW74" s="711"/>
      <c r="CX74" s="711"/>
      <c r="CY74" s="711"/>
      <c r="CZ74" s="711"/>
      <c r="DA74" s="711"/>
      <c r="DB74" s="711"/>
      <c r="DC74" s="711"/>
      <c r="DD74" s="711"/>
      <c r="DE74" s="711"/>
      <c r="DF74" s="711"/>
      <c r="DG74" s="711"/>
      <c r="DH74" s="711"/>
      <c r="DI74" s="711"/>
      <c r="DJ74" s="711"/>
      <c r="DK74" s="711"/>
      <c r="DL74" s="711"/>
      <c r="DM74" s="711"/>
      <c r="DN74" s="711"/>
      <c r="DO74" s="711"/>
      <c r="DP74" s="711"/>
      <c r="DQ74" s="711"/>
      <c r="DR74" s="711"/>
      <c r="DS74" s="711"/>
      <c r="DT74" s="711"/>
      <c r="DU74" s="711"/>
      <c r="DV74" s="711"/>
      <c r="DW74" s="711"/>
      <c r="DX74" s="711"/>
      <c r="DY74" s="711"/>
      <c r="DZ74" s="711"/>
      <c r="EA74" s="711"/>
      <c r="EB74" s="711"/>
      <c r="EC74" s="711"/>
      <c r="ED74" s="711"/>
      <c r="EE74" s="711"/>
      <c r="EF74" s="711"/>
      <c r="EG74" s="711"/>
      <c r="EH74" s="711"/>
      <c r="EI74" s="711"/>
      <c r="EJ74" s="711"/>
      <c r="EK74" s="711"/>
      <c r="EL74" s="711"/>
      <c r="EM74" s="711"/>
      <c r="EN74" s="711"/>
      <c r="EO74" s="711"/>
      <c r="EP74" s="711"/>
      <c r="EQ74" s="711"/>
      <c r="ER74" s="711"/>
      <c r="ES74" s="711"/>
      <c r="ET74" s="711"/>
      <c r="EU74" s="711"/>
      <c r="EV74" s="711"/>
      <c r="EW74" s="711"/>
      <c r="EX74" s="711"/>
      <c r="EY74" s="711"/>
      <c r="EZ74" s="711"/>
      <c r="FA74" s="711"/>
      <c r="FB74" s="711"/>
      <c r="FC74" s="711"/>
      <c r="FD74" s="711"/>
      <c r="FE74" s="711"/>
      <c r="FF74" s="711"/>
      <c r="FG74" s="711"/>
      <c r="FH74" s="711"/>
      <c r="FI74" s="711"/>
      <c r="FJ74" s="711"/>
      <c r="FK74" s="711"/>
      <c r="FL74" s="711"/>
      <c r="FM74" s="711"/>
      <c r="FN74" s="711"/>
      <c r="FO74" s="711"/>
      <c r="FP74" s="711"/>
      <c r="FQ74" s="711"/>
      <c r="FR74" s="711"/>
      <c r="FS74" s="711"/>
      <c r="FT74" s="711"/>
      <c r="FU74" s="711"/>
      <c r="FV74" s="711"/>
      <c r="FW74" s="711"/>
      <c r="FX74" s="711"/>
      <c r="FY74" s="711"/>
      <c r="FZ74" s="711"/>
      <c r="GA74" s="711"/>
      <c r="GB74" s="711"/>
      <c r="GC74" s="711"/>
      <c r="GD74" s="711"/>
      <c r="GE74" s="711"/>
      <c r="GF74" s="711"/>
      <c r="GG74" s="711"/>
      <c r="GH74" s="711"/>
      <c r="GI74" s="711"/>
      <c r="GJ74" s="711"/>
      <c r="GK74" s="711"/>
      <c r="GL74" s="711"/>
      <c r="GM74" s="711"/>
      <c r="GN74" s="711"/>
      <c r="GO74" s="711"/>
      <c r="GP74" s="711"/>
      <c r="GQ74" s="711"/>
      <c r="GR74" s="711"/>
      <c r="GS74" s="711"/>
      <c r="GT74" s="711"/>
      <c r="GU74" s="711"/>
      <c r="GV74" s="711"/>
      <c r="GW74" s="711"/>
      <c r="GX74" s="711"/>
      <c r="GY74" s="711"/>
      <c r="GZ74" s="711"/>
      <c r="HA74" s="711"/>
      <c r="HB74" s="711"/>
      <c r="HC74" s="711"/>
      <c r="HD74" s="711"/>
      <c r="HE74" s="711"/>
      <c r="HF74" s="711"/>
      <c r="HG74" s="711"/>
      <c r="HH74" s="711"/>
      <c r="HI74" s="711"/>
      <c r="HJ74" s="711"/>
      <c r="HK74" s="711"/>
      <c r="HL74" s="711"/>
      <c r="HM74" s="711"/>
      <c r="HN74" s="711"/>
      <c r="HO74" s="711"/>
      <c r="HP74" s="711"/>
      <c r="HQ74" s="711"/>
      <c r="HR74" s="711"/>
      <c r="HS74" s="711"/>
      <c r="HT74" s="711"/>
      <c r="HU74" s="711"/>
      <c r="HV74" s="711"/>
      <c r="HW74" s="711"/>
      <c r="HX74" s="711"/>
      <c r="HY74" s="711"/>
      <c r="HZ74" s="711"/>
      <c r="IA74" s="711"/>
      <c r="IB74" s="711"/>
      <c r="IC74" s="711"/>
      <c r="ID74" s="711"/>
      <c r="IE74" s="711"/>
      <c r="IF74" s="711"/>
      <c r="IG74" s="711"/>
      <c r="IH74" s="711"/>
      <c r="II74" s="711"/>
      <c r="IJ74" s="711"/>
      <c r="IK74" s="711"/>
      <c r="IL74" s="711"/>
      <c r="IM74" s="711"/>
      <c r="IN74" s="711"/>
      <c r="IO74" s="711"/>
      <c r="IP74" s="711"/>
      <c r="IQ74" s="711"/>
      <c r="IR74" s="711"/>
      <c r="IS74" s="711"/>
      <c r="IT74" s="711"/>
      <c r="IU74" s="711"/>
      <c r="IV74" s="711"/>
    </row>
    <row r="75" spans="1:256" ht="12.75" hidden="1" customHeight="1">
      <c r="A75" s="708" t="s">
        <v>337</v>
      </c>
      <c r="B75" s="708">
        <f>21854.4+113.9</f>
        <v>21968.300000000003</v>
      </c>
      <c r="C75" s="708">
        <v>25422.3</v>
      </c>
      <c r="D75" s="691"/>
      <c r="E75" s="708">
        <f>B75-C75</f>
        <v>-3453.9999999999964</v>
      </c>
      <c r="F75" s="690">
        <v>3720.6</v>
      </c>
      <c r="G75" s="708">
        <v>-225.1</v>
      </c>
      <c r="H75" s="708">
        <f t="shared" si="6"/>
        <v>3495.5</v>
      </c>
      <c r="I75" s="695"/>
      <c r="J75" s="690">
        <v>-41.5</v>
      </c>
      <c r="K75" s="708">
        <f t="shared" si="7"/>
        <v>3454</v>
      </c>
      <c r="L75" s="693"/>
      <c r="M75" s="711"/>
      <c r="N75" s="711"/>
      <c r="O75" s="711"/>
      <c r="P75" s="711"/>
      <c r="Q75" s="711"/>
      <c r="R75" s="711"/>
      <c r="S75" s="711"/>
      <c r="T75" s="711"/>
      <c r="U75" s="711"/>
      <c r="V75" s="711"/>
      <c r="W75" s="711"/>
      <c r="X75" s="711"/>
      <c r="Y75" s="711"/>
      <c r="Z75" s="711"/>
      <c r="AA75" s="711"/>
      <c r="AB75" s="711"/>
      <c r="AC75" s="711"/>
      <c r="AD75" s="711"/>
      <c r="AE75" s="711"/>
      <c r="AF75" s="711"/>
      <c r="AG75" s="711"/>
      <c r="AH75" s="711"/>
      <c r="AI75" s="711"/>
      <c r="AJ75" s="711"/>
      <c r="AK75" s="711"/>
      <c r="AL75" s="711"/>
      <c r="AM75" s="711"/>
      <c r="AN75" s="711"/>
      <c r="AO75" s="711"/>
      <c r="AP75" s="711"/>
      <c r="AQ75" s="711"/>
      <c r="AR75" s="711"/>
      <c r="AS75" s="711"/>
      <c r="AT75" s="711"/>
      <c r="AU75" s="711"/>
      <c r="AV75" s="711"/>
      <c r="AW75" s="711"/>
      <c r="AX75" s="711"/>
      <c r="AY75" s="711"/>
      <c r="AZ75" s="711"/>
      <c r="BA75" s="711"/>
      <c r="BB75" s="711"/>
      <c r="BC75" s="711"/>
      <c r="BD75" s="711"/>
      <c r="BE75" s="711"/>
      <c r="BF75" s="711"/>
      <c r="BG75" s="711"/>
      <c r="BH75" s="711"/>
      <c r="BI75" s="711"/>
      <c r="BJ75" s="711"/>
      <c r="BK75" s="711"/>
      <c r="BL75" s="711"/>
      <c r="BM75" s="711"/>
      <c r="BN75" s="711"/>
      <c r="BO75" s="711"/>
      <c r="BP75" s="711"/>
      <c r="BQ75" s="711"/>
      <c r="BR75" s="711"/>
      <c r="BS75" s="711"/>
      <c r="BT75" s="711"/>
      <c r="BU75" s="711"/>
      <c r="BV75" s="711"/>
      <c r="BW75" s="711"/>
      <c r="BX75" s="711"/>
      <c r="BY75" s="711"/>
      <c r="BZ75" s="711"/>
      <c r="CA75" s="711"/>
      <c r="CB75" s="711"/>
      <c r="CC75" s="711"/>
      <c r="CD75" s="711"/>
      <c r="CE75" s="711"/>
      <c r="CF75" s="711"/>
      <c r="CG75" s="711"/>
      <c r="CH75" s="711"/>
      <c r="CI75" s="711"/>
      <c r="CJ75" s="711"/>
      <c r="CK75" s="711"/>
      <c r="CL75" s="711"/>
      <c r="CM75" s="711"/>
      <c r="CN75" s="711"/>
      <c r="CO75" s="711"/>
      <c r="CP75" s="711"/>
      <c r="CQ75" s="711"/>
      <c r="CR75" s="711"/>
      <c r="CS75" s="711"/>
      <c r="CT75" s="711"/>
      <c r="CU75" s="711"/>
      <c r="CV75" s="711"/>
      <c r="CW75" s="711"/>
      <c r="CX75" s="711"/>
      <c r="CY75" s="711"/>
      <c r="CZ75" s="711"/>
      <c r="DA75" s="711"/>
      <c r="DB75" s="711"/>
      <c r="DC75" s="711"/>
      <c r="DD75" s="711"/>
      <c r="DE75" s="711"/>
      <c r="DF75" s="711"/>
      <c r="DG75" s="711"/>
      <c r="DH75" s="711"/>
      <c r="DI75" s="711"/>
      <c r="DJ75" s="711"/>
      <c r="DK75" s="711"/>
      <c r="DL75" s="711"/>
      <c r="DM75" s="711"/>
      <c r="DN75" s="711"/>
      <c r="DO75" s="711"/>
      <c r="DP75" s="711"/>
      <c r="DQ75" s="711"/>
      <c r="DR75" s="711"/>
      <c r="DS75" s="711"/>
      <c r="DT75" s="711"/>
      <c r="DU75" s="711"/>
      <c r="DV75" s="711"/>
      <c r="DW75" s="711"/>
      <c r="DX75" s="711"/>
      <c r="DY75" s="711"/>
      <c r="DZ75" s="711"/>
      <c r="EA75" s="711"/>
      <c r="EB75" s="711"/>
      <c r="EC75" s="711"/>
      <c r="ED75" s="711"/>
      <c r="EE75" s="711"/>
      <c r="EF75" s="711"/>
      <c r="EG75" s="711"/>
      <c r="EH75" s="711"/>
      <c r="EI75" s="711"/>
      <c r="EJ75" s="711"/>
      <c r="EK75" s="711"/>
      <c r="EL75" s="711"/>
      <c r="EM75" s="711"/>
      <c r="EN75" s="711"/>
      <c r="EO75" s="711"/>
      <c r="EP75" s="711"/>
      <c r="EQ75" s="711"/>
      <c r="ER75" s="711"/>
      <c r="ES75" s="711"/>
      <c r="ET75" s="711"/>
      <c r="EU75" s="711"/>
      <c r="EV75" s="711"/>
      <c r="EW75" s="711"/>
      <c r="EX75" s="711"/>
      <c r="EY75" s="711"/>
      <c r="EZ75" s="711"/>
      <c r="FA75" s="711"/>
      <c r="FB75" s="711"/>
      <c r="FC75" s="711"/>
      <c r="FD75" s="711"/>
      <c r="FE75" s="711"/>
      <c r="FF75" s="711"/>
      <c r="FG75" s="711"/>
      <c r="FH75" s="711"/>
      <c r="FI75" s="711"/>
      <c r="FJ75" s="711"/>
      <c r="FK75" s="711"/>
      <c r="FL75" s="711"/>
      <c r="FM75" s="711"/>
      <c r="FN75" s="711"/>
      <c r="FO75" s="711"/>
      <c r="FP75" s="711"/>
      <c r="FQ75" s="711"/>
      <c r="FR75" s="711"/>
      <c r="FS75" s="711"/>
      <c r="FT75" s="711"/>
      <c r="FU75" s="711"/>
      <c r="FV75" s="711"/>
      <c r="FW75" s="711"/>
      <c r="FX75" s="711"/>
      <c r="FY75" s="711"/>
      <c r="FZ75" s="711"/>
      <c r="GA75" s="711"/>
      <c r="GB75" s="711"/>
      <c r="GC75" s="711"/>
      <c r="GD75" s="711"/>
      <c r="GE75" s="711"/>
      <c r="GF75" s="711"/>
      <c r="GG75" s="711"/>
      <c r="GH75" s="711"/>
      <c r="GI75" s="711"/>
      <c r="GJ75" s="711"/>
      <c r="GK75" s="711"/>
      <c r="GL75" s="711"/>
      <c r="GM75" s="711"/>
      <c r="GN75" s="711"/>
      <c r="GO75" s="711"/>
      <c r="GP75" s="711"/>
      <c r="GQ75" s="711"/>
      <c r="GR75" s="711"/>
      <c r="GS75" s="711"/>
      <c r="GT75" s="711"/>
      <c r="GU75" s="711"/>
      <c r="GV75" s="711"/>
      <c r="GW75" s="711"/>
      <c r="GX75" s="711"/>
      <c r="GY75" s="711"/>
      <c r="GZ75" s="711"/>
      <c r="HA75" s="711"/>
      <c r="HB75" s="711"/>
      <c r="HC75" s="711"/>
      <c r="HD75" s="711"/>
      <c r="HE75" s="711"/>
      <c r="HF75" s="711"/>
      <c r="HG75" s="711"/>
      <c r="HH75" s="711"/>
      <c r="HI75" s="711"/>
      <c r="HJ75" s="711"/>
      <c r="HK75" s="711"/>
      <c r="HL75" s="711"/>
      <c r="HM75" s="711"/>
      <c r="HN75" s="711"/>
      <c r="HO75" s="711"/>
      <c r="HP75" s="711"/>
      <c r="HQ75" s="711"/>
      <c r="HR75" s="711"/>
      <c r="HS75" s="711"/>
      <c r="HT75" s="711"/>
      <c r="HU75" s="711"/>
      <c r="HV75" s="711"/>
      <c r="HW75" s="711"/>
      <c r="HX75" s="711"/>
      <c r="HY75" s="711"/>
      <c r="HZ75" s="711"/>
      <c r="IA75" s="711"/>
      <c r="IB75" s="711"/>
      <c r="IC75" s="711"/>
      <c r="ID75" s="711"/>
      <c r="IE75" s="711"/>
      <c r="IF75" s="711"/>
      <c r="IG75" s="711"/>
      <c r="IH75" s="711"/>
      <c r="II75" s="711"/>
      <c r="IJ75" s="711"/>
      <c r="IK75" s="711"/>
      <c r="IL75" s="711"/>
      <c r="IM75" s="711"/>
      <c r="IN75" s="711"/>
      <c r="IO75" s="711"/>
      <c r="IP75" s="711"/>
      <c r="IQ75" s="711"/>
      <c r="IR75" s="711"/>
      <c r="IS75" s="711"/>
      <c r="IT75" s="711"/>
      <c r="IU75" s="711"/>
      <c r="IV75" s="711"/>
    </row>
    <row r="76" spans="1:256" ht="12.75" hidden="1" customHeight="1">
      <c r="A76" s="708" t="s">
        <v>338</v>
      </c>
      <c r="B76" s="690">
        <f>24781.2+973.7</f>
        <v>25754.9</v>
      </c>
      <c r="C76" s="708">
        <v>20077.7</v>
      </c>
      <c r="D76" s="691"/>
      <c r="E76" s="708">
        <v>5677.2</v>
      </c>
      <c r="F76" s="690">
        <v>-5242.3</v>
      </c>
      <c r="G76" s="690">
        <v>-176.4</v>
      </c>
      <c r="H76" s="708">
        <f t="shared" si="6"/>
        <v>-5418.7</v>
      </c>
      <c r="I76" s="695"/>
      <c r="J76" s="690">
        <v>-258.5</v>
      </c>
      <c r="K76" s="708">
        <f t="shared" si="7"/>
        <v>-5677.2</v>
      </c>
      <c r="L76" s="693"/>
      <c r="M76" s="711"/>
      <c r="N76" s="711"/>
      <c r="O76" s="711"/>
      <c r="P76" s="711"/>
      <c r="Q76" s="711"/>
      <c r="R76" s="711"/>
      <c r="S76" s="711"/>
      <c r="T76" s="711"/>
      <c r="U76" s="711"/>
      <c r="V76" s="711"/>
      <c r="W76" s="711"/>
      <c r="X76" s="711"/>
      <c r="Y76" s="711"/>
      <c r="Z76" s="711"/>
      <c r="AA76" s="711"/>
      <c r="AB76" s="711"/>
      <c r="AC76" s="711"/>
      <c r="AD76" s="711"/>
      <c r="AE76" s="711"/>
      <c r="AF76" s="711"/>
      <c r="AG76" s="711"/>
      <c r="AH76" s="711"/>
      <c r="AI76" s="711"/>
      <c r="AJ76" s="711"/>
      <c r="AK76" s="711"/>
      <c r="AL76" s="711"/>
      <c r="AM76" s="711"/>
      <c r="AN76" s="711"/>
      <c r="AO76" s="711"/>
      <c r="AP76" s="711"/>
      <c r="AQ76" s="711"/>
      <c r="AR76" s="711"/>
      <c r="AS76" s="711"/>
      <c r="AT76" s="711"/>
      <c r="AU76" s="711"/>
      <c r="AV76" s="711"/>
      <c r="AW76" s="711"/>
      <c r="AX76" s="711"/>
      <c r="AY76" s="711"/>
      <c r="AZ76" s="711"/>
      <c r="BA76" s="711"/>
      <c r="BB76" s="711"/>
      <c r="BC76" s="711"/>
      <c r="BD76" s="711"/>
      <c r="BE76" s="711"/>
      <c r="BF76" s="711"/>
      <c r="BG76" s="711"/>
      <c r="BH76" s="711"/>
      <c r="BI76" s="711"/>
      <c r="BJ76" s="711"/>
      <c r="BK76" s="711"/>
      <c r="BL76" s="711"/>
      <c r="BM76" s="711"/>
      <c r="BN76" s="711"/>
      <c r="BO76" s="711"/>
      <c r="BP76" s="711"/>
      <c r="BQ76" s="711"/>
      <c r="BR76" s="711"/>
      <c r="BS76" s="711"/>
      <c r="BT76" s="711"/>
      <c r="BU76" s="711"/>
      <c r="BV76" s="711"/>
      <c r="BW76" s="711"/>
      <c r="BX76" s="711"/>
      <c r="BY76" s="711"/>
      <c r="BZ76" s="711"/>
      <c r="CA76" s="711"/>
      <c r="CB76" s="711"/>
      <c r="CC76" s="711"/>
      <c r="CD76" s="711"/>
      <c r="CE76" s="711"/>
      <c r="CF76" s="711"/>
      <c r="CG76" s="711"/>
      <c r="CH76" s="711"/>
      <c r="CI76" s="711"/>
      <c r="CJ76" s="711"/>
      <c r="CK76" s="711"/>
      <c r="CL76" s="711"/>
      <c r="CM76" s="711"/>
      <c r="CN76" s="711"/>
      <c r="CO76" s="711"/>
      <c r="CP76" s="711"/>
      <c r="CQ76" s="711"/>
      <c r="CR76" s="711"/>
      <c r="CS76" s="711"/>
      <c r="CT76" s="711"/>
      <c r="CU76" s="711"/>
      <c r="CV76" s="711"/>
      <c r="CW76" s="711"/>
      <c r="CX76" s="711"/>
      <c r="CY76" s="711"/>
      <c r="CZ76" s="711"/>
      <c r="DA76" s="711"/>
      <c r="DB76" s="711"/>
      <c r="DC76" s="711"/>
      <c r="DD76" s="711"/>
      <c r="DE76" s="711"/>
      <c r="DF76" s="711"/>
      <c r="DG76" s="711"/>
      <c r="DH76" s="711"/>
      <c r="DI76" s="711"/>
      <c r="DJ76" s="711"/>
      <c r="DK76" s="711"/>
      <c r="DL76" s="711"/>
      <c r="DM76" s="711"/>
      <c r="DN76" s="711"/>
      <c r="DO76" s="711"/>
      <c r="DP76" s="711"/>
      <c r="DQ76" s="711"/>
      <c r="DR76" s="711"/>
      <c r="DS76" s="711"/>
      <c r="DT76" s="711"/>
      <c r="DU76" s="711"/>
      <c r="DV76" s="711"/>
      <c r="DW76" s="711"/>
      <c r="DX76" s="711"/>
      <c r="DY76" s="711"/>
      <c r="DZ76" s="711"/>
      <c r="EA76" s="711"/>
      <c r="EB76" s="711"/>
      <c r="EC76" s="711"/>
      <c r="ED76" s="711"/>
      <c r="EE76" s="711"/>
      <c r="EF76" s="711"/>
      <c r="EG76" s="711"/>
      <c r="EH76" s="711"/>
      <c r="EI76" s="711"/>
      <c r="EJ76" s="711"/>
      <c r="EK76" s="711"/>
      <c r="EL76" s="711"/>
      <c r="EM76" s="711"/>
      <c r="EN76" s="711"/>
      <c r="EO76" s="711"/>
      <c r="EP76" s="711"/>
      <c r="EQ76" s="711"/>
      <c r="ER76" s="711"/>
      <c r="ES76" s="711"/>
      <c r="ET76" s="711"/>
      <c r="EU76" s="711"/>
      <c r="EV76" s="711"/>
      <c r="EW76" s="711"/>
      <c r="EX76" s="711"/>
      <c r="EY76" s="711"/>
      <c r="EZ76" s="711"/>
      <c r="FA76" s="711"/>
      <c r="FB76" s="711"/>
      <c r="FC76" s="711"/>
      <c r="FD76" s="711"/>
      <c r="FE76" s="711"/>
      <c r="FF76" s="711"/>
      <c r="FG76" s="711"/>
      <c r="FH76" s="711"/>
      <c r="FI76" s="711"/>
      <c r="FJ76" s="711"/>
      <c r="FK76" s="711"/>
      <c r="FL76" s="711"/>
      <c r="FM76" s="711"/>
      <c r="FN76" s="711"/>
      <c r="FO76" s="711"/>
      <c r="FP76" s="711"/>
      <c r="FQ76" s="711"/>
      <c r="FR76" s="711"/>
      <c r="FS76" s="711"/>
      <c r="FT76" s="711"/>
      <c r="FU76" s="711"/>
      <c r="FV76" s="711"/>
      <c r="FW76" s="711"/>
      <c r="FX76" s="711"/>
      <c r="FY76" s="711"/>
      <c r="FZ76" s="711"/>
      <c r="GA76" s="711"/>
      <c r="GB76" s="711"/>
      <c r="GC76" s="711"/>
      <c r="GD76" s="711"/>
      <c r="GE76" s="711"/>
      <c r="GF76" s="711"/>
      <c r="GG76" s="711"/>
      <c r="GH76" s="711"/>
      <c r="GI76" s="711"/>
      <c r="GJ76" s="711"/>
      <c r="GK76" s="711"/>
      <c r="GL76" s="711"/>
      <c r="GM76" s="711"/>
      <c r="GN76" s="711"/>
      <c r="GO76" s="711"/>
      <c r="GP76" s="711"/>
      <c r="GQ76" s="711"/>
      <c r="GR76" s="711"/>
      <c r="GS76" s="711"/>
      <c r="GT76" s="711"/>
      <c r="GU76" s="711"/>
      <c r="GV76" s="711"/>
      <c r="GW76" s="711"/>
      <c r="GX76" s="711"/>
      <c r="GY76" s="711"/>
      <c r="GZ76" s="711"/>
      <c r="HA76" s="711"/>
      <c r="HB76" s="711"/>
      <c r="HC76" s="711"/>
      <c r="HD76" s="711"/>
      <c r="HE76" s="711"/>
      <c r="HF76" s="711"/>
      <c r="HG76" s="711"/>
      <c r="HH76" s="711"/>
      <c r="HI76" s="711"/>
      <c r="HJ76" s="711"/>
      <c r="HK76" s="711"/>
      <c r="HL76" s="711"/>
      <c r="HM76" s="711"/>
      <c r="HN76" s="711"/>
      <c r="HO76" s="711"/>
      <c r="HP76" s="711"/>
      <c r="HQ76" s="711"/>
      <c r="HR76" s="711"/>
      <c r="HS76" s="711"/>
      <c r="HT76" s="711"/>
      <c r="HU76" s="711"/>
      <c r="HV76" s="711"/>
      <c r="HW76" s="711"/>
      <c r="HX76" s="711"/>
      <c r="HY76" s="711"/>
      <c r="HZ76" s="711"/>
      <c r="IA76" s="711"/>
      <c r="IB76" s="711"/>
      <c r="IC76" s="711"/>
      <c r="ID76" s="711"/>
      <c r="IE76" s="711"/>
      <c r="IF76" s="711"/>
      <c r="IG76" s="711"/>
      <c r="IH76" s="711"/>
      <c r="II76" s="711"/>
      <c r="IJ76" s="711"/>
      <c r="IK76" s="711"/>
      <c r="IL76" s="711"/>
      <c r="IM76" s="711"/>
      <c r="IN76" s="711"/>
      <c r="IO76" s="711"/>
      <c r="IP76" s="711"/>
      <c r="IQ76" s="711"/>
      <c r="IR76" s="711"/>
      <c r="IS76" s="711"/>
      <c r="IT76" s="711"/>
      <c r="IU76" s="711"/>
      <c r="IV76" s="711"/>
    </row>
    <row r="77" spans="1:256" ht="12.75" hidden="1" customHeight="1">
      <c r="A77" s="708" t="s">
        <v>339</v>
      </c>
      <c r="B77" s="690">
        <f>19491.3+27.8</f>
        <v>19519.099999999999</v>
      </c>
      <c r="C77" s="708">
        <v>34209.699999999997</v>
      </c>
      <c r="D77" s="691"/>
      <c r="E77" s="708">
        <f t="shared" ref="E77:E82" si="8">B77-C77</f>
        <v>-14690.599999999999</v>
      </c>
      <c r="F77" s="690">
        <v>14402.3</v>
      </c>
      <c r="G77" s="690">
        <v>579.5</v>
      </c>
      <c r="H77" s="708">
        <f t="shared" si="6"/>
        <v>14981.8</v>
      </c>
      <c r="I77" s="695"/>
      <c r="J77" s="690">
        <v>-291.2</v>
      </c>
      <c r="K77" s="708">
        <f t="shared" si="7"/>
        <v>14690.599999999999</v>
      </c>
      <c r="L77" s="693"/>
      <c r="M77" s="711"/>
      <c r="N77" s="711"/>
      <c r="O77" s="711"/>
      <c r="P77" s="711"/>
      <c r="Q77" s="711"/>
      <c r="R77" s="711"/>
      <c r="S77" s="711"/>
      <c r="T77" s="711"/>
      <c r="U77" s="711"/>
      <c r="V77" s="711"/>
      <c r="W77" s="711"/>
      <c r="X77" s="711"/>
      <c r="Y77" s="711"/>
      <c r="Z77" s="711"/>
      <c r="AA77" s="711"/>
      <c r="AB77" s="711"/>
      <c r="AC77" s="711"/>
      <c r="AD77" s="711"/>
      <c r="AE77" s="711"/>
      <c r="AF77" s="711"/>
      <c r="AG77" s="711"/>
      <c r="AH77" s="711"/>
      <c r="AI77" s="711"/>
      <c r="AJ77" s="711"/>
      <c r="AK77" s="711"/>
      <c r="AL77" s="711"/>
      <c r="AM77" s="711"/>
      <c r="AN77" s="711"/>
      <c r="AO77" s="711"/>
      <c r="AP77" s="711"/>
      <c r="AQ77" s="711"/>
      <c r="AR77" s="711"/>
      <c r="AS77" s="711"/>
      <c r="AT77" s="711"/>
      <c r="AU77" s="711"/>
      <c r="AV77" s="711"/>
      <c r="AW77" s="711"/>
      <c r="AX77" s="711"/>
      <c r="AY77" s="711"/>
      <c r="AZ77" s="711"/>
      <c r="BA77" s="711"/>
      <c r="BB77" s="711"/>
      <c r="BC77" s="711"/>
      <c r="BD77" s="711"/>
      <c r="BE77" s="711"/>
      <c r="BF77" s="711"/>
      <c r="BG77" s="711"/>
      <c r="BH77" s="711"/>
      <c r="BI77" s="711"/>
      <c r="BJ77" s="711"/>
      <c r="BK77" s="711"/>
      <c r="BL77" s="711"/>
      <c r="BM77" s="711"/>
      <c r="BN77" s="711"/>
      <c r="BO77" s="711"/>
      <c r="BP77" s="711"/>
      <c r="BQ77" s="711"/>
      <c r="BR77" s="711"/>
      <c r="BS77" s="711"/>
      <c r="BT77" s="711"/>
      <c r="BU77" s="711"/>
      <c r="BV77" s="711"/>
      <c r="BW77" s="711"/>
      <c r="BX77" s="711"/>
      <c r="BY77" s="711"/>
      <c r="BZ77" s="711"/>
      <c r="CA77" s="711"/>
      <c r="CB77" s="711"/>
      <c r="CC77" s="711"/>
      <c r="CD77" s="711"/>
      <c r="CE77" s="711"/>
      <c r="CF77" s="711"/>
      <c r="CG77" s="711"/>
      <c r="CH77" s="711"/>
      <c r="CI77" s="711"/>
      <c r="CJ77" s="711"/>
      <c r="CK77" s="711"/>
      <c r="CL77" s="711"/>
      <c r="CM77" s="711"/>
      <c r="CN77" s="711"/>
      <c r="CO77" s="711"/>
      <c r="CP77" s="711"/>
      <c r="CQ77" s="711"/>
      <c r="CR77" s="711"/>
      <c r="CS77" s="711"/>
      <c r="CT77" s="711"/>
      <c r="CU77" s="711"/>
      <c r="CV77" s="711"/>
      <c r="CW77" s="711"/>
      <c r="CX77" s="711"/>
      <c r="CY77" s="711"/>
      <c r="CZ77" s="711"/>
      <c r="DA77" s="711"/>
      <c r="DB77" s="711"/>
      <c r="DC77" s="711"/>
      <c r="DD77" s="711"/>
      <c r="DE77" s="711"/>
      <c r="DF77" s="711"/>
      <c r="DG77" s="711"/>
      <c r="DH77" s="711"/>
      <c r="DI77" s="711"/>
      <c r="DJ77" s="711"/>
      <c r="DK77" s="711"/>
      <c r="DL77" s="711"/>
      <c r="DM77" s="711"/>
      <c r="DN77" s="711"/>
      <c r="DO77" s="711"/>
      <c r="DP77" s="711"/>
      <c r="DQ77" s="711"/>
      <c r="DR77" s="711"/>
      <c r="DS77" s="711"/>
      <c r="DT77" s="711"/>
      <c r="DU77" s="711"/>
      <c r="DV77" s="711"/>
      <c r="DW77" s="711"/>
      <c r="DX77" s="711"/>
      <c r="DY77" s="711"/>
      <c r="DZ77" s="711"/>
      <c r="EA77" s="711"/>
      <c r="EB77" s="711"/>
      <c r="EC77" s="711"/>
      <c r="ED77" s="711"/>
      <c r="EE77" s="711"/>
      <c r="EF77" s="711"/>
      <c r="EG77" s="711"/>
      <c r="EH77" s="711"/>
      <c r="EI77" s="711"/>
      <c r="EJ77" s="711"/>
      <c r="EK77" s="711"/>
      <c r="EL77" s="711"/>
      <c r="EM77" s="711"/>
      <c r="EN77" s="711"/>
      <c r="EO77" s="711"/>
      <c r="EP77" s="711"/>
      <c r="EQ77" s="711"/>
      <c r="ER77" s="711"/>
      <c r="ES77" s="711"/>
      <c r="ET77" s="711"/>
      <c r="EU77" s="711"/>
      <c r="EV77" s="711"/>
      <c r="EW77" s="711"/>
      <c r="EX77" s="711"/>
      <c r="EY77" s="711"/>
      <c r="EZ77" s="711"/>
      <c r="FA77" s="711"/>
      <c r="FB77" s="711"/>
      <c r="FC77" s="711"/>
      <c r="FD77" s="711"/>
      <c r="FE77" s="711"/>
      <c r="FF77" s="711"/>
      <c r="FG77" s="711"/>
      <c r="FH77" s="711"/>
      <c r="FI77" s="711"/>
      <c r="FJ77" s="711"/>
      <c r="FK77" s="711"/>
      <c r="FL77" s="711"/>
      <c r="FM77" s="711"/>
      <c r="FN77" s="711"/>
      <c r="FO77" s="711"/>
      <c r="FP77" s="711"/>
      <c r="FQ77" s="711"/>
      <c r="FR77" s="711"/>
      <c r="FS77" s="711"/>
      <c r="FT77" s="711"/>
      <c r="FU77" s="711"/>
      <c r="FV77" s="711"/>
      <c r="FW77" s="711"/>
      <c r="FX77" s="711"/>
      <c r="FY77" s="711"/>
      <c r="FZ77" s="711"/>
      <c r="GA77" s="711"/>
      <c r="GB77" s="711"/>
      <c r="GC77" s="711"/>
      <c r="GD77" s="711"/>
      <c r="GE77" s="711"/>
      <c r="GF77" s="711"/>
      <c r="GG77" s="711"/>
      <c r="GH77" s="711"/>
      <c r="GI77" s="711"/>
      <c r="GJ77" s="711"/>
      <c r="GK77" s="711"/>
      <c r="GL77" s="711"/>
      <c r="GM77" s="711"/>
      <c r="GN77" s="711"/>
      <c r="GO77" s="711"/>
      <c r="GP77" s="711"/>
      <c r="GQ77" s="711"/>
      <c r="GR77" s="711"/>
      <c r="GS77" s="711"/>
      <c r="GT77" s="711"/>
      <c r="GU77" s="711"/>
      <c r="GV77" s="711"/>
      <c r="GW77" s="711"/>
      <c r="GX77" s="711"/>
      <c r="GY77" s="711"/>
      <c r="GZ77" s="711"/>
      <c r="HA77" s="711"/>
      <c r="HB77" s="711"/>
      <c r="HC77" s="711"/>
      <c r="HD77" s="711"/>
      <c r="HE77" s="711"/>
      <c r="HF77" s="711"/>
      <c r="HG77" s="711"/>
      <c r="HH77" s="711"/>
      <c r="HI77" s="711"/>
      <c r="HJ77" s="711"/>
      <c r="HK77" s="711"/>
      <c r="HL77" s="711"/>
      <c r="HM77" s="711"/>
      <c r="HN77" s="711"/>
      <c r="HO77" s="711"/>
      <c r="HP77" s="711"/>
      <c r="HQ77" s="711"/>
      <c r="HR77" s="711"/>
      <c r="HS77" s="711"/>
      <c r="HT77" s="711"/>
      <c r="HU77" s="711"/>
      <c r="HV77" s="711"/>
      <c r="HW77" s="711"/>
      <c r="HX77" s="711"/>
      <c r="HY77" s="711"/>
      <c r="HZ77" s="711"/>
      <c r="IA77" s="711"/>
      <c r="IB77" s="711"/>
      <c r="IC77" s="711"/>
      <c r="ID77" s="711"/>
      <c r="IE77" s="711"/>
      <c r="IF77" s="711"/>
      <c r="IG77" s="711"/>
      <c r="IH77" s="711"/>
      <c r="II77" s="711"/>
      <c r="IJ77" s="711"/>
      <c r="IK77" s="711"/>
      <c r="IL77" s="711"/>
      <c r="IM77" s="711"/>
      <c r="IN77" s="711"/>
      <c r="IO77" s="711"/>
      <c r="IP77" s="711"/>
      <c r="IQ77" s="711"/>
      <c r="IR77" s="711"/>
      <c r="IS77" s="711"/>
      <c r="IT77" s="711"/>
      <c r="IU77" s="711"/>
      <c r="IV77" s="711"/>
    </row>
    <row r="78" spans="1:256" ht="12.75" hidden="1" customHeight="1">
      <c r="A78" s="708" t="s">
        <v>340</v>
      </c>
      <c r="B78" s="690">
        <f>28706.3+189</f>
        <v>28895.3</v>
      </c>
      <c r="C78" s="708">
        <v>23831.599999999999</v>
      </c>
      <c r="D78" s="691"/>
      <c r="E78" s="708">
        <f t="shared" si="8"/>
        <v>5063.7000000000007</v>
      </c>
      <c r="F78" s="690">
        <v>-4308.8999999999996</v>
      </c>
      <c r="G78" s="690">
        <v>-342</v>
      </c>
      <c r="H78" s="708">
        <f t="shared" si="6"/>
        <v>-4650.8999999999996</v>
      </c>
      <c r="I78" s="695"/>
      <c r="J78" s="690">
        <v>-412.8</v>
      </c>
      <c r="K78" s="708">
        <f t="shared" si="7"/>
        <v>-5063.7</v>
      </c>
      <c r="L78" s="693"/>
      <c r="M78" s="711"/>
      <c r="N78" s="711"/>
      <c r="O78" s="711"/>
      <c r="P78" s="711"/>
      <c r="Q78" s="711"/>
      <c r="R78" s="711"/>
      <c r="S78" s="711"/>
      <c r="T78" s="711"/>
      <c r="U78" s="711"/>
      <c r="V78" s="711"/>
      <c r="W78" s="711"/>
      <c r="X78" s="711"/>
      <c r="Y78" s="711"/>
      <c r="Z78" s="711"/>
      <c r="AA78" s="711"/>
      <c r="AB78" s="711"/>
      <c r="AC78" s="711"/>
      <c r="AD78" s="711"/>
      <c r="AE78" s="711"/>
      <c r="AF78" s="711"/>
      <c r="AG78" s="711"/>
      <c r="AH78" s="711"/>
      <c r="AI78" s="711"/>
      <c r="AJ78" s="711"/>
      <c r="AK78" s="711"/>
      <c r="AL78" s="711"/>
      <c r="AM78" s="711"/>
      <c r="AN78" s="711"/>
      <c r="AO78" s="711"/>
      <c r="AP78" s="711"/>
      <c r="AQ78" s="711"/>
      <c r="AR78" s="711"/>
      <c r="AS78" s="711"/>
      <c r="AT78" s="711"/>
      <c r="AU78" s="711"/>
      <c r="AV78" s="711"/>
      <c r="AW78" s="711"/>
      <c r="AX78" s="711"/>
      <c r="AY78" s="711"/>
      <c r="AZ78" s="711"/>
      <c r="BA78" s="711"/>
      <c r="BB78" s="711"/>
      <c r="BC78" s="711"/>
      <c r="BD78" s="711"/>
      <c r="BE78" s="711"/>
      <c r="BF78" s="711"/>
      <c r="BG78" s="711"/>
      <c r="BH78" s="711"/>
      <c r="BI78" s="711"/>
      <c r="BJ78" s="711"/>
      <c r="BK78" s="711"/>
      <c r="BL78" s="711"/>
      <c r="BM78" s="711"/>
      <c r="BN78" s="711"/>
      <c r="BO78" s="711"/>
      <c r="BP78" s="711"/>
      <c r="BQ78" s="711"/>
      <c r="BR78" s="711"/>
      <c r="BS78" s="711"/>
      <c r="BT78" s="711"/>
      <c r="BU78" s="711"/>
      <c r="BV78" s="711"/>
      <c r="BW78" s="711"/>
      <c r="BX78" s="711"/>
      <c r="BY78" s="711"/>
      <c r="BZ78" s="711"/>
      <c r="CA78" s="711"/>
      <c r="CB78" s="711"/>
      <c r="CC78" s="711"/>
      <c r="CD78" s="711"/>
      <c r="CE78" s="711"/>
      <c r="CF78" s="711"/>
      <c r="CG78" s="711"/>
      <c r="CH78" s="711"/>
      <c r="CI78" s="711"/>
      <c r="CJ78" s="711"/>
      <c r="CK78" s="711"/>
      <c r="CL78" s="711"/>
      <c r="CM78" s="711"/>
      <c r="CN78" s="711"/>
      <c r="CO78" s="711"/>
      <c r="CP78" s="711"/>
      <c r="CQ78" s="711"/>
      <c r="CR78" s="711"/>
      <c r="CS78" s="711"/>
      <c r="CT78" s="711"/>
      <c r="CU78" s="711"/>
      <c r="CV78" s="711"/>
      <c r="CW78" s="711"/>
      <c r="CX78" s="711"/>
      <c r="CY78" s="711"/>
      <c r="CZ78" s="711"/>
      <c r="DA78" s="711"/>
      <c r="DB78" s="711"/>
      <c r="DC78" s="711"/>
      <c r="DD78" s="711"/>
      <c r="DE78" s="711"/>
      <c r="DF78" s="711"/>
      <c r="DG78" s="711"/>
      <c r="DH78" s="711"/>
      <c r="DI78" s="711"/>
      <c r="DJ78" s="711"/>
      <c r="DK78" s="711"/>
      <c r="DL78" s="711"/>
      <c r="DM78" s="711"/>
      <c r="DN78" s="711"/>
      <c r="DO78" s="711"/>
      <c r="DP78" s="711"/>
      <c r="DQ78" s="711"/>
      <c r="DR78" s="711"/>
      <c r="DS78" s="711"/>
      <c r="DT78" s="711"/>
      <c r="DU78" s="711"/>
      <c r="DV78" s="711"/>
      <c r="DW78" s="711"/>
      <c r="DX78" s="711"/>
      <c r="DY78" s="711"/>
      <c r="DZ78" s="711"/>
      <c r="EA78" s="711"/>
      <c r="EB78" s="711"/>
      <c r="EC78" s="711"/>
      <c r="ED78" s="711"/>
      <c r="EE78" s="711"/>
      <c r="EF78" s="711"/>
      <c r="EG78" s="711"/>
      <c r="EH78" s="711"/>
      <c r="EI78" s="711"/>
      <c r="EJ78" s="711"/>
      <c r="EK78" s="711"/>
      <c r="EL78" s="711"/>
      <c r="EM78" s="711"/>
      <c r="EN78" s="711"/>
      <c r="EO78" s="711"/>
      <c r="EP78" s="711"/>
      <c r="EQ78" s="711"/>
      <c r="ER78" s="711"/>
      <c r="ES78" s="711"/>
      <c r="ET78" s="711"/>
      <c r="EU78" s="711"/>
      <c r="EV78" s="711"/>
      <c r="EW78" s="711"/>
      <c r="EX78" s="711"/>
      <c r="EY78" s="711"/>
      <c r="EZ78" s="711"/>
      <c r="FA78" s="711"/>
      <c r="FB78" s="711"/>
      <c r="FC78" s="711"/>
      <c r="FD78" s="711"/>
      <c r="FE78" s="711"/>
      <c r="FF78" s="711"/>
      <c r="FG78" s="711"/>
      <c r="FH78" s="711"/>
      <c r="FI78" s="711"/>
      <c r="FJ78" s="711"/>
      <c r="FK78" s="711"/>
      <c r="FL78" s="711"/>
      <c r="FM78" s="711"/>
      <c r="FN78" s="711"/>
      <c r="FO78" s="711"/>
      <c r="FP78" s="711"/>
      <c r="FQ78" s="711"/>
      <c r="FR78" s="711"/>
      <c r="FS78" s="711"/>
      <c r="FT78" s="711"/>
      <c r="FU78" s="711"/>
      <c r="FV78" s="711"/>
      <c r="FW78" s="711"/>
      <c r="FX78" s="711"/>
      <c r="FY78" s="711"/>
      <c r="FZ78" s="711"/>
      <c r="GA78" s="711"/>
      <c r="GB78" s="711"/>
      <c r="GC78" s="711"/>
      <c r="GD78" s="711"/>
      <c r="GE78" s="711"/>
      <c r="GF78" s="711"/>
      <c r="GG78" s="711"/>
      <c r="GH78" s="711"/>
      <c r="GI78" s="711"/>
      <c r="GJ78" s="711"/>
      <c r="GK78" s="711"/>
      <c r="GL78" s="711"/>
      <c r="GM78" s="711"/>
      <c r="GN78" s="711"/>
      <c r="GO78" s="711"/>
      <c r="GP78" s="711"/>
      <c r="GQ78" s="711"/>
      <c r="GR78" s="711"/>
      <c r="GS78" s="711"/>
      <c r="GT78" s="711"/>
      <c r="GU78" s="711"/>
      <c r="GV78" s="711"/>
      <c r="GW78" s="711"/>
      <c r="GX78" s="711"/>
      <c r="GY78" s="711"/>
      <c r="GZ78" s="711"/>
      <c r="HA78" s="711"/>
      <c r="HB78" s="711"/>
      <c r="HC78" s="711"/>
      <c r="HD78" s="711"/>
      <c r="HE78" s="711"/>
      <c r="HF78" s="711"/>
      <c r="HG78" s="711"/>
      <c r="HH78" s="711"/>
      <c r="HI78" s="711"/>
      <c r="HJ78" s="711"/>
      <c r="HK78" s="711"/>
      <c r="HL78" s="711"/>
      <c r="HM78" s="711"/>
      <c r="HN78" s="711"/>
      <c r="HO78" s="711"/>
      <c r="HP78" s="711"/>
      <c r="HQ78" s="711"/>
      <c r="HR78" s="711"/>
      <c r="HS78" s="711"/>
      <c r="HT78" s="711"/>
      <c r="HU78" s="711"/>
      <c r="HV78" s="711"/>
      <c r="HW78" s="711"/>
      <c r="HX78" s="711"/>
      <c r="HY78" s="711"/>
      <c r="HZ78" s="711"/>
      <c r="IA78" s="711"/>
      <c r="IB78" s="711"/>
      <c r="IC78" s="711"/>
      <c r="ID78" s="711"/>
      <c r="IE78" s="711"/>
      <c r="IF78" s="711"/>
      <c r="IG78" s="711"/>
      <c r="IH78" s="711"/>
      <c r="II78" s="711"/>
      <c r="IJ78" s="711"/>
      <c r="IK78" s="711"/>
      <c r="IL78" s="711"/>
      <c r="IM78" s="711"/>
      <c r="IN78" s="711"/>
      <c r="IO78" s="711"/>
      <c r="IP78" s="711"/>
      <c r="IQ78" s="711"/>
      <c r="IR78" s="711"/>
      <c r="IS78" s="711"/>
      <c r="IT78" s="711"/>
      <c r="IU78" s="711"/>
      <c r="IV78" s="711"/>
    </row>
    <row r="79" spans="1:256" ht="12.75" hidden="1" customHeight="1">
      <c r="A79" s="708" t="s">
        <v>341</v>
      </c>
      <c r="B79" s="690">
        <v>22203.5</v>
      </c>
      <c r="C79" s="708">
        <v>36375.300000000003</v>
      </c>
      <c r="D79" s="691"/>
      <c r="E79" s="708">
        <f t="shared" si="8"/>
        <v>-14171.800000000003</v>
      </c>
      <c r="F79" s="690">
        <v>14287.2</v>
      </c>
      <c r="G79" s="690">
        <v>135.4</v>
      </c>
      <c r="H79" s="708">
        <f t="shared" si="6"/>
        <v>14422.6</v>
      </c>
      <c r="I79" s="695"/>
      <c r="J79" s="690">
        <v>-250.8</v>
      </c>
      <c r="K79" s="708">
        <f t="shared" si="7"/>
        <v>14171.800000000001</v>
      </c>
      <c r="L79" s="693"/>
      <c r="M79" s="711"/>
      <c r="N79" s="711"/>
      <c r="O79" s="711"/>
      <c r="P79" s="711"/>
      <c r="Q79" s="711"/>
      <c r="R79" s="711"/>
      <c r="S79" s="711"/>
      <c r="T79" s="711"/>
      <c r="U79" s="711"/>
      <c r="V79" s="711"/>
      <c r="W79" s="711"/>
      <c r="X79" s="711"/>
      <c r="Y79" s="711"/>
      <c r="Z79" s="711"/>
      <c r="AA79" s="711"/>
      <c r="AB79" s="711"/>
      <c r="AC79" s="711"/>
      <c r="AD79" s="711"/>
      <c r="AE79" s="711"/>
      <c r="AF79" s="711"/>
      <c r="AG79" s="711"/>
      <c r="AH79" s="711"/>
      <c r="AI79" s="711"/>
      <c r="AJ79" s="711"/>
      <c r="AK79" s="711"/>
      <c r="AL79" s="711"/>
      <c r="AM79" s="711"/>
      <c r="AN79" s="711"/>
      <c r="AO79" s="711"/>
      <c r="AP79" s="711"/>
      <c r="AQ79" s="711"/>
      <c r="AR79" s="711"/>
      <c r="AS79" s="711"/>
      <c r="AT79" s="711"/>
      <c r="AU79" s="711"/>
      <c r="AV79" s="711"/>
      <c r="AW79" s="711"/>
      <c r="AX79" s="711"/>
      <c r="AY79" s="711"/>
      <c r="AZ79" s="711"/>
      <c r="BA79" s="711"/>
      <c r="BB79" s="711"/>
      <c r="BC79" s="711"/>
      <c r="BD79" s="711"/>
      <c r="BE79" s="711"/>
      <c r="BF79" s="711"/>
      <c r="BG79" s="711"/>
      <c r="BH79" s="711"/>
      <c r="BI79" s="711"/>
      <c r="BJ79" s="711"/>
      <c r="BK79" s="711"/>
      <c r="BL79" s="711"/>
      <c r="BM79" s="711"/>
      <c r="BN79" s="711"/>
      <c r="BO79" s="711"/>
      <c r="BP79" s="711"/>
      <c r="BQ79" s="711"/>
      <c r="BR79" s="711"/>
      <c r="BS79" s="711"/>
      <c r="BT79" s="711"/>
      <c r="BU79" s="711"/>
      <c r="BV79" s="711"/>
      <c r="BW79" s="711"/>
      <c r="BX79" s="711"/>
      <c r="BY79" s="711"/>
      <c r="BZ79" s="711"/>
      <c r="CA79" s="711"/>
      <c r="CB79" s="711"/>
      <c r="CC79" s="711"/>
      <c r="CD79" s="711"/>
      <c r="CE79" s="711"/>
      <c r="CF79" s="711"/>
      <c r="CG79" s="711"/>
      <c r="CH79" s="711"/>
      <c r="CI79" s="711"/>
      <c r="CJ79" s="711"/>
      <c r="CK79" s="711"/>
      <c r="CL79" s="711"/>
      <c r="CM79" s="711"/>
      <c r="CN79" s="711"/>
      <c r="CO79" s="711"/>
      <c r="CP79" s="711"/>
      <c r="CQ79" s="711"/>
      <c r="CR79" s="711"/>
      <c r="CS79" s="711"/>
      <c r="CT79" s="711"/>
      <c r="CU79" s="711"/>
      <c r="CV79" s="711"/>
      <c r="CW79" s="711"/>
      <c r="CX79" s="711"/>
      <c r="CY79" s="711"/>
      <c r="CZ79" s="711"/>
      <c r="DA79" s="711"/>
      <c r="DB79" s="711"/>
      <c r="DC79" s="711"/>
      <c r="DD79" s="711"/>
      <c r="DE79" s="711"/>
      <c r="DF79" s="711"/>
      <c r="DG79" s="711"/>
      <c r="DH79" s="711"/>
      <c r="DI79" s="711"/>
      <c r="DJ79" s="711"/>
      <c r="DK79" s="711"/>
      <c r="DL79" s="711"/>
      <c r="DM79" s="711"/>
      <c r="DN79" s="711"/>
      <c r="DO79" s="711"/>
      <c r="DP79" s="711"/>
      <c r="DQ79" s="711"/>
      <c r="DR79" s="711"/>
      <c r="DS79" s="711"/>
      <c r="DT79" s="711"/>
      <c r="DU79" s="711"/>
      <c r="DV79" s="711"/>
      <c r="DW79" s="711"/>
      <c r="DX79" s="711"/>
      <c r="DY79" s="711"/>
      <c r="DZ79" s="711"/>
      <c r="EA79" s="711"/>
      <c r="EB79" s="711"/>
      <c r="EC79" s="711"/>
      <c r="ED79" s="711"/>
      <c r="EE79" s="711"/>
      <c r="EF79" s="711"/>
      <c r="EG79" s="711"/>
      <c r="EH79" s="711"/>
      <c r="EI79" s="711"/>
      <c r="EJ79" s="711"/>
      <c r="EK79" s="711"/>
      <c r="EL79" s="711"/>
      <c r="EM79" s="711"/>
      <c r="EN79" s="711"/>
      <c r="EO79" s="711"/>
      <c r="EP79" s="711"/>
      <c r="EQ79" s="711"/>
      <c r="ER79" s="711"/>
      <c r="ES79" s="711"/>
      <c r="ET79" s="711"/>
      <c r="EU79" s="711"/>
      <c r="EV79" s="711"/>
      <c r="EW79" s="711"/>
      <c r="EX79" s="711"/>
      <c r="EY79" s="711"/>
      <c r="EZ79" s="711"/>
      <c r="FA79" s="711"/>
      <c r="FB79" s="711"/>
      <c r="FC79" s="711"/>
      <c r="FD79" s="711"/>
      <c r="FE79" s="711"/>
      <c r="FF79" s="711"/>
      <c r="FG79" s="711"/>
      <c r="FH79" s="711"/>
      <c r="FI79" s="711"/>
      <c r="FJ79" s="711"/>
      <c r="FK79" s="711"/>
      <c r="FL79" s="711"/>
      <c r="FM79" s="711"/>
      <c r="FN79" s="711"/>
      <c r="FO79" s="711"/>
      <c r="FP79" s="711"/>
      <c r="FQ79" s="711"/>
      <c r="FR79" s="711"/>
      <c r="FS79" s="711"/>
      <c r="FT79" s="711"/>
      <c r="FU79" s="711"/>
      <c r="FV79" s="711"/>
      <c r="FW79" s="711"/>
      <c r="FX79" s="711"/>
      <c r="FY79" s="711"/>
      <c r="FZ79" s="711"/>
      <c r="GA79" s="711"/>
      <c r="GB79" s="711"/>
      <c r="GC79" s="711"/>
      <c r="GD79" s="711"/>
      <c r="GE79" s="711"/>
      <c r="GF79" s="711"/>
      <c r="GG79" s="711"/>
      <c r="GH79" s="711"/>
      <c r="GI79" s="711"/>
      <c r="GJ79" s="711"/>
      <c r="GK79" s="711"/>
      <c r="GL79" s="711"/>
      <c r="GM79" s="711"/>
      <c r="GN79" s="711"/>
      <c r="GO79" s="711"/>
      <c r="GP79" s="711"/>
      <c r="GQ79" s="711"/>
      <c r="GR79" s="711"/>
      <c r="GS79" s="711"/>
      <c r="GT79" s="711"/>
      <c r="GU79" s="711"/>
      <c r="GV79" s="711"/>
      <c r="GW79" s="711"/>
      <c r="GX79" s="711"/>
      <c r="GY79" s="711"/>
      <c r="GZ79" s="711"/>
      <c r="HA79" s="711"/>
      <c r="HB79" s="711"/>
      <c r="HC79" s="711"/>
      <c r="HD79" s="711"/>
      <c r="HE79" s="711"/>
      <c r="HF79" s="711"/>
      <c r="HG79" s="711"/>
      <c r="HH79" s="711"/>
      <c r="HI79" s="711"/>
      <c r="HJ79" s="711"/>
      <c r="HK79" s="711"/>
      <c r="HL79" s="711"/>
      <c r="HM79" s="711"/>
      <c r="HN79" s="711"/>
      <c r="HO79" s="711"/>
      <c r="HP79" s="711"/>
      <c r="HQ79" s="711"/>
      <c r="HR79" s="711"/>
      <c r="HS79" s="711"/>
      <c r="HT79" s="711"/>
      <c r="HU79" s="711"/>
      <c r="HV79" s="711"/>
      <c r="HW79" s="711"/>
      <c r="HX79" s="711"/>
      <c r="HY79" s="711"/>
      <c r="HZ79" s="711"/>
      <c r="IA79" s="711"/>
      <c r="IB79" s="711"/>
      <c r="IC79" s="711"/>
      <c r="ID79" s="711"/>
      <c r="IE79" s="711"/>
      <c r="IF79" s="711"/>
      <c r="IG79" s="711"/>
      <c r="IH79" s="711"/>
      <c r="II79" s="711"/>
      <c r="IJ79" s="711"/>
      <c r="IK79" s="711"/>
      <c r="IL79" s="711"/>
      <c r="IM79" s="711"/>
      <c r="IN79" s="711"/>
      <c r="IO79" s="711"/>
      <c r="IP79" s="711"/>
      <c r="IQ79" s="711"/>
      <c r="IR79" s="711"/>
      <c r="IS79" s="711"/>
      <c r="IT79" s="711"/>
      <c r="IU79" s="711"/>
      <c r="IV79" s="711"/>
    </row>
    <row r="80" spans="1:256" ht="12.75" hidden="1" customHeight="1">
      <c r="A80" s="708" t="s">
        <v>342</v>
      </c>
      <c r="B80" s="690">
        <f>30718.1+45.5</f>
        <v>30763.599999999999</v>
      </c>
      <c r="C80" s="708">
        <v>38073</v>
      </c>
      <c r="D80" s="691"/>
      <c r="E80" s="708">
        <f t="shared" si="8"/>
        <v>-7309.4000000000015</v>
      </c>
      <c r="F80" s="708">
        <v>7256</v>
      </c>
      <c r="G80" s="690">
        <v>93.9</v>
      </c>
      <c r="H80" s="708">
        <f t="shared" si="6"/>
        <v>7349.9</v>
      </c>
      <c r="I80" s="695"/>
      <c r="J80" s="690">
        <v>-40.1</v>
      </c>
      <c r="K80" s="708">
        <f t="shared" si="7"/>
        <v>7309.7999999999993</v>
      </c>
      <c r="L80" s="693"/>
      <c r="M80" s="711"/>
      <c r="N80" s="711"/>
      <c r="O80" s="711"/>
      <c r="P80" s="711"/>
      <c r="Q80" s="711"/>
      <c r="R80" s="711"/>
      <c r="S80" s="711"/>
      <c r="T80" s="711"/>
      <c r="U80" s="711"/>
      <c r="V80" s="711"/>
      <c r="W80" s="711"/>
      <c r="X80" s="711"/>
      <c r="Y80" s="711"/>
      <c r="Z80" s="711"/>
      <c r="AA80" s="711"/>
      <c r="AB80" s="711"/>
      <c r="AC80" s="711"/>
      <c r="AD80" s="711"/>
      <c r="AE80" s="711"/>
      <c r="AF80" s="711"/>
      <c r="AG80" s="711"/>
      <c r="AH80" s="711"/>
      <c r="AI80" s="711"/>
      <c r="AJ80" s="711"/>
      <c r="AK80" s="711"/>
      <c r="AL80" s="711"/>
      <c r="AM80" s="711"/>
      <c r="AN80" s="711"/>
      <c r="AO80" s="711"/>
      <c r="AP80" s="711"/>
      <c r="AQ80" s="711"/>
      <c r="AR80" s="711"/>
      <c r="AS80" s="711"/>
      <c r="AT80" s="711"/>
      <c r="AU80" s="711"/>
      <c r="AV80" s="711"/>
      <c r="AW80" s="711"/>
      <c r="AX80" s="711"/>
      <c r="AY80" s="711"/>
      <c r="AZ80" s="711"/>
      <c r="BA80" s="711"/>
      <c r="BB80" s="711"/>
      <c r="BC80" s="711"/>
      <c r="BD80" s="711"/>
      <c r="BE80" s="711"/>
      <c r="BF80" s="711"/>
      <c r="BG80" s="711"/>
      <c r="BH80" s="711"/>
      <c r="BI80" s="711"/>
      <c r="BJ80" s="711"/>
      <c r="BK80" s="711"/>
      <c r="BL80" s="711"/>
      <c r="BM80" s="711"/>
      <c r="BN80" s="711"/>
      <c r="BO80" s="711"/>
      <c r="BP80" s="711"/>
      <c r="BQ80" s="711"/>
      <c r="BR80" s="711"/>
      <c r="BS80" s="711"/>
      <c r="BT80" s="711"/>
      <c r="BU80" s="711"/>
      <c r="BV80" s="711"/>
      <c r="BW80" s="711"/>
      <c r="BX80" s="711"/>
      <c r="BY80" s="711"/>
      <c r="BZ80" s="711"/>
      <c r="CA80" s="711"/>
      <c r="CB80" s="711"/>
      <c r="CC80" s="711"/>
      <c r="CD80" s="711"/>
      <c r="CE80" s="711"/>
      <c r="CF80" s="711"/>
      <c r="CG80" s="711"/>
      <c r="CH80" s="711"/>
      <c r="CI80" s="711"/>
      <c r="CJ80" s="711"/>
      <c r="CK80" s="711"/>
      <c r="CL80" s="711"/>
      <c r="CM80" s="711"/>
      <c r="CN80" s="711"/>
      <c r="CO80" s="711"/>
      <c r="CP80" s="711"/>
      <c r="CQ80" s="711"/>
      <c r="CR80" s="711"/>
      <c r="CS80" s="711"/>
      <c r="CT80" s="711"/>
      <c r="CU80" s="711"/>
      <c r="CV80" s="711"/>
      <c r="CW80" s="711"/>
      <c r="CX80" s="711"/>
      <c r="CY80" s="711"/>
      <c r="CZ80" s="711"/>
      <c r="DA80" s="711"/>
      <c r="DB80" s="711"/>
      <c r="DC80" s="711"/>
      <c r="DD80" s="711"/>
      <c r="DE80" s="711"/>
      <c r="DF80" s="711"/>
      <c r="DG80" s="711"/>
      <c r="DH80" s="711"/>
      <c r="DI80" s="711"/>
      <c r="DJ80" s="711"/>
      <c r="DK80" s="711"/>
      <c r="DL80" s="711"/>
      <c r="DM80" s="711"/>
      <c r="DN80" s="711"/>
      <c r="DO80" s="711"/>
      <c r="DP80" s="711"/>
      <c r="DQ80" s="711"/>
      <c r="DR80" s="711"/>
      <c r="DS80" s="711"/>
      <c r="DT80" s="711"/>
      <c r="DU80" s="711"/>
      <c r="DV80" s="711"/>
      <c r="DW80" s="711"/>
      <c r="DX80" s="711"/>
      <c r="DY80" s="711"/>
      <c r="DZ80" s="711"/>
      <c r="EA80" s="711"/>
      <c r="EB80" s="711"/>
      <c r="EC80" s="711"/>
      <c r="ED80" s="711"/>
      <c r="EE80" s="711"/>
      <c r="EF80" s="711"/>
      <c r="EG80" s="711"/>
      <c r="EH80" s="711"/>
      <c r="EI80" s="711"/>
      <c r="EJ80" s="711"/>
      <c r="EK80" s="711"/>
      <c r="EL80" s="711"/>
      <c r="EM80" s="711"/>
      <c r="EN80" s="711"/>
      <c r="EO80" s="711"/>
      <c r="EP80" s="711"/>
      <c r="EQ80" s="711"/>
      <c r="ER80" s="711"/>
      <c r="ES80" s="711"/>
      <c r="ET80" s="711"/>
      <c r="EU80" s="711"/>
      <c r="EV80" s="711"/>
      <c r="EW80" s="711"/>
      <c r="EX80" s="711"/>
      <c r="EY80" s="711"/>
      <c r="EZ80" s="711"/>
      <c r="FA80" s="711"/>
      <c r="FB80" s="711"/>
      <c r="FC80" s="711"/>
      <c r="FD80" s="711"/>
      <c r="FE80" s="711"/>
      <c r="FF80" s="711"/>
      <c r="FG80" s="711"/>
      <c r="FH80" s="711"/>
      <c r="FI80" s="711"/>
      <c r="FJ80" s="711"/>
      <c r="FK80" s="711"/>
      <c r="FL80" s="711"/>
      <c r="FM80" s="711"/>
      <c r="FN80" s="711"/>
      <c r="FO80" s="711"/>
      <c r="FP80" s="711"/>
      <c r="FQ80" s="711"/>
      <c r="FR80" s="711"/>
      <c r="FS80" s="711"/>
      <c r="FT80" s="711"/>
      <c r="FU80" s="711"/>
      <c r="FV80" s="711"/>
      <c r="FW80" s="711"/>
      <c r="FX80" s="711"/>
      <c r="FY80" s="711"/>
      <c r="FZ80" s="711"/>
      <c r="GA80" s="711"/>
      <c r="GB80" s="711"/>
      <c r="GC80" s="711"/>
      <c r="GD80" s="711"/>
      <c r="GE80" s="711"/>
      <c r="GF80" s="711"/>
      <c r="GG80" s="711"/>
      <c r="GH80" s="711"/>
      <c r="GI80" s="711"/>
      <c r="GJ80" s="711"/>
      <c r="GK80" s="711"/>
      <c r="GL80" s="711"/>
      <c r="GM80" s="711"/>
      <c r="GN80" s="711"/>
      <c r="GO80" s="711"/>
      <c r="GP80" s="711"/>
      <c r="GQ80" s="711"/>
      <c r="GR80" s="711"/>
      <c r="GS80" s="711"/>
      <c r="GT80" s="711"/>
      <c r="GU80" s="711"/>
      <c r="GV80" s="711"/>
      <c r="GW80" s="711"/>
      <c r="GX80" s="711"/>
      <c r="GY80" s="711"/>
      <c r="GZ80" s="711"/>
      <c r="HA80" s="711"/>
      <c r="HB80" s="711"/>
      <c r="HC80" s="711"/>
      <c r="HD80" s="711"/>
      <c r="HE80" s="711"/>
      <c r="HF80" s="711"/>
      <c r="HG80" s="711"/>
      <c r="HH80" s="711"/>
      <c r="HI80" s="711"/>
      <c r="HJ80" s="711"/>
      <c r="HK80" s="711"/>
      <c r="HL80" s="711"/>
      <c r="HM80" s="711"/>
      <c r="HN80" s="711"/>
      <c r="HO80" s="711"/>
      <c r="HP80" s="711"/>
      <c r="HQ80" s="711"/>
      <c r="HR80" s="711"/>
      <c r="HS80" s="711"/>
      <c r="HT80" s="711"/>
      <c r="HU80" s="711"/>
      <c r="HV80" s="711"/>
      <c r="HW80" s="711"/>
      <c r="HX80" s="711"/>
      <c r="HY80" s="711"/>
      <c r="HZ80" s="711"/>
      <c r="IA80" s="711"/>
      <c r="IB80" s="711"/>
      <c r="IC80" s="711"/>
      <c r="ID80" s="711"/>
      <c r="IE80" s="711"/>
      <c r="IF80" s="711"/>
      <c r="IG80" s="711"/>
      <c r="IH80" s="711"/>
      <c r="II80" s="711"/>
      <c r="IJ80" s="711"/>
      <c r="IK80" s="711"/>
      <c r="IL80" s="711"/>
      <c r="IM80" s="711"/>
      <c r="IN80" s="711"/>
      <c r="IO80" s="711"/>
      <c r="IP80" s="711"/>
      <c r="IQ80" s="711"/>
      <c r="IR80" s="711"/>
      <c r="IS80" s="711"/>
      <c r="IT80" s="711"/>
      <c r="IU80" s="711"/>
      <c r="IV80" s="711"/>
    </row>
    <row r="81" spans="1:256" ht="12.75" hidden="1" customHeight="1">
      <c r="A81" s="708" t="s">
        <v>343</v>
      </c>
      <c r="B81" s="690">
        <v>39978.1</v>
      </c>
      <c r="C81" s="708">
        <v>31091.4</v>
      </c>
      <c r="D81" s="691"/>
      <c r="E81" s="708">
        <f t="shared" si="8"/>
        <v>8886.6999999999971</v>
      </c>
      <c r="F81" s="690">
        <v>-10079.700000000001</v>
      </c>
      <c r="G81" s="690">
        <v>1194.3</v>
      </c>
      <c r="H81" s="708">
        <f t="shared" si="6"/>
        <v>-8885.4000000000015</v>
      </c>
      <c r="I81" s="695"/>
      <c r="J81" s="690">
        <v>-1.3</v>
      </c>
      <c r="K81" s="708">
        <f t="shared" si="7"/>
        <v>-8886.7000000000007</v>
      </c>
      <c r="L81" s="693"/>
      <c r="M81" s="711"/>
      <c r="N81" s="711"/>
      <c r="O81" s="711"/>
      <c r="P81" s="711"/>
      <c r="Q81" s="711"/>
      <c r="R81" s="711"/>
      <c r="S81" s="711"/>
      <c r="T81" s="711"/>
      <c r="U81" s="711"/>
      <c r="V81" s="711"/>
      <c r="W81" s="711"/>
      <c r="X81" s="711"/>
      <c r="Y81" s="711"/>
      <c r="Z81" s="711"/>
      <c r="AA81" s="711"/>
      <c r="AB81" s="711"/>
      <c r="AC81" s="711"/>
      <c r="AD81" s="711"/>
      <c r="AE81" s="711"/>
      <c r="AF81" s="711"/>
      <c r="AG81" s="711"/>
      <c r="AH81" s="711"/>
      <c r="AI81" s="711"/>
      <c r="AJ81" s="711"/>
      <c r="AK81" s="711"/>
      <c r="AL81" s="711"/>
      <c r="AM81" s="711"/>
      <c r="AN81" s="711"/>
      <c r="AO81" s="711"/>
      <c r="AP81" s="711"/>
      <c r="AQ81" s="711"/>
      <c r="AR81" s="711"/>
      <c r="AS81" s="711"/>
      <c r="AT81" s="711"/>
      <c r="AU81" s="711"/>
      <c r="AV81" s="711"/>
      <c r="AW81" s="711"/>
      <c r="AX81" s="711"/>
      <c r="AY81" s="711"/>
      <c r="AZ81" s="711"/>
      <c r="BA81" s="711"/>
      <c r="BB81" s="711"/>
      <c r="BC81" s="711"/>
      <c r="BD81" s="711"/>
      <c r="BE81" s="711"/>
      <c r="BF81" s="711"/>
      <c r="BG81" s="711"/>
      <c r="BH81" s="711"/>
      <c r="BI81" s="711"/>
      <c r="BJ81" s="711"/>
      <c r="BK81" s="711"/>
      <c r="BL81" s="711"/>
      <c r="BM81" s="711"/>
      <c r="BN81" s="711"/>
      <c r="BO81" s="711"/>
      <c r="BP81" s="711"/>
      <c r="BQ81" s="711"/>
      <c r="BR81" s="711"/>
      <c r="BS81" s="711"/>
      <c r="BT81" s="711"/>
      <c r="BU81" s="711"/>
      <c r="BV81" s="711"/>
      <c r="BW81" s="711"/>
      <c r="BX81" s="711"/>
      <c r="BY81" s="711"/>
      <c r="BZ81" s="711"/>
      <c r="CA81" s="711"/>
      <c r="CB81" s="711"/>
      <c r="CC81" s="711"/>
      <c r="CD81" s="711"/>
      <c r="CE81" s="711"/>
      <c r="CF81" s="711"/>
      <c r="CG81" s="711"/>
      <c r="CH81" s="711"/>
      <c r="CI81" s="711"/>
      <c r="CJ81" s="711"/>
      <c r="CK81" s="711"/>
      <c r="CL81" s="711"/>
      <c r="CM81" s="711"/>
      <c r="CN81" s="711"/>
      <c r="CO81" s="711"/>
      <c r="CP81" s="711"/>
      <c r="CQ81" s="711"/>
      <c r="CR81" s="711"/>
      <c r="CS81" s="711"/>
      <c r="CT81" s="711"/>
      <c r="CU81" s="711"/>
      <c r="CV81" s="711"/>
      <c r="CW81" s="711"/>
      <c r="CX81" s="711"/>
      <c r="CY81" s="711"/>
      <c r="CZ81" s="711"/>
      <c r="DA81" s="711"/>
      <c r="DB81" s="711"/>
      <c r="DC81" s="711"/>
      <c r="DD81" s="711"/>
      <c r="DE81" s="711"/>
      <c r="DF81" s="711"/>
      <c r="DG81" s="711"/>
      <c r="DH81" s="711"/>
      <c r="DI81" s="711"/>
      <c r="DJ81" s="711"/>
      <c r="DK81" s="711"/>
      <c r="DL81" s="711"/>
      <c r="DM81" s="711"/>
      <c r="DN81" s="711"/>
      <c r="DO81" s="711"/>
      <c r="DP81" s="711"/>
      <c r="DQ81" s="711"/>
      <c r="DR81" s="711"/>
      <c r="DS81" s="711"/>
      <c r="DT81" s="711"/>
      <c r="DU81" s="711"/>
      <c r="DV81" s="711"/>
      <c r="DW81" s="711"/>
      <c r="DX81" s="711"/>
      <c r="DY81" s="711"/>
      <c r="DZ81" s="711"/>
      <c r="EA81" s="711"/>
      <c r="EB81" s="711"/>
      <c r="EC81" s="711"/>
      <c r="ED81" s="711"/>
      <c r="EE81" s="711"/>
      <c r="EF81" s="711"/>
      <c r="EG81" s="711"/>
      <c r="EH81" s="711"/>
      <c r="EI81" s="711"/>
      <c r="EJ81" s="711"/>
      <c r="EK81" s="711"/>
      <c r="EL81" s="711"/>
      <c r="EM81" s="711"/>
      <c r="EN81" s="711"/>
      <c r="EO81" s="711"/>
      <c r="EP81" s="711"/>
      <c r="EQ81" s="711"/>
      <c r="ER81" s="711"/>
      <c r="ES81" s="711"/>
      <c r="ET81" s="711"/>
      <c r="EU81" s="711"/>
      <c r="EV81" s="711"/>
      <c r="EW81" s="711"/>
      <c r="EX81" s="711"/>
      <c r="EY81" s="711"/>
      <c r="EZ81" s="711"/>
      <c r="FA81" s="711"/>
      <c r="FB81" s="711"/>
      <c r="FC81" s="711"/>
      <c r="FD81" s="711"/>
      <c r="FE81" s="711"/>
      <c r="FF81" s="711"/>
      <c r="FG81" s="711"/>
      <c r="FH81" s="711"/>
      <c r="FI81" s="711"/>
      <c r="FJ81" s="711"/>
      <c r="FK81" s="711"/>
      <c r="FL81" s="711"/>
      <c r="FM81" s="711"/>
      <c r="FN81" s="711"/>
      <c r="FO81" s="711"/>
      <c r="FP81" s="711"/>
      <c r="FQ81" s="711"/>
      <c r="FR81" s="711"/>
      <c r="FS81" s="711"/>
      <c r="FT81" s="711"/>
      <c r="FU81" s="711"/>
      <c r="FV81" s="711"/>
      <c r="FW81" s="711"/>
      <c r="FX81" s="711"/>
      <c r="FY81" s="711"/>
      <c r="FZ81" s="711"/>
      <c r="GA81" s="711"/>
      <c r="GB81" s="711"/>
      <c r="GC81" s="711"/>
      <c r="GD81" s="711"/>
      <c r="GE81" s="711"/>
      <c r="GF81" s="711"/>
      <c r="GG81" s="711"/>
      <c r="GH81" s="711"/>
      <c r="GI81" s="711"/>
      <c r="GJ81" s="711"/>
      <c r="GK81" s="711"/>
      <c r="GL81" s="711"/>
      <c r="GM81" s="711"/>
      <c r="GN81" s="711"/>
      <c r="GO81" s="711"/>
      <c r="GP81" s="711"/>
      <c r="GQ81" s="711"/>
      <c r="GR81" s="711"/>
      <c r="GS81" s="711"/>
      <c r="GT81" s="711"/>
      <c r="GU81" s="711"/>
      <c r="GV81" s="711"/>
      <c r="GW81" s="711"/>
      <c r="GX81" s="711"/>
      <c r="GY81" s="711"/>
      <c r="GZ81" s="711"/>
      <c r="HA81" s="711"/>
      <c r="HB81" s="711"/>
      <c r="HC81" s="711"/>
      <c r="HD81" s="711"/>
      <c r="HE81" s="711"/>
      <c r="HF81" s="711"/>
      <c r="HG81" s="711"/>
      <c r="HH81" s="711"/>
      <c r="HI81" s="711"/>
      <c r="HJ81" s="711"/>
      <c r="HK81" s="711"/>
      <c r="HL81" s="711"/>
      <c r="HM81" s="711"/>
      <c r="HN81" s="711"/>
      <c r="HO81" s="711"/>
      <c r="HP81" s="711"/>
      <c r="HQ81" s="711"/>
      <c r="HR81" s="711"/>
      <c r="HS81" s="711"/>
      <c r="HT81" s="711"/>
      <c r="HU81" s="711"/>
      <c r="HV81" s="711"/>
      <c r="HW81" s="711"/>
      <c r="HX81" s="711"/>
      <c r="HY81" s="711"/>
      <c r="HZ81" s="711"/>
      <c r="IA81" s="711"/>
      <c r="IB81" s="711"/>
      <c r="IC81" s="711"/>
      <c r="ID81" s="711"/>
      <c r="IE81" s="711"/>
      <c r="IF81" s="711"/>
      <c r="IG81" s="711"/>
      <c r="IH81" s="711"/>
      <c r="II81" s="711"/>
      <c r="IJ81" s="711"/>
      <c r="IK81" s="711"/>
      <c r="IL81" s="711"/>
      <c r="IM81" s="711"/>
      <c r="IN81" s="711"/>
      <c r="IO81" s="711"/>
      <c r="IP81" s="711"/>
      <c r="IQ81" s="711"/>
      <c r="IR81" s="711"/>
      <c r="IS81" s="711"/>
      <c r="IT81" s="711"/>
      <c r="IU81" s="711"/>
      <c r="IV81" s="711"/>
    </row>
    <row r="82" spans="1:256" ht="12.75" hidden="1" customHeight="1">
      <c r="A82" s="708" t="s">
        <v>344</v>
      </c>
      <c r="B82" s="690">
        <f>40959.8+111.8</f>
        <v>41071.600000000006</v>
      </c>
      <c r="C82" s="708">
        <v>43219.1</v>
      </c>
      <c r="D82" s="691"/>
      <c r="E82" s="708">
        <f t="shared" si="8"/>
        <v>-2147.4999999999927</v>
      </c>
      <c r="F82" s="690">
        <v>-4746.3</v>
      </c>
      <c r="G82" s="708">
        <v>6886</v>
      </c>
      <c r="H82" s="708">
        <f t="shared" si="6"/>
        <v>2139.6999999999998</v>
      </c>
      <c r="I82" s="695"/>
      <c r="J82" s="690">
        <v>7.8</v>
      </c>
      <c r="K82" s="708">
        <f t="shared" si="7"/>
        <v>2147.5</v>
      </c>
      <c r="L82" s="693"/>
      <c r="M82" s="711"/>
      <c r="N82" s="711"/>
      <c r="O82" s="711"/>
      <c r="P82" s="711"/>
      <c r="Q82" s="711"/>
      <c r="R82" s="711"/>
      <c r="S82" s="711"/>
      <c r="T82" s="711"/>
      <c r="U82" s="711"/>
      <c r="V82" s="711"/>
      <c r="W82" s="711"/>
      <c r="X82" s="711"/>
      <c r="Y82" s="711"/>
      <c r="Z82" s="711"/>
      <c r="AA82" s="711"/>
      <c r="AB82" s="711"/>
      <c r="AC82" s="711"/>
      <c r="AD82" s="711"/>
      <c r="AE82" s="711"/>
      <c r="AF82" s="711"/>
      <c r="AG82" s="711"/>
      <c r="AH82" s="711"/>
      <c r="AI82" s="711"/>
      <c r="AJ82" s="711"/>
      <c r="AK82" s="711"/>
      <c r="AL82" s="711"/>
      <c r="AM82" s="711"/>
      <c r="AN82" s="711"/>
      <c r="AO82" s="711"/>
      <c r="AP82" s="711"/>
      <c r="AQ82" s="711"/>
      <c r="AR82" s="711"/>
      <c r="AS82" s="711"/>
      <c r="AT82" s="711"/>
      <c r="AU82" s="711"/>
      <c r="AV82" s="711"/>
      <c r="AW82" s="711"/>
      <c r="AX82" s="711"/>
      <c r="AY82" s="711"/>
      <c r="AZ82" s="711"/>
      <c r="BA82" s="711"/>
      <c r="BB82" s="711"/>
      <c r="BC82" s="711"/>
      <c r="BD82" s="711"/>
      <c r="BE82" s="711"/>
      <c r="BF82" s="711"/>
      <c r="BG82" s="711"/>
      <c r="BH82" s="711"/>
      <c r="BI82" s="711"/>
      <c r="BJ82" s="711"/>
      <c r="BK82" s="711"/>
      <c r="BL82" s="711"/>
      <c r="BM82" s="711"/>
      <c r="BN82" s="711"/>
      <c r="BO82" s="711"/>
      <c r="BP82" s="711"/>
      <c r="BQ82" s="711"/>
      <c r="BR82" s="711"/>
      <c r="BS82" s="711"/>
      <c r="BT82" s="711"/>
      <c r="BU82" s="711"/>
      <c r="BV82" s="711"/>
      <c r="BW82" s="711"/>
      <c r="BX82" s="711"/>
      <c r="BY82" s="711"/>
      <c r="BZ82" s="711"/>
      <c r="CA82" s="711"/>
      <c r="CB82" s="711"/>
      <c r="CC82" s="711"/>
      <c r="CD82" s="711"/>
      <c r="CE82" s="711"/>
      <c r="CF82" s="711"/>
      <c r="CG82" s="711"/>
      <c r="CH82" s="711"/>
      <c r="CI82" s="711"/>
      <c r="CJ82" s="711"/>
      <c r="CK82" s="711"/>
      <c r="CL82" s="711"/>
      <c r="CM82" s="711"/>
      <c r="CN82" s="711"/>
      <c r="CO82" s="711"/>
      <c r="CP82" s="711"/>
      <c r="CQ82" s="711"/>
      <c r="CR82" s="711"/>
      <c r="CS82" s="711"/>
      <c r="CT82" s="711"/>
      <c r="CU82" s="711"/>
      <c r="CV82" s="711"/>
      <c r="CW82" s="711"/>
      <c r="CX82" s="711"/>
      <c r="CY82" s="711"/>
      <c r="CZ82" s="711"/>
      <c r="DA82" s="711"/>
      <c r="DB82" s="711"/>
      <c r="DC82" s="711"/>
      <c r="DD82" s="711"/>
      <c r="DE82" s="711"/>
      <c r="DF82" s="711"/>
      <c r="DG82" s="711"/>
      <c r="DH82" s="711"/>
      <c r="DI82" s="711"/>
      <c r="DJ82" s="711"/>
      <c r="DK82" s="711"/>
      <c r="DL82" s="711"/>
      <c r="DM82" s="711"/>
      <c r="DN82" s="711"/>
      <c r="DO82" s="711"/>
      <c r="DP82" s="711"/>
      <c r="DQ82" s="711"/>
      <c r="DR82" s="711"/>
      <c r="DS82" s="711"/>
      <c r="DT82" s="711"/>
      <c r="DU82" s="711"/>
      <c r="DV82" s="711"/>
      <c r="DW82" s="711"/>
      <c r="DX82" s="711"/>
      <c r="DY82" s="711"/>
      <c r="DZ82" s="711"/>
      <c r="EA82" s="711"/>
      <c r="EB82" s="711"/>
      <c r="EC82" s="711"/>
      <c r="ED82" s="711"/>
      <c r="EE82" s="711"/>
      <c r="EF82" s="711"/>
      <c r="EG82" s="711"/>
      <c r="EH82" s="711"/>
      <c r="EI82" s="711"/>
      <c r="EJ82" s="711"/>
      <c r="EK82" s="711"/>
      <c r="EL82" s="711"/>
      <c r="EM82" s="711"/>
      <c r="EN82" s="711"/>
      <c r="EO82" s="711"/>
      <c r="EP82" s="711"/>
      <c r="EQ82" s="711"/>
      <c r="ER82" s="711"/>
      <c r="ES82" s="711"/>
      <c r="ET82" s="711"/>
      <c r="EU82" s="711"/>
      <c r="EV82" s="711"/>
      <c r="EW82" s="711"/>
      <c r="EX82" s="711"/>
      <c r="EY82" s="711"/>
      <c r="EZ82" s="711"/>
      <c r="FA82" s="711"/>
      <c r="FB82" s="711"/>
      <c r="FC82" s="711"/>
      <c r="FD82" s="711"/>
      <c r="FE82" s="711"/>
      <c r="FF82" s="711"/>
      <c r="FG82" s="711"/>
      <c r="FH82" s="711"/>
      <c r="FI82" s="711"/>
      <c r="FJ82" s="711"/>
      <c r="FK82" s="711"/>
      <c r="FL82" s="711"/>
      <c r="FM82" s="711"/>
      <c r="FN82" s="711"/>
      <c r="FO82" s="711"/>
      <c r="FP82" s="711"/>
      <c r="FQ82" s="711"/>
      <c r="FR82" s="711"/>
      <c r="FS82" s="711"/>
      <c r="FT82" s="711"/>
      <c r="FU82" s="711"/>
      <c r="FV82" s="711"/>
      <c r="FW82" s="711"/>
      <c r="FX82" s="711"/>
      <c r="FY82" s="711"/>
      <c r="FZ82" s="711"/>
      <c r="GA82" s="711"/>
      <c r="GB82" s="711"/>
      <c r="GC82" s="711"/>
      <c r="GD82" s="711"/>
      <c r="GE82" s="711"/>
      <c r="GF82" s="711"/>
      <c r="GG82" s="711"/>
      <c r="GH82" s="711"/>
      <c r="GI82" s="711"/>
      <c r="GJ82" s="711"/>
      <c r="GK82" s="711"/>
      <c r="GL82" s="711"/>
      <c r="GM82" s="711"/>
      <c r="GN82" s="711"/>
      <c r="GO82" s="711"/>
      <c r="GP82" s="711"/>
      <c r="GQ82" s="711"/>
      <c r="GR82" s="711"/>
      <c r="GS82" s="711"/>
      <c r="GT82" s="711"/>
      <c r="GU82" s="711"/>
      <c r="GV82" s="711"/>
      <c r="GW82" s="711"/>
      <c r="GX82" s="711"/>
      <c r="GY82" s="711"/>
      <c r="GZ82" s="711"/>
      <c r="HA82" s="711"/>
      <c r="HB82" s="711"/>
      <c r="HC82" s="711"/>
      <c r="HD82" s="711"/>
      <c r="HE82" s="711"/>
      <c r="HF82" s="711"/>
      <c r="HG82" s="711"/>
      <c r="HH82" s="711"/>
      <c r="HI82" s="711"/>
      <c r="HJ82" s="711"/>
      <c r="HK82" s="711"/>
      <c r="HL82" s="711"/>
      <c r="HM82" s="711"/>
      <c r="HN82" s="711"/>
      <c r="HO82" s="711"/>
      <c r="HP82" s="711"/>
      <c r="HQ82" s="711"/>
      <c r="HR82" s="711"/>
      <c r="HS82" s="711"/>
      <c r="HT82" s="711"/>
      <c r="HU82" s="711"/>
      <c r="HV82" s="711"/>
      <c r="HW82" s="711"/>
      <c r="HX82" s="711"/>
      <c r="HY82" s="711"/>
      <c r="HZ82" s="711"/>
      <c r="IA82" s="711"/>
      <c r="IB82" s="711"/>
      <c r="IC82" s="711"/>
      <c r="ID82" s="711"/>
      <c r="IE82" s="711"/>
      <c r="IF82" s="711"/>
      <c r="IG82" s="711"/>
      <c r="IH82" s="711"/>
      <c r="II82" s="711"/>
      <c r="IJ82" s="711"/>
      <c r="IK82" s="711"/>
      <c r="IL82" s="711"/>
      <c r="IM82" s="711"/>
      <c r="IN82" s="711"/>
      <c r="IO82" s="711"/>
      <c r="IP82" s="711"/>
      <c r="IQ82" s="711"/>
      <c r="IR82" s="711"/>
      <c r="IS82" s="711"/>
      <c r="IT82" s="711"/>
      <c r="IU82" s="711"/>
      <c r="IV82" s="711"/>
    </row>
    <row r="83" spans="1:256" ht="12.75" hidden="1" customHeight="1">
      <c r="A83" s="708"/>
      <c r="B83" s="690"/>
      <c r="C83" s="708"/>
      <c r="D83" s="691"/>
      <c r="E83" s="708"/>
      <c r="F83" s="690"/>
      <c r="G83" s="708"/>
      <c r="H83" s="708"/>
      <c r="I83" s="695"/>
      <c r="J83" s="690"/>
      <c r="K83" s="708"/>
      <c r="L83" s="693"/>
      <c r="M83" s="711"/>
      <c r="N83" s="711"/>
      <c r="O83" s="711"/>
      <c r="P83" s="711"/>
      <c r="Q83" s="711"/>
      <c r="R83" s="711"/>
      <c r="S83" s="711"/>
      <c r="T83" s="711"/>
      <c r="U83" s="711"/>
      <c r="V83" s="711"/>
      <c r="W83" s="711"/>
      <c r="X83" s="711"/>
      <c r="Y83" s="711"/>
      <c r="Z83" s="711"/>
      <c r="AA83" s="711"/>
      <c r="AB83" s="711"/>
      <c r="AC83" s="711"/>
      <c r="AD83" s="711"/>
      <c r="AE83" s="711"/>
      <c r="AF83" s="711"/>
      <c r="AG83" s="711"/>
      <c r="AH83" s="711"/>
      <c r="AI83" s="711"/>
      <c r="AJ83" s="711"/>
      <c r="AK83" s="711"/>
      <c r="AL83" s="711"/>
      <c r="AM83" s="711"/>
      <c r="AN83" s="711"/>
      <c r="AO83" s="711"/>
      <c r="AP83" s="711"/>
      <c r="AQ83" s="711"/>
      <c r="AR83" s="711"/>
      <c r="AS83" s="711"/>
      <c r="AT83" s="711"/>
      <c r="AU83" s="711"/>
      <c r="AV83" s="711"/>
      <c r="AW83" s="711"/>
      <c r="AX83" s="711"/>
      <c r="AY83" s="711"/>
      <c r="AZ83" s="711"/>
      <c r="BA83" s="711"/>
      <c r="BB83" s="711"/>
      <c r="BC83" s="711"/>
      <c r="BD83" s="711"/>
      <c r="BE83" s="711"/>
      <c r="BF83" s="711"/>
      <c r="BG83" s="711"/>
      <c r="BH83" s="711"/>
      <c r="BI83" s="711"/>
      <c r="BJ83" s="711"/>
      <c r="BK83" s="711"/>
      <c r="BL83" s="711"/>
      <c r="BM83" s="711"/>
      <c r="BN83" s="711"/>
      <c r="BO83" s="711"/>
      <c r="BP83" s="711"/>
      <c r="BQ83" s="711"/>
      <c r="BR83" s="711"/>
      <c r="BS83" s="711"/>
      <c r="BT83" s="711"/>
      <c r="BU83" s="711"/>
      <c r="BV83" s="711"/>
      <c r="BW83" s="711"/>
      <c r="BX83" s="711"/>
      <c r="BY83" s="711"/>
      <c r="BZ83" s="711"/>
      <c r="CA83" s="711"/>
      <c r="CB83" s="711"/>
      <c r="CC83" s="711"/>
      <c r="CD83" s="711"/>
      <c r="CE83" s="711"/>
      <c r="CF83" s="711"/>
      <c r="CG83" s="711"/>
      <c r="CH83" s="711"/>
      <c r="CI83" s="711"/>
      <c r="CJ83" s="711"/>
      <c r="CK83" s="711"/>
      <c r="CL83" s="711"/>
      <c r="CM83" s="711"/>
      <c r="CN83" s="711"/>
      <c r="CO83" s="711"/>
      <c r="CP83" s="711"/>
      <c r="CQ83" s="711"/>
      <c r="CR83" s="711"/>
      <c r="CS83" s="711"/>
      <c r="CT83" s="711"/>
      <c r="CU83" s="711"/>
      <c r="CV83" s="711"/>
      <c r="CW83" s="711"/>
      <c r="CX83" s="711"/>
      <c r="CY83" s="711"/>
      <c r="CZ83" s="711"/>
      <c r="DA83" s="711"/>
      <c r="DB83" s="711"/>
      <c r="DC83" s="711"/>
      <c r="DD83" s="711"/>
      <c r="DE83" s="711"/>
      <c r="DF83" s="711"/>
      <c r="DG83" s="711"/>
      <c r="DH83" s="711"/>
      <c r="DI83" s="711"/>
      <c r="DJ83" s="711"/>
      <c r="DK83" s="711"/>
      <c r="DL83" s="711"/>
      <c r="DM83" s="711"/>
      <c r="DN83" s="711"/>
      <c r="DO83" s="711"/>
      <c r="DP83" s="711"/>
      <c r="DQ83" s="711"/>
      <c r="DR83" s="711"/>
      <c r="DS83" s="711"/>
      <c r="DT83" s="711"/>
      <c r="DU83" s="711"/>
      <c r="DV83" s="711"/>
      <c r="DW83" s="711"/>
      <c r="DX83" s="711"/>
      <c r="DY83" s="711"/>
      <c r="DZ83" s="711"/>
      <c r="EA83" s="711"/>
      <c r="EB83" s="711"/>
      <c r="EC83" s="711"/>
      <c r="ED83" s="711"/>
      <c r="EE83" s="711"/>
      <c r="EF83" s="711"/>
      <c r="EG83" s="711"/>
      <c r="EH83" s="711"/>
      <c r="EI83" s="711"/>
      <c r="EJ83" s="711"/>
      <c r="EK83" s="711"/>
      <c r="EL83" s="711"/>
      <c r="EM83" s="711"/>
      <c r="EN83" s="711"/>
      <c r="EO83" s="711"/>
      <c r="EP83" s="711"/>
      <c r="EQ83" s="711"/>
      <c r="ER83" s="711"/>
      <c r="ES83" s="711"/>
      <c r="ET83" s="711"/>
      <c r="EU83" s="711"/>
      <c r="EV83" s="711"/>
      <c r="EW83" s="711"/>
      <c r="EX83" s="711"/>
      <c r="EY83" s="711"/>
      <c r="EZ83" s="711"/>
      <c r="FA83" s="711"/>
      <c r="FB83" s="711"/>
      <c r="FC83" s="711"/>
      <c r="FD83" s="711"/>
      <c r="FE83" s="711"/>
      <c r="FF83" s="711"/>
      <c r="FG83" s="711"/>
      <c r="FH83" s="711"/>
      <c r="FI83" s="711"/>
      <c r="FJ83" s="711"/>
      <c r="FK83" s="711"/>
      <c r="FL83" s="711"/>
      <c r="FM83" s="711"/>
      <c r="FN83" s="711"/>
      <c r="FO83" s="711"/>
      <c r="FP83" s="711"/>
      <c r="FQ83" s="711"/>
      <c r="FR83" s="711"/>
      <c r="FS83" s="711"/>
      <c r="FT83" s="711"/>
      <c r="FU83" s="711"/>
      <c r="FV83" s="711"/>
      <c r="FW83" s="711"/>
      <c r="FX83" s="711"/>
      <c r="FY83" s="711"/>
      <c r="FZ83" s="711"/>
      <c r="GA83" s="711"/>
      <c r="GB83" s="711"/>
      <c r="GC83" s="711"/>
      <c r="GD83" s="711"/>
      <c r="GE83" s="711"/>
      <c r="GF83" s="711"/>
      <c r="GG83" s="711"/>
      <c r="GH83" s="711"/>
      <c r="GI83" s="711"/>
      <c r="GJ83" s="711"/>
      <c r="GK83" s="711"/>
      <c r="GL83" s="711"/>
      <c r="GM83" s="711"/>
      <c r="GN83" s="711"/>
      <c r="GO83" s="711"/>
      <c r="GP83" s="711"/>
      <c r="GQ83" s="711"/>
      <c r="GR83" s="711"/>
      <c r="GS83" s="711"/>
      <c r="GT83" s="711"/>
      <c r="GU83" s="711"/>
      <c r="GV83" s="711"/>
      <c r="GW83" s="711"/>
      <c r="GX83" s="711"/>
      <c r="GY83" s="711"/>
      <c r="GZ83" s="711"/>
      <c r="HA83" s="711"/>
      <c r="HB83" s="711"/>
      <c r="HC83" s="711"/>
      <c r="HD83" s="711"/>
      <c r="HE83" s="711"/>
      <c r="HF83" s="711"/>
      <c r="HG83" s="711"/>
      <c r="HH83" s="711"/>
      <c r="HI83" s="711"/>
      <c r="HJ83" s="711"/>
      <c r="HK83" s="711"/>
      <c r="HL83" s="711"/>
      <c r="HM83" s="711"/>
      <c r="HN83" s="711"/>
      <c r="HO83" s="711"/>
      <c r="HP83" s="711"/>
      <c r="HQ83" s="711"/>
      <c r="HR83" s="711"/>
      <c r="HS83" s="711"/>
      <c r="HT83" s="711"/>
      <c r="HU83" s="711"/>
      <c r="HV83" s="711"/>
      <c r="HW83" s="711"/>
      <c r="HX83" s="711"/>
      <c r="HY83" s="711"/>
      <c r="HZ83" s="711"/>
      <c r="IA83" s="711"/>
      <c r="IB83" s="711"/>
      <c r="IC83" s="711"/>
      <c r="ID83" s="711"/>
      <c r="IE83" s="711"/>
      <c r="IF83" s="711"/>
      <c r="IG83" s="711"/>
      <c r="IH83" s="711"/>
      <c r="II83" s="711"/>
      <c r="IJ83" s="711"/>
      <c r="IK83" s="711"/>
      <c r="IL83" s="711"/>
      <c r="IM83" s="711"/>
      <c r="IN83" s="711"/>
      <c r="IO83" s="711"/>
      <c r="IP83" s="711"/>
      <c r="IQ83" s="711"/>
      <c r="IR83" s="711"/>
      <c r="IS83" s="711"/>
      <c r="IT83" s="711"/>
      <c r="IU83" s="711"/>
      <c r="IV83" s="711"/>
    </row>
    <row r="84" spans="1:256" ht="12.75" hidden="1" customHeight="1">
      <c r="A84" s="710">
        <v>2003</v>
      </c>
      <c r="B84" s="690"/>
      <c r="C84" s="708"/>
      <c r="D84" s="691"/>
      <c r="E84" s="708"/>
      <c r="F84" s="690"/>
      <c r="G84" s="708"/>
      <c r="H84" s="708"/>
      <c r="I84" s="695"/>
      <c r="J84" s="690"/>
      <c r="K84" s="708"/>
      <c r="L84" s="693"/>
      <c r="M84" s="711"/>
      <c r="N84" s="711"/>
      <c r="O84" s="711"/>
      <c r="P84" s="711"/>
      <c r="Q84" s="711"/>
      <c r="R84" s="711"/>
      <c r="S84" s="711"/>
      <c r="T84" s="711"/>
      <c r="U84" s="711"/>
      <c r="V84" s="711"/>
      <c r="W84" s="711"/>
      <c r="X84" s="711"/>
      <c r="Y84" s="711"/>
      <c r="Z84" s="711"/>
      <c r="AA84" s="711"/>
      <c r="AB84" s="711"/>
      <c r="AC84" s="711"/>
      <c r="AD84" s="711"/>
      <c r="AE84" s="711"/>
      <c r="AF84" s="711"/>
      <c r="AG84" s="711"/>
      <c r="AH84" s="711"/>
      <c r="AI84" s="711"/>
      <c r="AJ84" s="711"/>
      <c r="AK84" s="711"/>
      <c r="AL84" s="711"/>
      <c r="AM84" s="711"/>
      <c r="AN84" s="711"/>
      <c r="AO84" s="711"/>
      <c r="AP84" s="711"/>
      <c r="AQ84" s="711"/>
      <c r="AR84" s="711"/>
      <c r="AS84" s="711"/>
      <c r="AT84" s="711"/>
      <c r="AU84" s="711"/>
      <c r="AV84" s="711"/>
      <c r="AW84" s="711"/>
      <c r="AX84" s="711"/>
      <c r="AY84" s="711"/>
      <c r="AZ84" s="711"/>
      <c r="BA84" s="711"/>
      <c r="BB84" s="711"/>
      <c r="BC84" s="711"/>
      <c r="BD84" s="711"/>
      <c r="BE84" s="711"/>
      <c r="BF84" s="711"/>
      <c r="BG84" s="711"/>
      <c r="BH84" s="711"/>
      <c r="BI84" s="711"/>
      <c r="BJ84" s="711"/>
      <c r="BK84" s="711"/>
      <c r="BL84" s="711"/>
      <c r="BM84" s="711"/>
      <c r="BN84" s="711"/>
      <c r="BO84" s="711"/>
      <c r="BP84" s="711"/>
      <c r="BQ84" s="711"/>
      <c r="BR84" s="711"/>
      <c r="BS84" s="711"/>
      <c r="BT84" s="711"/>
      <c r="BU84" s="711"/>
      <c r="BV84" s="711"/>
      <c r="BW84" s="711"/>
      <c r="BX84" s="711"/>
      <c r="BY84" s="711"/>
      <c r="BZ84" s="711"/>
      <c r="CA84" s="711"/>
      <c r="CB84" s="711"/>
      <c r="CC84" s="711"/>
      <c r="CD84" s="711"/>
      <c r="CE84" s="711"/>
      <c r="CF84" s="711"/>
      <c r="CG84" s="711"/>
      <c r="CH84" s="711"/>
      <c r="CI84" s="711"/>
      <c r="CJ84" s="711"/>
      <c r="CK84" s="711"/>
      <c r="CL84" s="711"/>
      <c r="CM84" s="711"/>
      <c r="CN84" s="711"/>
      <c r="CO84" s="711"/>
      <c r="CP84" s="711"/>
      <c r="CQ84" s="711"/>
      <c r="CR84" s="711"/>
      <c r="CS84" s="711"/>
      <c r="CT84" s="711"/>
      <c r="CU84" s="711"/>
      <c r="CV84" s="711"/>
      <c r="CW84" s="711"/>
      <c r="CX84" s="711"/>
      <c r="CY84" s="711"/>
      <c r="CZ84" s="711"/>
      <c r="DA84" s="711"/>
      <c r="DB84" s="711"/>
      <c r="DC84" s="711"/>
      <c r="DD84" s="711"/>
      <c r="DE84" s="711"/>
      <c r="DF84" s="711"/>
      <c r="DG84" s="711"/>
      <c r="DH84" s="711"/>
      <c r="DI84" s="711"/>
      <c r="DJ84" s="711"/>
      <c r="DK84" s="711"/>
      <c r="DL84" s="711"/>
      <c r="DM84" s="711"/>
      <c r="DN84" s="711"/>
      <c r="DO84" s="711"/>
      <c r="DP84" s="711"/>
      <c r="DQ84" s="711"/>
      <c r="DR84" s="711"/>
      <c r="DS84" s="711"/>
      <c r="DT84" s="711"/>
      <c r="DU84" s="711"/>
      <c r="DV84" s="711"/>
      <c r="DW84" s="711"/>
      <c r="DX84" s="711"/>
      <c r="DY84" s="711"/>
      <c r="DZ84" s="711"/>
      <c r="EA84" s="711"/>
      <c r="EB84" s="711"/>
      <c r="EC84" s="711"/>
      <c r="ED84" s="711"/>
      <c r="EE84" s="711"/>
      <c r="EF84" s="711"/>
      <c r="EG84" s="711"/>
      <c r="EH84" s="711"/>
      <c r="EI84" s="711"/>
      <c r="EJ84" s="711"/>
      <c r="EK84" s="711"/>
      <c r="EL84" s="711"/>
      <c r="EM84" s="711"/>
      <c r="EN84" s="711"/>
      <c r="EO84" s="711"/>
      <c r="EP84" s="711"/>
      <c r="EQ84" s="711"/>
      <c r="ER84" s="711"/>
      <c r="ES84" s="711"/>
      <c r="ET84" s="711"/>
      <c r="EU84" s="711"/>
      <c r="EV84" s="711"/>
      <c r="EW84" s="711"/>
      <c r="EX84" s="711"/>
      <c r="EY84" s="711"/>
      <c r="EZ84" s="711"/>
      <c r="FA84" s="711"/>
      <c r="FB84" s="711"/>
      <c r="FC84" s="711"/>
      <c r="FD84" s="711"/>
      <c r="FE84" s="711"/>
      <c r="FF84" s="711"/>
      <c r="FG84" s="711"/>
      <c r="FH84" s="711"/>
      <c r="FI84" s="711"/>
      <c r="FJ84" s="711"/>
      <c r="FK84" s="711"/>
      <c r="FL84" s="711"/>
      <c r="FM84" s="711"/>
      <c r="FN84" s="711"/>
      <c r="FO84" s="711"/>
      <c r="FP84" s="711"/>
      <c r="FQ84" s="711"/>
      <c r="FR84" s="711"/>
      <c r="FS84" s="711"/>
      <c r="FT84" s="711"/>
      <c r="FU84" s="711"/>
      <c r="FV84" s="711"/>
      <c r="FW84" s="711"/>
      <c r="FX84" s="711"/>
      <c r="FY84" s="711"/>
      <c r="FZ84" s="711"/>
      <c r="GA84" s="711"/>
      <c r="GB84" s="711"/>
      <c r="GC84" s="711"/>
      <c r="GD84" s="711"/>
      <c r="GE84" s="711"/>
      <c r="GF84" s="711"/>
      <c r="GG84" s="711"/>
      <c r="GH84" s="711"/>
      <c r="GI84" s="711"/>
      <c r="GJ84" s="711"/>
      <c r="GK84" s="711"/>
      <c r="GL84" s="711"/>
      <c r="GM84" s="711"/>
      <c r="GN84" s="711"/>
      <c r="GO84" s="711"/>
      <c r="GP84" s="711"/>
      <c r="GQ84" s="711"/>
      <c r="GR84" s="711"/>
      <c r="GS84" s="711"/>
      <c r="GT84" s="711"/>
      <c r="GU84" s="711"/>
      <c r="GV84" s="711"/>
      <c r="GW84" s="711"/>
      <c r="GX84" s="711"/>
      <c r="GY84" s="711"/>
      <c r="GZ84" s="711"/>
      <c r="HA84" s="711"/>
      <c r="HB84" s="711"/>
      <c r="HC84" s="711"/>
      <c r="HD84" s="711"/>
      <c r="HE84" s="711"/>
      <c r="HF84" s="711"/>
      <c r="HG84" s="711"/>
      <c r="HH84" s="711"/>
      <c r="HI84" s="711"/>
      <c r="HJ84" s="711"/>
      <c r="HK84" s="711"/>
      <c r="HL84" s="711"/>
      <c r="HM84" s="711"/>
      <c r="HN84" s="711"/>
      <c r="HO84" s="711"/>
      <c r="HP84" s="711"/>
      <c r="HQ84" s="711"/>
      <c r="HR84" s="711"/>
      <c r="HS84" s="711"/>
      <c r="HT84" s="711"/>
      <c r="HU84" s="711"/>
      <c r="HV84" s="711"/>
      <c r="HW84" s="711"/>
      <c r="HX84" s="711"/>
      <c r="HY84" s="711"/>
      <c r="HZ84" s="711"/>
      <c r="IA84" s="711"/>
      <c r="IB84" s="711"/>
      <c r="IC84" s="711"/>
      <c r="ID84" s="711"/>
      <c r="IE84" s="711"/>
      <c r="IF84" s="711"/>
      <c r="IG84" s="711"/>
      <c r="IH84" s="711"/>
      <c r="II84" s="711"/>
      <c r="IJ84" s="711"/>
      <c r="IK84" s="711"/>
      <c r="IL84" s="711"/>
      <c r="IM84" s="711"/>
      <c r="IN84" s="711"/>
      <c r="IO84" s="711"/>
      <c r="IP84" s="711"/>
      <c r="IQ84" s="711"/>
      <c r="IR84" s="711"/>
      <c r="IS84" s="711"/>
      <c r="IT84" s="711"/>
      <c r="IU84" s="711"/>
      <c r="IV84" s="711"/>
    </row>
    <row r="85" spans="1:256" ht="12.75" hidden="1" customHeight="1">
      <c r="A85" s="710"/>
      <c r="B85" s="690"/>
      <c r="C85" s="708"/>
      <c r="D85" s="691"/>
      <c r="E85" s="708"/>
      <c r="F85" s="690"/>
      <c r="G85" s="708"/>
      <c r="H85" s="708"/>
      <c r="I85" s="695"/>
      <c r="J85" s="690"/>
      <c r="K85" s="708"/>
      <c r="L85" s="693"/>
      <c r="M85" s="711"/>
      <c r="N85" s="711"/>
      <c r="O85" s="711"/>
      <c r="P85" s="711"/>
      <c r="Q85" s="711"/>
      <c r="R85" s="711"/>
      <c r="S85" s="711"/>
      <c r="T85" s="711"/>
      <c r="U85" s="711"/>
      <c r="V85" s="711"/>
      <c r="W85" s="711"/>
      <c r="X85" s="711"/>
      <c r="Y85" s="711"/>
      <c r="Z85" s="711"/>
      <c r="AA85" s="711"/>
      <c r="AB85" s="711"/>
      <c r="AC85" s="711"/>
      <c r="AD85" s="711"/>
      <c r="AE85" s="711"/>
      <c r="AF85" s="711"/>
      <c r="AG85" s="711"/>
      <c r="AH85" s="711"/>
      <c r="AI85" s="711"/>
      <c r="AJ85" s="711"/>
      <c r="AK85" s="711"/>
      <c r="AL85" s="711"/>
      <c r="AM85" s="711"/>
      <c r="AN85" s="711"/>
      <c r="AO85" s="711"/>
      <c r="AP85" s="711"/>
      <c r="AQ85" s="711"/>
      <c r="AR85" s="711"/>
      <c r="AS85" s="711"/>
      <c r="AT85" s="711"/>
      <c r="AU85" s="711"/>
      <c r="AV85" s="711"/>
      <c r="AW85" s="711"/>
      <c r="AX85" s="711"/>
      <c r="AY85" s="711"/>
      <c r="AZ85" s="711"/>
      <c r="BA85" s="711"/>
      <c r="BB85" s="711"/>
      <c r="BC85" s="711"/>
      <c r="BD85" s="711"/>
      <c r="BE85" s="711"/>
      <c r="BF85" s="711"/>
      <c r="BG85" s="711"/>
      <c r="BH85" s="711"/>
      <c r="BI85" s="711"/>
      <c r="BJ85" s="711"/>
      <c r="BK85" s="711"/>
      <c r="BL85" s="711"/>
      <c r="BM85" s="711"/>
      <c r="BN85" s="711"/>
      <c r="BO85" s="711"/>
      <c r="BP85" s="711"/>
      <c r="BQ85" s="711"/>
      <c r="BR85" s="711"/>
      <c r="BS85" s="711"/>
      <c r="BT85" s="711"/>
      <c r="BU85" s="711"/>
      <c r="BV85" s="711"/>
      <c r="BW85" s="711"/>
      <c r="BX85" s="711"/>
      <c r="BY85" s="711"/>
      <c r="BZ85" s="711"/>
      <c r="CA85" s="711"/>
      <c r="CB85" s="711"/>
      <c r="CC85" s="711"/>
      <c r="CD85" s="711"/>
      <c r="CE85" s="711"/>
      <c r="CF85" s="711"/>
      <c r="CG85" s="711"/>
      <c r="CH85" s="711"/>
      <c r="CI85" s="711"/>
      <c r="CJ85" s="711"/>
      <c r="CK85" s="711"/>
      <c r="CL85" s="711"/>
      <c r="CM85" s="711"/>
      <c r="CN85" s="711"/>
      <c r="CO85" s="711"/>
      <c r="CP85" s="711"/>
      <c r="CQ85" s="711"/>
      <c r="CR85" s="711"/>
      <c r="CS85" s="711"/>
      <c r="CT85" s="711"/>
      <c r="CU85" s="711"/>
      <c r="CV85" s="711"/>
      <c r="CW85" s="711"/>
      <c r="CX85" s="711"/>
      <c r="CY85" s="711"/>
      <c r="CZ85" s="711"/>
      <c r="DA85" s="711"/>
      <c r="DB85" s="711"/>
      <c r="DC85" s="711"/>
      <c r="DD85" s="711"/>
      <c r="DE85" s="711"/>
      <c r="DF85" s="711"/>
      <c r="DG85" s="711"/>
      <c r="DH85" s="711"/>
      <c r="DI85" s="711"/>
      <c r="DJ85" s="711"/>
      <c r="DK85" s="711"/>
      <c r="DL85" s="711"/>
      <c r="DM85" s="711"/>
      <c r="DN85" s="711"/>
      <c r="DO85" s="711"/>
      <c r="DP85" s="711"/>
      <c r="DQ85" s="711"/>
      <c r="DR85" s="711"/>
      <c r="DS85" s="711"/>
      <c r="DT85" s="711"/>
      <c r="DU85" s="711"/>
      <c r="DV85" s="711"/>
      <c r="DW85" s="711"/>
      <c r="DX85" s="711"/>
      <c r="DY85" s="711"/>
      <c r="DZ85" s="711"/>
      <c r="EA85" s="711"/>
      <c r="EB85" s="711"/>
      <c r="EC85" s="711"/>
      <c r="ED85" s="711"/>
      <c r="EE85" s="711"/>
      <c r="EF85" s="711"/>
      <c r="EG85" s="711"/>
      <c r="EH85" s="711"/>
      <c r="EI85" s="711"/>
      <c r="EJ85" s="711"/>
      <c r="EK85" s="711"/>
      <c r="EL85" s="711"/>
      <c r="EM85" s="711"/>
      <c r="EN85" s="711"/>
      <c r="EO85" s="711"/>
      <c r="EP85" s="711"/>
      <c r="EQ85" s="711"/>
      <c r="ER85" s="711"/>
      <c r="ES85" s="711"/>
      <c r="ET85" s="711"/>
      <c r="EU85" s="711"/>
      <c r="EV85" s="711"/>
      <c r="EW85" s="711"/>
      <c r="EX85" s="711"/>
      <c r="EY85" s="711"/>
      <c r="EZ85" s="711"/>
      <c r="FA85" s="711"/>
      <c r="FB85" s="711"/>
      <c r="FC85" s="711"/>
      <c r="FD85" s="711"/>
      <c r="FE85" s="711"/>
      <c r="FF85" s="711"/>
      <c r="FG85" s="711"/>
      <c r="FH85" s="711"/>
      <c r="FI85" s="711"/>
      <c r="FJ85" s="711"/>
      <c r="FK85" s="711"/>
      <c r="FL85" s="711"/>
      <c r="FM85" s="711"/>
      <c r="FN85" s="711"/>
      <c r="FO85" s="711"/>
      <c r="FP85" s="711"/>
      <c r="FQ85" s="711"/>
      <c r="FR85" s="711"/>
      <c r="FS85" s="711"/>
      <c r="FT85" s="711"/>
      <c r="FU85" s="711"/>
      <c r="FV85" s="711"/>
      <c r="FW85" s="711"/>
      <c r="FX85" s="711"/>
      <c r="FY85" s="711"/>
      <c r="FZ85" s="711"/>
      <c r="GA85" s="711"/>
      <c r="GB85" s="711"/>
      <c r="GC85" s="711"/>
      <c r="GD85" s="711"/>
      <c r="GE85" s="711"/>
      <c r="GF85" s="711"/>
      <c r="GG85" s="711"/>
      <c r="GH85" s="711"/>
      <c r="GI85" s="711"/>
      <c r="GJ85" s="711"/>
      <c r="GK85" s="711"/>
      <c r="GL85" s="711"/>
      <c r="GM85" s="711"/>
      <c r="GN85" s="711"/>
      <c r="GO85" s="711"/>
      <c r="GP85" s="711"/>
      <c r="GQ85" s="711"/>
      <c r="GR85" s="711"/>
      <c r="GS85" s="711"/>
      <c r="GT85" s="711"/>
      <c r="GU85" s="711"/>
      <c r="GV85" s="711"/>
      <c r="GW85" s="711"/>
      <c r="GX85" s="711"/>
      <c r="GY85" s="711"/>
      <c r="GZ85" s="711"/>
      <c r="HA85" s="711"/>
      <c r="HB85" s="711"/>
      <c r="HC85" s="711"/>
      <c r="HD85" s="711"/>
      <c r="HE85" s="711"/>
      <c r="HF85" s="711"/>
      <c r="HG85" s="711"/>
      <c r="HH85" s="711"/>
      <c r="HI85" s="711"/>
      <c r="HJ85" s="711"/>
      <c r="HK85" s="711"/>
      <c r="HL85" s="711"/>
      <c r="HM85" s="711"/>
      <c r="HN85" s="711"/>
      <c r="HO85" s="711"/>
      <c r="HP85" s="711"/>
      <c r="HQ85" s="711"/>
      <c r="HR85" s="711"/>
      <c r="HS85" s="711"/>
      <c r="HT85" s="711"/>
      <c r="HU85" s="711"/>
      <c r="HV85" s="711"/>
      <c r="HW85" s="711"/>
      <c r="HX85" s="711"/>
      <c r="HY85" s="711"/>
      <c r="HZ85" s="711"/>
      <c r="IA85" s="711"/>
      <c r="IB85" s="711"/>
      <c r="IC85" s="711"/>
      <c r="ID85" s="711"/>
      <c r="IE85" s="711"/>
      <c r="IF85" s="711"/>
      <c r="IG85" s="711"/>
      <c r="IH85" s="711"/>
      <c r="II85" s="711"/>
      <c r="IJ85" s="711"/>
      <c r="IK85" s="711"/>
      <c r="IL85" s="711"/>
      <c r="IM85" s="711"/>
      <c r="IN85" s="711"/>
      <c r="IO85" s="711"/>
      <c r="IP85" s="711"/>
      <c r="IQ85" s="711"/>
      <c r="IR85" s="711"/>
      <c r="IS85" s="711"/>
      <c r="IT85" s="711"/>
      <c r="IU85" s="711"/>
      <c r="IV85" s="711"/>
    </row>
    <row r="86" spans="1:256" ht="12.75" hidden="1" customHeight="1">
      <c r="A86" s="708" t="s">
        <v>345</v>
      </c>
      <c r="B86" s="708">
        <f>29358.7+1</f>
        <v>29359.7</v>
      </c>
      <c r="C86" s="708">
        <v>42013.4</v>
      </c>
      <c r="D86" s="691"/>
      <c r="E86" s="708">
        <f t="shared" ref="E86:E97" si="9">B86-C86</f>
        <v>-12653.7</v>
      </c>
      <c r="F86" s="690">
        <v>5496.1</v>
      </c>
      <c r="G86" s="708">
        <v>7177</v>
      </c>
      <c r="H86" s="708">
        <f t="shared" ref="H86:H97" si="10">G86+F86</f>
        <v>12673.1</v>
      </c>
      <c r="I86" s="695"/>
      <c r="J86" s="690">
        <v>-19.399999999999999</v>
      </c>
      <c r="K86" s="708">
        <f t="shared" ref="K86:K97" si="11">J86+H86</f>
        <v>12653.7</v>
      </c>
      <c r="L86" s="693"/>
      <c r="M86" s="711"/>
      <c r="N86" s="711"/>
      <c r="O86" s="711"/>
      <c r="P86" s="711"/>
      <c r="Q86" s="711"/>
      <c r="R86" s="711"/>
      <c r="S86" s="711"/>
      <c r="T86" s="711"/>
      <c r="U86" s="711"/>
      <c r="V86" s="711"/>
      <c r="W86" s="711"/>
      <c r="X86" s="711"/>
      <c r="Y86" s="711"/>
      <c r="Z86" s="711"/>
      <c r="AA86" s="711"/>
      <c r="AB86" s="711"/>
      <c r="AC86" s="711"/>
      <c r="AD86" s="711"/>
      <c r="AE86" s="711"/>
      <c r="AF86" s="711"/>
      <c r="AG86" s="711"/>
      <c r="AH86" s="711"/>
      <c r="AI86" s="711"/>
      <c r="AJ86" s="711"/>
      <c r="AK86" s="711"/>
      <c r="AL86" s="711"/>
      <c r="AM86" s="711"/>
      <c r="AN86" s="711"/>
      <c r="AO86" s="711"/>
      <c r="AP86" s="711"/>
      <c r="AQ86" s="711"/>
      <c r="AR86" s="711"/>
      <c r="AS86" s="711"/>
      <c r="AT86" s="711"/>
      <c r="AU86" s="711"/>
      <c r="AV86" s="711"/>
      <c r="AW86" s="711"/>
      <c r="AX86" s="711"/>
      <c r="AY86" s="711"/>
      <c r="AZ86" s="711"/>
      <c r="BA86" s="711"/>
      <c r="BB86" s="711"/>
      <c r="BC86" s="711"/>
      <c r="BD86" s="711"/>
      <c r="BE86" s="711"/>
      <c r="BF86" s="711"/>
      <c r="BG86" s="711"/>
      <c r="BH86" s="711"/>
      <c r="BI86" s="711"/>
      <c r="BJ86" s="711"/>
      <c r="BK86" s="711"/>
      <c r="BL86" s="711"/>
      <c r="BM86" s="711"/>
      <c r="BN86" s="711"/>
      <c r="BO86" s="711"/>
      <c r="BP86" s="711"/>
      <c r="BQ86" s="711"/>
      <c r="BR86" s="711"/>
      <c r="BS86" s="711"/>
      <c r="BT86" s="711"/>
      <c r="BU86" s="711"/>
      <c r="BV86" s="711"/>
      <c r="BW86" s="711"/>
      <c r="BX86" s="711"/>
      <c r="BY86" s="711"/>
      <c r="BZ86" s="711"/>
      <c r="CA86" s="711"/>
      <c r="CB86" s="711"/>
      <c r="CC86" s="711"/>
      <c r="CD86" s="711"/>
      <c r="CE86" s="711"/>
      <c r="CF86" s="711"/>
      <c r="CG86" s="711"/>
      <c r="CH86" s="711"/>
      <c r="CI86" s="711"/>
      <c r="CJ86" s="711"/>
      <c r="CK86" s="711"/>
      <c r="CL86" s="711"/>
      <c r="CM86" s="711"/>
      <c r="CN86" s="711"/>
      <c r="CO86" s="711"/>
      <c r="CP86" s="711"/>
      <c r="CQ86" s="711"/>
      <c r="CR86" s="711"/>
      <c r="CS86" s="711"/>
      <c r="CT86" s="711"/>
      <c r="CU86" s="711"/>
      <c r="CV86" s="711"/>
      <c r="CW86" s="711"/>
      <c r="CX86" s="711"/>
      <c r="CY86" s="711"/>
      <c r="CZ86" s="711"/>
      <c r="DA86" s="711"/>
      <c r="DB86" s="711"/>
      <c r="DC86" s="711"/>
      <c r="DD86" s="711"/>
      <c r="DE86" s="711"/>
      <c r="DF86" s="711"/>
      <c r="DG86" s="711"/>
      <c r="DH86" s="711"/>
      <c r="DI86" s="711"/>
      <c r="DJ86" s="711"/>
      <c r="DK86" s="711"/>
      <c r="DL86" s="711"/>
      <c r="DM86" s="711"/>
      <c r="DN86" s="711"/>
      <c r="DO86" s="711"/>
      <c r="DP86" s="711"/>
      <c r="DQ86" s="711"/>
      <c r="DR86" s="711"/>
      <c r="DS86" s="711"/>
      <c r="DT86" s="711"/>
      <c r="DU86" s="711"/>
      <c r="DV86" s="711"/>
      <c r="DW86" s="711"/>
      <c r="DX86" s="711"/>
      <c r="DY86" s="711"/>
      <c r="DZ86" s="711"/>
      <c r="EA86" s="711"/>
      <c r="EB86" s="711"/>
      <c r="EC86" s="711"/>
      <c r="ED86" s="711"/>
      <c r="EE86" s="711"/>
      <c r="EF86" s="711"/>
      <c r="EG86" s="711"/>
      <c r="EH86" s="711"/>
      <c r="EI86" s="711"/>
      <c r="EJ86" s="711"/>
      <c r="EK86" s="711"/>
      <c r="EL86" s="711"/>
      <c r="EM86" s="711"/>
      <c r="EN86" s="711"/>
      <c r="EO86" s="711"/>
      <c r="EP86" s="711"/>
      <c r="EQ86" s="711"/>
      <c r="ER86" s="711"/>
      <c r="ES86" s="711"/>
      <c r="ET86" s="711"/>
      <c r="EU86" s="711"/>
      <c r="EV86" s="711"/>
      <c r="EW86" s="711"/>
      <c r="EX86" s="711"/>
      <c r="EY86" s="711"/>
      <c r="EZ86" s="711"/>
      <c r="FA86" s="711"/>
      <c r="FB86" s="711"/>
      <c r="FC86" s="711"/>
      <c r="FD86" s="711"/>
      <c r="FE86" s="711"/>
      <c r="FF86" s="711"/>
      <c r="FG86" s="711"/>
      <c r="FH86" s="711"/>
      <c r="FI86" s="711"/>
      <c r="FJ86" s="711"/>
      <c r="FK86" s="711"/>
      <c r="FL86" s="711"/>
      <c r="FM86" s="711"/>
      <c r="FN86" s="711"/>
      <c r="FO86" s="711"/>
      <c r="FP86" s="711"/>
      <c r="FQ86" s="711"/>
      <c r="FR86" s="711"/>
      <c r="FS86" s="711"/>
      <c r="FT86" s="711"/>
      <c r="FU86" s="711"/>
      <c r="FV86" s="711"/>
      <c r="FW86" s="711"/>
      <c r="FX86" s="711"/>
      <c r="FY86" s="711"/>
      <c r="FZ86" s="711"/>
      <c r="GA86" s="711"/>
      <c r="GB86" s="711"/>
      <c r="GC86" s="711"/>
      <c r="GD86" s="711"/>
      <c r="GE86" s="711"/>
      <c r="GF86" s="711"/>
      <c r="GG86" s="711"/>
      <c r="GH86" s="711"/>
      <c r="GI86" s="711"/>
      <c r="GJ86" s="711"/>
      <c r="GK86" s="711"/>
      <c r="GL86" s="711"/>
      <c r="GM86" s="711"/>
      <c r="GN86" s="711"/>
      <c r="GO86" s="711"/>
      <c r="GP86" s="711"/>
      <c r="GQ86" s="711"/>
      <c r="GR86" s="711"/>
      <c r="GS86" s="711"/>
      <c r="GT86" s="711"/>
      <c r="GU86" s="711"/>
      <c r="GV86" s="711"/>
      <c r="GW86" s="711"/>
      <c r="GX86" s="711"/>
      <c r="GY86" s="711"/>
      <c r="GZ86" s="711"/>
      <c r="HA86" s="711"/>
      <c r="HB86" s="711"/>
      <c r="HC86" s="711"/>
      <c r="HD86" s="711"/>
      <c r="HE86" s="711"/>
      <c r="HF86" s="711"/>
      <c r="HG86" s="711"/>
      <c r="HH86" s="711"/>
      <c r="HI86" s="711"/>
      <c r="HJ86" s="711"/>
      <c r="HK86" s="711"/>
      <c r="HL86" s="711"/>
      <c r="HM86" s="711"/>
      <c r="HN86" s="711"/>
      <c r="HO86" s="711"/>
      <c r="HP86" s="711"/>
      <c r="HQ86" s="711"/>
      <c r="HR86" s="711"/>
      <c r="HS86" s="711"/>
      <c r="HT86" s="711"/>
      <c r="HU86" s="711"/>
      <c r="HV86" s="711"/>
      <c r="HW86" s="711"/>
      <c r="HX86" s="711"/>
      <c r="HY86" s="711"/>
      <c r="HZ86" s="711"/>
      <c r="IA86" s="711"/>
      <c r="IB86" s="711"/>
      <c r="IC86" s="711"/>
      <c r="ID86" s="711"/>
      <c r="IE86" s="711"/>
      <c r="IF86" s="711"/>
      <c r="IG86" s="711"/>
      <c r="IH86" s="711"/>
      <c r="II86" s="711"/>
      <c r="IJ86" s="711"/>
      <c r="IK86" s="711"/>
      <c r="IL86" s="711"/>
      <c r="IM86" s="711"/>
      <c r="IN86" s="711"/>
      <c r="IO86" s="711"/>
      <c r="IP86" s="711"/>
      <c r="IQ86" s="711"/>
      <c r="IR86" s="711"/>
      <c r="IS86" s="711"/>
      <c r="IT86" s="711"/>
      <c r="IU86" s="711"/>
      <c r="IV86" s="711"/>
    </row>
    <row r="87" spans="1:256" ht="12.75" hidden="1" customHeight="1">
      <c r="A87" s="708" t="s">
        <v>334</v>
      </c>
      <c r="B87" s="708">
        <f>48772.5+8.3</f>
        <v>48780.800000000003</v>
      </c>
      <c r="C87" s="708">
        <v>74993.399999999994</v>
      </c>
      <c r="D87" s="691"/>
      <c r="E87" s="708">
        <f t="shared" si="9"/>
        <v>-26212.599999999991</v>
      </c>
      <c r="F87" s="690">
        <v>26668.2</v>
      </c>
      <c r="G87" s="708">
        <v>-462.9</v>
      </c>
      <c r="H87" s="708">
        <f t="shared" si="10"/>
        <v>26205.3</v>
      </c>
      <c r="I87" s="695"/>
      <c r="J87" s="690">
        <v>7.3</v>
      </c>
      <c r="K87" s="708">
        <f t="shared" si="11"/>
        <v>26212.6</v>
      </c>
      <c r="L87" s="693"/>
      <c r="M87" s="711"/>
      <c r="N87" s="711"/>
      <c r="O87" s="711"/>
      <c r="P87" s="711"/>
      <c r="Q87" s="711"/>
      <c r="R87" s="711"/>
      <c r="S87" s="711"/>
      <c r="T87" s="711"/>
      <c r="U87" s="711"/>
      <c r="V87" s="711"/>
      <c r="W87" s="711"/>
      <c r="X87" s="711"/>
      <c r="Y87" s="711"/>
      <c r="Z87" s="711"/>
      <c r="AA87" s="711"/>
      <c r="AB87" s="711"/>
      <c r="AC87" s="711"/>
      <c r="AD87" s="711"/>
      <c r="AE87" s="711"/>
      <c r="AF87" s="711"/>
      <c r="AG87" s="711"/>
      <c r="AH87" s="711"/>
      <c r="AI87" s="711"/>
      <c r="AJ87" s="711"/>
      <c r="AK87" s="711"/>
      <c r="AL87" s="711"/>
      <c r="AM87" s="711"/>
      <c r="AN87" s="711"/>
      <c r="AO87" s="711"/>
      <c r="AP87" s="711"/>
      <c r="AQ87" s="711"/>
      <c r="AR87" s="711"/>
      <c r="AS87" s="711"/>
      <c r="AT87" s="711"/>
      <c r="AU87" s="711"/>
      <c r="AV87" s="711"/>
      <c r="AW87" s="711"/>
      <c r="AX87" s="711"/>
      <c r="AY87" s="711"/>
      <c r="AZ87" s="711"/>
      <c r="BA87" s="711"/>
      <c r="BB87" s="711"/>
      <c r="BC87" s="711"/>
      <c r="BD87" s="711"/>
      <c r="BE87" s="711"/>
      <c r="BF87" s="711"/>
      <c r="BG87" s="711"/>
      <c r="BH87" s="711"/>
      <c r="BI87" s="711"/>
      <c r="BJ87" s="711"/>
      <c r="BK87" s="711"/>
      <c r="BL87" s="711"/>
      <c r="BM87" s="711"/>
      <c r="BN87" s="711"/>
      <c r="BO87" s="711"/>
      <c r="BP87" s="711"/>
      <c r="BQ87" s="711"/>
      <c r="BR87" s="711"/>
      <c r="BS87" s="711"/>
      <c r="BT87" s="711"/>
      <c r="BU87" s="711"/>
      <c r="BV87" s="711"/>
      <c r="BW87" s="711"/>
      <c r="BX87" s="711"/>
      <c r="BY87" s="711"/>
      <c r="BZ87" s="711"/>
      <c r="CA87" s="711"/>
      <c r="CB87" s="711"/>
      <c r="CC87" s="711"/>
      <c r="CD87" s="711"/>
      <c r="CE87" s="711"/>
      <c r="CF87" s="711"/>
      <c r="CG87" s="711"/>
      <c r="CH87" s="711"/>
      <c r="CI87" s="711"/>
      <c r="CJ87" s="711"/>
      <c r="CK87" s="711"/>
      <c r="CL87" s="711"/>
      <c r="CM87" s="711"/>
      <c r="CN87" s="711"/>
      <c r="CO87" s="711"/>
      <c r="CP87" s="711"/>
      <c r="CQ87" s="711"/>
      <c r="CR87" s="711"/>
      <c r="CS87" s="711"/>
      <c r="CT87" s="711"/>
      <c r="CU87" s="711"/>
      <c r="CV87" s="711"/>
      <c r="CW87" s="711"/>
      <c r="CX87" s="711"/>
      <c r="CY87" s="711"/>
      <c r="CZ87" s="711"/>
      <c r="DA87" s="711"/>
      <c r="DB87" s="711"/>
      <c r="DC87" s="711"/>
      <c r="DD87" s="711"/>
      <c r="DE87" s="711"/>
      <c r="DF87" s="711"/>
      <c r="DG87" s="711"/>
      <c r="DH87" s="711"/>
      <c r="DI87" s="711"/>
      <c r="DJ87" s="711"/>
      <c r="DK87" s="711"/>
      <c r="DL87" s="711"/>
      <c r="DM87" s="711"/>
      <c r="DN87" s="711"/>
      <c r="DO87" s="711"/>
      <c r="DP87" s="711"/>
      <c r="DQ87" s="711"/>
      <c r="DR87" s="711"/>
      <c r="DS87" s="711"/>
      <c r="DT87" s="711"/>
      <c r="DU87" s="711"/>
      <c r="DV87" s="711"/>
      <c r="DW87" s="711"/>
      <c r="DX87" s="711"/>
      <c r="DY87" s="711"/>
      <c r="DZ87" s="711"/>
      <c r="EA87" s="711"/>
      <c r="EB87" s="711"/>
      <c r="EC87" s="711"/>
      <c r="ED87" s="711"/>
      <c r="EE87" s="711"/>
      <c r="EF87" s="711"/>
      <c r="EG87" s="711"/>
      <c r="EH87" s="711"/>
      <c r="EI87" s="711"/>
      <c r="EJ87" s="711"/>
      <c r="EK87" s="711"/>
      <c r="EL87" s="711"/>
      <c r="EM87" s="711"/>
      <c r="EN87" s="711"/>
      <c r="EO87" s="711"/>
      <c r="EP87" s="711"/>
      <c r="EQ87" s="711"/>
      <c r="ER87" s="711"/>
      <c r="ES87" s="711"/>
      <c r="ET87" s="711"/>
      <c r="EU87" s="711"/>
      <c r="EV87" s="711"/>
      <c r="EW87" s="711"/>
      <c r="EX87" s="711"/>
      <c r="EY87" s="711"/>
      <c r="EZ87" s="711"/>
      <c r="FA87" s="711"/>
      <c r="FB87" s="711"/>
      <c r="FC87" s="711"/>
      <c r="FD87" s="711"/>
      <c r="FE87" s="711"/>
      <c r="FF87" s="711"/>
      <c r="FG87" s="711"/>
      <c r="FH87" s="711"/>
      <c r="FI87" s="711"/>
      <c r="FJ87" s="711"/>
      <c r="FK87" s="711"/>
      <c r="FL87" s="711"/>
      <c r="FM87" s="711"/>
      <c r="FN87" s="711"/>
      <c r="FO87" s="711"/>
      <c r="FP87" s="711"/>
      <c r="FQ87" s="711"/>
      <c r="FR87" s="711"/>
      <c r="FS87" s="711"/>
      <c r="FT87" s="711"/>
      <c r="FU87" s="711"/>
      <c r="FV87" s="711"/>
      <c r="FW87" s="711"/>
      <c r="FX87" s="711"/>
      <c r="FY87" s="711"/>
      <c r="FZ87" s="711"/>
      <c r="GA87" s="711"/>
      <c r="GB87" s="711"/>
      <c r="GC87" s="711"/>
      <c r="GD87" s="711"/>
      <c r="GE87" s="711"/>
      <c r="GF87" s="711"/>
      <c r="GG87" s="711"/>
      <c r="GH87" s="711"/>
      <c r="GI87" s="711"/>
      <c r="GJ87" s="711"/>
      <c r="GK87" s="711"/>
      <c r="GL87" s="711"/>
      <c r="GM87" s="711"/>
      <c r="GN87" s="711"/>
      <c r="GO87" s="711"/>
      <c r="GP87" s="711"/>
      <c r="GQ87" s="711"/>
      <c r="GR87" s="711"/>
      <c r="GS87" s="711"/>
      <c r="GT87" s="711"/>
      <c r="GU87" s="711"/>
      <c r="GV87" s="711"/>
      <c r="GW87" s="711"/>
      <c r="GX87" s="711"/>
      <c r="GY87" s="711"/>
      <c r="GZ87" s="711"/>
      <c r="HA87" s="711"/>
      <c r="HB87" s="711"/>
      <c r="HC87" s="711"/>
      <c r="HD87" s="711"/>
      <c r="HE87" s="711"/>
      <c r="HF87" s="711"/>
      <c r="HG87" s="711"/>
      <c r="HH87" s="711"/>
      <c r="HI87" s="711"/>
      <c r="HJ87" s="711"/>
      <c r="HK87" s="711"/>
      <c r="HL87" s="711"/>
      <c r="HM87" s="711"/>
      <c r="HN87" s="711"/>
      <c r="HO87" s="711"/>
      <c r="HP87" s="711"/>
      <c r="HQ87" s="711"/>
      <c r="HR87" s="711"/>
      <c r="HS87" s="711"/>
      <c r="HT87" s="711"/>
      <c r="HU87" s="711"/>
      <c r="HV87" s="711"/>
      <c r="HW87" s="711"/>
      <c r="HX87" s="711"/>
      <c r="HY87" s="711"/>
      <c r="HZ87" s="711"/>
      <c r="IA87" s="711"/>
      <c r="IB87" s="711"/>
      <c r="IC87" s="711"/>
      <c r="ID87" s="711"/>
      <c r="IE87" s="711"/>
      <c r="IF87" s="711"/>
      <c r="IG87" s="711"/>
      <c r="IH87" s="711"/>
      <c r="II87" s="711"/>
      <c r="IJ87" s="711"/>
      <c r="IK87" s="711"/>
      <c r="IL87" s="711"/>
      <c r="IM87" s="711"/>
      <c r="IN87" s="711"/>
      <c r="IO87" s="711"/>
      <c r="IP87" s="711"/>
      <c r="IQ87" s="711"/>
      <c r="IR87" s="711"/>
      <c r="IS87" s="711"/>
      <c r="IT87" s="711"/>
      <c r="IU87" s="711"/>
      <c r="IV87" s="711"/>
    </row>
    <row r="88" spans="1:256" ht="12.75" hidden="1" customHeight="1">
      <c r="A88" s="708" t="s">
        <v>335</v>
      </c>
      <c r="B88" s="708">
        <v>77702.600000000006</v>
      </c>
      <c r="C88" s="708">
        <v>42092.3</v>
      </c>
      <c r="D88" s="691"/>
      <c r="E88" s="708">
        <f t="shared" si="9"/>
        <v>35610.300000000003</v>
      </c>
      <c r="F88" s="690">
        <v>-36669.599999999999</v>
      </c>
      <c r="G88" s="708">
        <v>621.70000000000005</v>
      </c>
      <c r="H88" s="708">
        <f t="shared" si="10"/>
        <v>-36047.9</v>
      </c>
      <c r="I88" s="695"/>
      <c r="J88" s="690">
        <v>1.4</v>
      </c>
      <c r="K88" s="708">
        <f t="shared" si="11"/>
        <v>-36046.5</v>
      </c>
      <c r="L88" s="693"/>
      <c r="M88" s="711"/>
      <c r="N88" s="711"/>
      <c r="O88" s="711"/>
      <c r="P88" s="711"/>
      <c r="Q88" s="711"/>
      <c r="R88" s="711"/>
      <c r="S88" s="711"/>
      <c r="T88" s="711"/>
      <c r="U88" s="711"/>
      <c r="V88" s="711"/>
      <c r="W88" s="711"/>
      <c r="X88" s="711"/>
      <c r="Y88" s="711"/>
      <c r="Z88" s="711"/>
      <c r="AA88" s="711"/>
      <c r="AB88" s="711"/>
      <c r="AC88" s="711"/>
      <c r="AD88" s="711"/>
      <c r="AE88" s="711"/>
      <c r="AF88" s="711"/>
      <c r="AG88" s="711"/>
      <c r="AH88" s="711"/>
      <c r="AI88" s="711"/>
      <c r="AJ88" s="711"/>
      <c r="AK88" s="711"/>
      <c r="AL88" s="711"/>
      <c r="AM88" s="711"/>
      <c r="AN88" s="711"/>
      <c r="AO88" s="711"/>
      <c r="AP88" s="711"/>
      <c r="AQ88" s="711"/>
      <c r="AR88" s="711"/>
      <c r="AS88" s="711"/>
      <c r="AT88" s="711"/>
      <c r="AU88" s="711"/>
      <c r="AV88" s="711"/>
      <c r="AW88" s="711"/>
      <c r="AX88" s="711"/>
      <c r="AY88" s="711"/>
      <c r="AZ88" s="711"/>
      <c r="BA88" s="711"/>
      <c r="BB88" s="711"/>
      <c r="BC88" s="711"/>
      <c r="BD88" s="711"/>
      <c r="BE88" s="711"/>
      <c r="BF88" s="711"/>
      <c r="BG88" s="711"/>
      <c r="BH88" s="711"/>
      <c r="BI88" s="711"/>
      <c r="BJ88" s="711"/>
      <c r="BK88" s="711"/>
      <c r="BL88" s="711"/>
      <c r="BM88" s="711"/>
      <c r="BN88" s="711"/>
      <c r="BO88" s="711"/>
      <c r="BP88" s="711"/>
      <c r="BQ88" s="711"/>
      <c r="BR88" s="711"/>
      <c r="BS88" s="711"/>
      <c r="BT88" s="711"/>
      <c r="BU88" s="711"/>
      <c r="BV88" s="711"/>
      <c r="BW88" s="711"/>
      <c r="BX88" s="711"/>
      <c r="BY88" s="711"/>
      <c r="BZ88" s="711"/>
      <c r="CA88" s="711"/>
      <c r="CB88" s="711"/>
      <c r="CC88" s="711"/>
      <c r="CD88" s="711"/>
      <c r="CE88" s="711"/>
      <c r="CF88" s="711"/>
      <c r="CG88" s="711"/>
      <c r="CH88" s="711"/>
      <c r="CI88" s="711"/>
      <c r="CJ88" s="711"/>
      <c r="CK88" s="711"/>
      <c r="CL88" s="711"/>
      <c r="CM88" s="711"/>
      <c r="CN88" s="711"/>
      <c r="CO88" s="711"/>
      <c r="CP88" s="711"/>
      <c r="CQ88" s="711"/>
      <c r="CR88" s="711"/>
      <c r="CS88" s="711"/>
      <c r="CT88" s="711"/>
      <c r="CU88" s="711"/>
      <c r="CV88" s="711"/>
      <c r="CW88" s="711"/>
      <c r="CX88" s="711"/>
      <c r="CY88" s="711"/>
      <c r="CZ88" s="711"/>
      <c r="DA88" s="711"/>
      <c r="DB88" s="711"/>
      <c r="DC88" s="711"/>
      <c r="DD88" s="711"/>
      <c r="DE88" s="711"/>
      <c r="DF88" s="711"/>
      <c r="DG88" s="711"/>
      <c r="DH88" s="711"/>
      <c r="DI88" s="711"/>
      <c r="DJ88" s="711"/>
      <c r="DK88" s="711"/>
      <c r="DL88" s="711"/>
      <c r="DM88" s="711"/>
      <c r="DN88" s="711"/>
      <c r="DO88" s="711"/>
      <c r="DP88" s="711"/>
      <c r="DQ88" s="711"/>
      <c r="DR88" s="711"/>
      <c r="DS88" s="711"/>
      <c r="DT88" s="711"/>
      <c r="DU88" s="711"/>
      <c r="DV88" s="711"/>
      <c r="DW88" s="711"/>
      <c r="DX88" s="711"/>
      <c r="DY88" s="711"/>
      <c r="DZ88" s="711"/>
      <c r="EA88" s="711"/>
      <c r="EB88" s="711"/>
      <c r="EC88" s="711"/>
      <c r="ED88" s="711"/>
      <c r="EE88" s="711"/>
      <c r="EF88" s="711"/>
      <c r="EG88" s="711"/>
      <c r="EH88" s="711"/>
      <c r="EI88" s="711"/>
      <c r="EJ88" s="711"/>
      <c r="EK88" s="711"/>
      <c r="EL88" s="711"/>
      <c r="EM88" s="711"/>
      <c r="EN88" s="711"/>
      <c r="EO88" s="711"/>
      <c r="EP88" s="711"/>
      <c r="EQ88" s="711"/>
      <c r="ER88" s="711"/>
      <c r="ES88" s="711"/>
      <c r="ET88" s="711"/>
      <c r="EU88" s="711"/>
      <c r="EV88" s="711"/>
      <c r="EW88" s="711"/>
      <c r="EX88" s="711"/>
      <c r="EY88" s="711"/>
      <c r="EZ88" s="711"/>
      <c r="FA88" s="711"/>
      <c r="FB88" s="711"/>
      <c r="FC88" s="711"/>
      <c r="FD88" s="711"/>
      <c r="FE88" s="711"/>
      <c r="FF88" s="711"/>
      <c r="FG88" s="711"/>
      <c r="FH88" s="711"/>
      <c r="FI88" s="711"/>
      <c r="FJ88" s="711"/>
      <c r="FK88" s="711"/>
      <c r="FL88" s="711"/>
      <c r="FM88" s="711"/>
      <c r="FN88" s="711"/>
      <c r="FO88" s="711"/>
      <c r="FP88" s="711"/>
      <c r="FQ88" s="711"/>
      <c r="FR88" s="711"/>
      <c r="FS88" s="711"/>
      <c r="FT88" s="711"/>
      <c r="FU88" s="711"/>
      <c r="FV88" s="711"/>
      <c r="FW88" s="711"/>
      <c r="FX88" s="711"/>
      <c r="FY88" s="711"/>
      <c r="FZ88" s="711"/>
      <c r="GA88" s="711"/>
      <c r="GB88" s="711"/>
      <c r="GC88" s="711"/>
      <c r="GD88" s="711"/>
      <c r="GE88" s="711"/>
      <c r="GF88" s="711"/>
      <c r="GG88" s="711"/>
      <c r="GH88" s="711"/>
      <c r="GI88" s="711"/>
      <c r="GJ88" s="711"/>
      <c r="GK88" s="711"/>
      <c r="GL88" s="711"/>
      <c r="GM88" s="711"/>
      <c r="GN88" s="711"/>
      <c r="GO88" s="711"/>
      <c r="GP88" s="711"/>
      <c r="GQ88" s="711"/>
      <c r="GR88" s="711"/>
      <c r="GS88" s="711"/>
      <c r="GT88" s="711"/>
      <c r="GU88" s="711"/>
      <c r="GV88" s="711"/>
      <c r="GW88" s="711"/>
      <c r="GX88" s="711"/>
      <c r="GY88" s="711"/>
      <c r="GZ88" s="711"/>
      <c r="HA88" s="711"/>
      <c r="HB88" s="711"/>
      <c r="HC88" s="711"/>
      <c r="HD88" s="711"/>
      <c r="HE88" s="711"/>
      <c r="HF88" s="711"/>
      <c r="HG88" s="711"/>
      <c r="HH88" s="711"/>
      <c r="HI88" s="711"/>
      <c r="HJ88" s="711"/>
      <c r="HK88" s="711"/>
      <c r="HL88" s="711"/>
      <c r="HM88" s="711"/>
      <c r="HN88" s="711"/>
      <c r="HO88" s="711"/>
      <c r="HP88" s="711"/>
      <c r="HQ88" s="711"/>
      <c r="HR88" s="711"/>
      <c r="HS88" s="711"/>
      <c r="HT88" s="711"/>
      <c r="HU88" s="711"/>
      <c r="HV88" s="711"/>
      <c r="HW88" s="711"/>
      <c r="HX88" s="711"/>
      <c r="HY88" s="711"/>
      <c r="HZ88" s="711"/>
      <c r="IA88" s="711"/>
      <c r="IB88" s="711"/>
      <c r="IC88" s="711"/>
      <c r="ID88" s="711"/>
      <c r="IE88" s="711"/>
      <c r="IF88" s="711"/>
      <c r="IG88" s="711"/>
      <c r="IH88" s="711"/>
      <c r="II88" s="711"/>
      <c r="IJ88" s="711"/>
      <c r="IK88" s="711"/>
      <c r="IL88" s="711"/>
      <c r="IM88" s="711"/>
      <c r="IN88" s="711"/>
      <c r="IO88" s="711"/>
      <c r="IP88" s="711"/>
      <c r="IQ88" s="711"/>
      <c r="IR88" s="711"/>
      <c r="IS88" s="711"/>
      <c r="IT88" s="711"/>
      <c r="IU88" s="711"/>
      <c r="IV88" s="711"/>
    </row>
    <row r="89" spans="1:256" ht="12.75" hidden="1" customHeight="1">
      <c r="A89" s="708" t="s">
        <v>336</v>
      </c>
      <c r="B89" s="708">
        <v>52964</v>
      </c>
      <c r="C89" s="708">
        <v>39986.9</v>
      </c>
      <c r="D89" s="691"/>
      <c r="E89" s="708">
        <f t="shared" si="9"/>
        <v>12977.099999999999</v>
      </c>
      <c r="F89" s="690">
        <v>-12577.6</v>
      </c>
      <c r="G89" s="708">
        <v>-404.3</v>
      </c>
      <c r="H89" s="708">
        <f t="shared" si="10"/>
        <v>-12981.9</v>
      </c>
      <c r="I89" s="695"/>
      <c r="J89" s="690">
        <v>4.8</v>
      </c>
      <c r="K89" s="708">
        <f t="shared" si="11"/>
        <v>-12977.1</v>
      </c>
      <c r="L89" s="693"/>
      <c r="M89" s="711"/>
      <c r="N89" s="711"/>
      <c r="O89" s="711"/>
      <c r="P89" s="711"/>
      <c r="Q89" s="711"/>
      <c r="R89" s="711"/>
      <c r="S89" s="711"/>
      <c r="T89" s="711"/>
      <c r="U89" s="711"/>
      <c r="V89" s="711"/>
      <c r="W89" s="711"/>
      <c r="X89" s="711"/>
      <c r="Y89" s="711"/>
      <c r="Z89" s="711"/>
      <c r="AA89" s="711"/>
      <c r="AB89" s="711"/>
      <c r="AC89" s="711"/>
      <c r="AD89" s="711"/>
      <c r="AE89" s="711"/>
      <c r="AF89" s="711"/>
      <c r="AG89" s="711"/>
      <c r="AH89" s="711"/>
      <c r="AI89" s="711"/>
      <c r="AJ89" s="711"/>
      <c r="AK89" s="711"/>
      <c r="AL89" s="711"/>
      <c r="AM89" s="711"/>
      <c r="AN89" s="711"/>
      <c r="AO89" s="711"/>
      <c r="AP89" s="711"/>
      <c r="AQ89" s="711"/>
      <c r="AR89" s="711"/>
      <c r="AS89" s="711"/>
      <c r="AT89" s="711"/>
      <c r="AU89" s="711"/>
      <c r="AV89" s="711"/>
      <c r="AW89" s="711"/>
      <c r="AX89" s="711"/>
      <c r="AY89" s="711"/>
      <c r="AZ89" s="711"/>
      <c r="BA89" s="711"/>
      <c r="BB89" s="711"/>
      <c r="BC89" s="711"/>
      <c r="BD89" s="711"/>
      <c r="BE89" s="711"/>
      <c r="BF89" s="711"/>
      <c r="BG89" s="711"/>
      <c r="BH89" s="711"/>
      <c r="BI89" s="711"/>
      <c r="BJ89" s="711"/>
      <c r="BK89" s="711"/>
      <c r="BL89" s="711"/>
      <c r="BM89" s="711"/>
      <c r="BN89" s="711"/>
      <c r="BO89" s="711"/>
      <c r="BP89" s="711"/>
      <c r="BQ89" s="711"/>
      <c r="BR89" s="711"/>
      <c r="BS89" s="711"/>
      <c r="BT89" s="711"/>
      <c r="BU89" s="711"/>
      <c r="BV89" s="711"/>
      <c r="BW89" s="711"/>
      <c r="BX89" s="711"/>
      <c r="BY89" s="711"/>
      <c r="BZ89" s="711"/>
      <c r="CA89" s="711"/>
      <c r="CB89" s="711"/>
      <c r="CC89" s="711"/>
      <c r="CD89" s="711"/>
      <c r="CE89" s="711"/>
      <c r="CF89" s="711"/>
      <c r="CG89" s="711"/>
      <c r="CH89" s="711"/>
      <c r="CI89" s="711"/>
      <c r="CJ89" s="711"/>
      <c r="CK89" s="711"/>
      <c r="CL89" s="711"/>
      <c r="CM89" s="711"/>
      <c r="CN89" s="711"/>
      <c r="CO89" s="711"/>
      <c r="CP89" s="711"/>
      <c r="CQ89" s="711"/>
      <c r="CR89" s="711"/>
      <c r="CS89" s="711"/>
      <c r="CT89" s="711"/>
      <c r="CU89" s="711"/>
      <c r="CV89" s="711"/>
      <c r="CW89" s="711"/>
      <c r="CX89" s="711"/>
      <c r="CY89" s="711"/>
      <c r="CZ89" s="711"/>
      <c r="DA89" s="711"/>
      <c r="DB89" s="711"/>
      <c r="DC89" s="711"/>
      <c r="DD89" s="711"/>
      <c r="DE89" s="711"/>
      <c r="DF89" s="711"/>
      <c r="DG89" s="711"/>
      <c r="DH89" s="711"/>
      <c r="DI89" s="711"/>
      <c r="DJ89" s="711"/>
      <c r="DK89" s="711"/>
      <c r="DL89" s="711"/>
      <c r="DM89" s="711"/>
      <c r="DN89" s="711"/>
      <c r="DO89" s="711"/>
      <c r="DP89" s="711"/>
      <c r="DQ89" s="711"/>
      <c r="DR89" s="711"/>
      <c r="DS89" s="711"/>
      <c r="DT89" s="711"/>
      <c r="DU89" s="711"/>
      <c r="DV89" s="711"/>
      <c r="DW89" s="711"/>
      <c r="DX89" s="711"/>
      <c r="DY89" s="711"/>
      <c r="DZ89" s="711"/>
      <c r="EA89" s="711"/>
      <c r="EB89" s="711"/>
      <c r="EC89" s="711"/>
      <c r="ED89" s="711"/>
      <c r="EE89" s="711"/>
      <c r="EF89" s="711"/>
      <c r="EG89" s="711"/>
      <c r="EH89" s="711"/>
      <c r="EI89" s="711"/>
      <c r="EJ89" s="711"/>
      <c r="EK89" s="711"/>
      <c r="EL89" s="711"/>
      <c r="EM89" s="711"/>
      <c r="EN89" s="711"/>
      <c r="EO89" s="711"/>
      <c r="EP89" s="711"/>
      <c r="EQ89" s="711"/>
      <c r="ER89" s="711"/>
      <c r="ES89" s="711"/>
      <c r="ET89" s="711"/>
      <c r="EU89" s="711"/>
      <c r="EV89" s="711"/>
      <c r="EW89" s="711"/>
      <c r="EX89" s="711"/>
      <c r="EY89" s="711"/>
      <c r="EZ89" s="711"/>
      <c r="FA89" s="711"/>
      <c r="FB89" s="711"/>
      <c r="FC89" s="711"/>
      <c r="FD89" s="711"/>
      <c r="FE89" s="711"/>
      <c r="FF89" s="711"/>
      <c r="FG89" s="711"/>
      <c r="FH89" s="711"/>
      <c r="FI89" s="711"/>
      <c r="FJ89" s="711"/>
      <c r="FK89" s="711"/>
      <c r="FL89" s="711"/>
      <c r="FM89" s="711"/>
      <c r="FN89" s="711"/>
      <c r="FO89" s="711"/>
      <c r="FP89" s="711"/>
      <c r="FQ89" s="711"/>
      <c r="FR89" s="711"/>
      <c r="FS89" s="711"/>
      <c r="FT89" s="711"/>
      <c r="FU89" s="711"/>
      <c r="FV89" s="711"/>
      <c r="FW89" s="711"/>
      <c r="FX89" s="711"/>
      <c r="FY89" s="711"/>
      <c r="FZ89" s="711"/>
      <c r="GA89" s="711"/>
      <c r="GB89" s="711"/>
      <c r="GC89" s="711"/>
      <c r="GD89" s="711"/>
      <c r="GE89" s="711"/>
      <c r="GF89" s="711"/>
      <c r="GG89" s="711"/>
      <c r="GH89" s="711"/>
      <c r="GI89" s="711"/>
      <c r="GJ89" s="711"/>
      <c r="GK89" s="711"/>
      <c r="GL89" s="711"/>
      <c r="GM89" s="711"/>
      <c r="GN89" s="711"/>
      <c r="GO89" s="711"/>
      <c r="GP89" s="711"/>
      <c r="GQ89" s="711"/>
      <c r="GR89" s="711"/>
      <c r="GS89" s="711"/>
      <c r="GT89" s="711"/>
      <c r="GU89" s="711"/>
      <c r="GV89" s="711"/>
      <c r="GW89" s="711"/>
      <c r="GX89" s="711"/>
      <c r="GY89" s="711"/>
      <c r="GZ89" s="711"/>
      <c r="HA89" s="711"/>
      <c r="HB89" s="711"/>
      <c r="HC89" s="711"/>
      <c r="HD89" s="711"/>
      <c r="HE89" s="711"/>
      <c r="HF89" s="711"/>
      <c r="HG89" s="711"/>
      <c r="HH89" s="711"/>
      <c r="HI89" s="711"/>
      <c r="HJ89" s="711"/>
      <c r="HK89" s="711"/>
      <c r="HL89" s="711"/>
      <c r="HM89" s="711"/>
      <c r="HN89" s="711"/>
      <c r="HO89" s="711"/>
      <c r="HP89" s="711"/>
      <c r="HQ89" s="711"/>
      <c r="HR89" s="711"/>
      <c r="HS89" s="711"/>
      <c r="HT89" s="711"/>
      <c r="HU89" s="711"/>
      <c r="HV89" s="711"/>
      <c r="HW89" s="711"/>
      <c r="HX89" s="711"/>
      <c r="HY89" s="711"/>
      <c r="HZ89" s="711"/>
      <c r="IA89" s="711"/>
      <c r="IB89" s="711"/>
      <c r="IC89" s="711"/>
      <c r="ID89" s="711"/>
      <c r="IE89" s="711"/>
      <c r="IF89" s="711"/>
      <c r="IG89" s="711"/>
      <c r="IH89" s="711"/>
      <c r="II89" s="711"/>
      <c r="IJ89" s="711"/>
      <c r="IK89" s="711"/>
      <c r="IL89" s="711"/>
      <c r="IM89" s="711"/>
      <c r="IN89" s="711"/>
      <c r="IO89" s="711"/>
      <c r="IP89" s="711"/>
      <c r="IQ89" s="711"/>
      <c r="IR89" s="711"/>
      <c r="IS89" s="711"/>
      <c r="IT89" s="711"/>
      <c r="IU89" s="711"/>
      <c r="IV89" s="711"/>
    </row>
    <row r="90" spans="1:256" ht="12.75" hidden="1" customHeight="1">
      <c r="A90" s="708" t="s">
        <v>337</v>
      </c>
      <c r="B90" s="708">
        <v>74629</v>
      </c>
      <c r="C90" s="708">
        <v>133203.70000000001</v>
      </c>
      <c r="D90" s="691"/>
      <c r="E90" s="708">
        <f t="shared" si="9"/>
        <v>-58574.700000000012</v>
      </c>
      <c r="F90" s="690">
        <v>66309.600000000006</v>
      </c>
      <c r="G90" s="708">
        <v>-7739.2</v>
      </c>
      <c r="H90" s="708">
        <f t="shared" si="10"/>
        <v>58570.400000000009</v>
      </c>
      <c r="I90" s="695"/>
      <c r="J90" s="690">
        <v>4.3</v>
      </c>
      <c r="K90" s="708">
        <f t="shared" si="11"/>
        <v>58574.700000000012</v>
      </c>
      <c r="L90" s="693"/>
      <c r="M90" s="711"/>
      <c r="N90" s="711"/>
      <c r="O90" s="711"/>
      <c r="P90" s="711"/>
      <c r="Q90" s="711"/>
      <c r="R90" s="711"/>
      <c r="S90" s="711"/>
      <c r="T90" s="711"/>
      <c r="U90" s="711"/>
      <c r="V90" s="711"/>
      <c r="W90" s="711"/>
      <c r="X90" s="711"/>
      <c r="Y90" s="711"/>
      <c r="Z90" s="711"/>
      <c r="AA90" s="711"/>
      <c r="AB90" s="711"/>
      <c r="AC90" s="711"/>
      <c r="AD90" s="711"/>
      <c r="AE90" s="711"/>
      <c r="AF90" s="711"/>
      <c r="AG90" s="711"/>
      <c r="AH90" s="711"/>
      <c r="AI90" s="711"/>
      <c r="AJ90" s="711"/>
      <c r="AK90" s="711"/>
      <c r="AL90" s="711"/>
      <c r="AM90" s="711"/>
      <c r="AN90" s="711"/>
      <c r="AO90" s="711"/>
      <c r="AP90" s="711"/>
      <c r="AQ90" s="711"/>
      <c r="AR90" s="711"/>
      <c r="AS90" s="711"/>
      <c r="AT90" s="711"/>
      <c r="AU90" s="711"/>
      <c r="AV90" s="711"/>
      <c r="AW90" s="711"/>
      <c r="AX90" s="711"/>
      <c r="AY90" s="711"/>
      <c r="AZ90" s="711"/>
      <c r="BA90" s="711"/>
      <c r="BB90" s="711"/>
      <c r="BC90" s="711"/>
      <c r="BD90" s="711"/>
      <c r="BE90" s="711"/>
      <c r="BF90" s="711"/>
      <c r="BG90" s="711"/>
      <c r="BH90" s="711"/>
      <c r="BI90" s="711"/>
      <c r="BJ90" s="711"/>
      <c r="BK90" s="711"/>
      <c r="BL90" s="711"/>
      <c r="BM90" s="711"/>
      <c r="BN90" s="711"/>
      <c r="BO90" s="711"/>
      <c r="BP90" s="711"/>
      <c r="BQ90" s="711"/>
      <c r="BR90" s="711"/>
      <c r="BS90" s="711"/>
      <c r="BT90" s="711"/>
      <c r="BU90" s="711"/>
      <c r="BV90" s="711"/>
      <c r="BW90" s="711"/>
      <c r="BX90" s="711"/>
      <c r="BY90" s="711"/>
      <c r="BZ90" s="711"/>
      <c r="CA90" s="711"/>
      <c r="CB90" s="711"/>
      <c r="CC90" s="711"/>
      <c r="CD90" s="711"/>
      <c r="CE90" s="711"/>
      <c r="CF90" s="711"/>
      <c r="CG90" s="711"/>
      <c r="CH90" s="711"/>
      <c r="CI90" s="711"/>
      <c r="CJ90" s="711"/>
      <c r="CK90" s="711"/>
      <c r="CL90" s="711"/>
      <c r="CM90" s="711"/>
      <c r="CN90" s="711"/>
      <c r="CO90" s="711"/>
      <c r="CP90" s="711"/>
      <c r="CQ90" s="711"/>
      <c r="CR90" s="711"/>
      <c r="CS90" s="711"/>
      <c r="CT90" s="711"/>
      <c r="CU90" s="711"/>
      <c r="CV90" s="711"/>
      <c r="CW90" s="711"/>
      <c r="CX90" s="711"/>
      <c r="CY90" s="711"/>
      <c r="CZ90" s="711"/>
      <c r="DA90" s="711"/>
      <c r="DB90" s="711"/>
      <c r="DC90" s="711"/>
      <c r="DD90" s="711"/>
      <c r="DE90" s="711"/>
      <c r="DF90" s="711"/>
      <c r="DG90" s="711"/>
      <c r="DH90" s="711"/>
      <c r="DI90" s="711"/>
      <c r="DJ90" s="711"/>
      <c r="DK90" s="711"/>
      <c r="DL90" s="711"/>
      <c r="DM90" s="711"/>
      <c r="DN90" s="711"/>
      <c r="DO90" s="711"/>
      <c r="DP90" s="711"/>
      <c r="DQ90" s="711"/>
      <c r="DR90" s="711"/>
      <c r="DS90" s="711"/>
      <c r="DT90" s="711"/>
      <c r="DU90" s="711"/>
      <c r="DV90" s="711"/>
      <c r="DW90" s="711"/>
      <c r="DX90" s="711"/>
      <c r="DY90" s="711"/>
      <c r="DZ90" s="711"/>
      <c r="EA90" s="711"/>
      <c r="EB90" s="711"/>
      <c r="EC90" s="711"/>
      <c r="ED90" s="711"/>
      <c r="EE90" s="711"/>
      <c r="EF90" s="711"/>
      <c r="EG90" s="711"/>
      <c r="EH90" s="711"/>
      <c r="EI90" s="711"/>
      <c r="EJ90" s="711"/>
      <c r="EK90" s="711"/>
      <c r="EL90" s="711"/>
      <c r="EM90" s="711"/>
      <c r="EN90" s="711"/>
      <c r="EO90" s="711"/>
      <c r="EP90" s="711"/>
      <c r="EQ90" s="711"/>
      <c r="ER90" s="711"/>
      <c r="ES90" s="711"/>
      <c r="ET90" s="711"/>
      <c r="EU90" s="711"/>
      <c r="EV90" s="711"/>
      <c r="EW90" s="711"/>
      <c r="EX90" s="711"/>
      <c r="EY90" s="711"/>
      <c r="EZ90" s="711"/>
      <c r="FA90" s="711"/>
      <c r="FB90" s="711"/>
      <c r="FC90" s="711"/>
      <c r="FD90" s="711"/>
      <c r="FE90" s="711"/>
      <c r="FF90" s="711"/>
      <c r="FG90" s="711"/>
      <c r="FH90" s="711"/>
      <c r="FI90" s="711"/>
      <c r="FJ90" s="711"/>
      <c r="FK90" s="711"/>
      <c r="FL90" s="711"/>
      <c r="FM90" s="711"/>
      <c r="FN90" s="711"/>
      <c r="FO90" s="711"/>
      <c r="FP90" s="711"/>
      <c r="FQ90" s="711"/>
      <c r="FR90" s="711"/>
      <c r="FS90" s="711"/>
      <c r="FT90" s="711"/>
      <c r="FU90" s="711"/>
      <c r="FV90" s="711"/>
      <c r="FW90" s="711"/>
      <c r="FX90" s="711"/>
      <c r="FY90" s="711"/>
      <c r="FZ90" s="711"/>
      <c r="GA90" s="711"/>
      <c r="GB90" s="711"/>
      <c r="GC90" s="711"/>
      <c r="GD90" s="711"/>
      <c r="GE90" s="711"/>
      <c r="GF90" s="711"/>
      <c r="GG90" s="711"/>
      <c r="GH90" s="711"/>
      <c r="GI90" s="711"/>
      <c r="GJ90" s="711"/>
      <c r="GK90" s="711"/>
      <c r="GL90" s="711"/>
      <c r="GM90" s="711"/>
      <c r="GN90" s="711"/>
      <c r="GO90" s="711"/>
      <c r="GP90" s="711"/>
      <c r="GQ90" s="711"/>
      <c r="GR90" s="711"/>
      <c r="GS90" s="711"/>
      <c r="GT90" s="711"/>
      <c r="GU90" s="711"/>
      <c r="GV90" s="711"/>
      <c r="GW90" s="711"/>
      <c r="GX90" s="711"/>
      <c r="GY90" s="711"/>
      <c r="GZ90" s="711"/>
      <c r="HA90" s="711"/>
      <c r="HB90" s="711"/>
      <c r="HC90" s="711"/>
      <c r="HD90" s="711"/>
      <c r="HE90" s="711"/>
      <c r="HF90" s="711"/>
      <c r="HG90" s="711"/>
      <c r="HH90" s="711"/>
      <c r="HI90" s="711"/>
      <c r="HJ90" s="711"/>
      <c r="HK90" s="711"/>
      <c r="HL90" s="711"/>
      <c r="HM90" s="711"/>
      <c r="HN90" s="711"/>
      <c r="HO90" s="711"/>
      <c r="HP90" s="711"/>
      <c r="HQ90" s="711"/>
      <c r="HR90" s="711"/>
      <c r="HS90" s="711"/>
      <c r="HT90" s="711"/>
      <c r="HU90" s="711"/>
      <c r="HV90" s="711"/>
      <c r="HW90" s="711"/>
      <c r="HX90" s="711"/>
      <c r="HY90" s="711"/>
      <c r="HZ90" s="711"/>
      <c r="IA90" s="711"/>
      <c r="IB90" s="711"/>
      <c r="IC90" s="711"/>
      <c r="ID90" s="711"/>
      <c r="IE90" s="711"/>
      <c r="IF90" s="711"/>
      <c r="IG90" s="711"/>
      <c r="IH90" s="711"/>
      <c r="II90" s="711"/>
      <c r="IJ90" s="711"/>
      <c r="IK90" s="711"/>
      <c r="IL90" s="711"/>
      <c r="IM90" s="711"/>
      <c r="IN90" s="711"/>
      <c r="IO90" s="711"/>
      <c r="IP90" s="711"/>
      <c r="IQ90" s="711"/>
      <c r="IR90" s="711"/>
      <c r="IS90" s="711"/>
      <c r="IT90" s="711"/>
      <c r="IU90" s="711"/>
      <c r="IV90" s="711"/>
    </row>
    <row r="91" spans="1:256" ht="12.75" hidden="1" customHeight="1">
      <c r="A91" s="708" t="s">
        <v>338</v>
      </c>
      <c r="B91" s="708">
        <f>60021.8+11.8</f>
        <v>60033.600000000006</v>
      </c>
      <c r="C91" s="708">
        <v>79658.2</v>
      </c>
      <c r="D91" s="691"/>
      <c r="E91" s="708">
        <f t="shared" si="9"/>
        <v>-19624.599999999991</v>
      </c>
      <c r="F91" s="690">
        <v>15170.1</v>
      </c>
      <c r="G91" s="708">
        <v>4450.3</v>
      </c>
      <c r="H91" s="708">
        <f t="shared" si="10"/>
        <v>19620.400000000001</v>
      </c>
      <c r="I91" s="695"/>
      <c r="J91" s="690">
        <v>4.2</v>
      </c>
      <c r="K91" s="708">
        <f t="shared" si="11"/>
        <v>19624.600000000002</v>
      </c>
      <c r="L91" s="693"/>
      <c r="M91" s="711"/>
      <c r="N91" s="711"/>
      <c r="O91" s="711"/>
      <c r="P91" s="711"/>
      <c r="Q91" s="711"/>
      <c r="R91" s="711"/>
      <c r="S91" s="711"/>
      <c r="T91" s="711"/>
      <c r="U91" s="711"/>
      <c r="V91" s="711"/>
      <c r="W91" s="711"/>
      <c r="X91" s="711"/>
      <c r="Y91" s="711"/>
      <c r="Z91" s="711"/>
      <c r="AA91" s="711"/>
      <c r="AB91" s="711"/>
      <c r="AC91" s="711"/>
      <c r="AD91" s="711"/>
      <c r="AE91" s="711"/>
      <c r="AF91" s="711"/>
      <c r="AG91" s="711"/>
      <c r="AH91" s="711"/>
      <c r="AI91" s="711"/>
      <c r="AJ91" s="711"/>
      <c r="AK91" s="711"/>
      <c r="AL91" s="711"/>
      <c r="AM91" s="711"/>
      <c r="AN91" s="711"/>
      <c r="AO91" s="711"/>
      <c r="AP91" s="711"/>
      <c r="AQ91" s="711"/>
      <c r="AR91" s="711"/>
      <c r="AS91" s="711"/>
      <c r="AT91" s="711"/>
      <c r="AU91" s="711"/>
      <c r="AV91" s="711"/>
      <c r="AW91" s="711"/>
      <c r="AX91" s="711"/>
      <c r="AY91" s="711"/>
      <c r="AZ91" s="711"/>
      <c r="BA91" s="711"/>
      <c r="BB91" s="711"/>
      <c r="BC91" s="711"/>
      <c r="BD91" s="711"/>
      <c r="BE91" s="711"/>
      <c r="BF91" s="711"/>
      <c r="BG91" s="711"/>
      <c r="BH91" s="711"/>
      <c r="BI91" s="711"/>
      <c r="BJ91" s="711"/>
      <c r="BK91" s="711"/>
      <c r="BL91" s="711"/>
      <c r="BM91" s="711"/>
      <c r="BN91" s="711"/>
      <c r="BO91" s="711"/>
      <c r="BP91" s="711"/>
      <c r="BQ91" s="711"/>
      <c r="BR91" s="711"/>
      <c r="BS91" s="711"/>
      <c r="BT91" s="711"/>
      <c r="BU91" s="711"/>
      <c r="BV91" s="711"/>
      <c r="BW91" s="711"/>
      <c r="BX91" s="711"/>
      <c r="BY91" s="711"/>
      <c r="BZ91" s="711"/>
      <c r="CA91" s="711"/>
      <c r="CB91" s="711"/>
      <c r="CC91" s="711"/>
      <c r="CD91" s="711"/>
      <c r="CE91" s="711"/>
      <c r="CF91" s="711"/>
      <c r="CG91" s="711"/>
      <c r="CH91" s="711"/>
      <c r="CI91" s="711"/>
      <c r="CJ91" s="711"/>
      <c r="CK91" s="711"/>
      <c r="CL91" s="711"/>
      <c r="CM91" s="711"/>
      <c r="CN91" s="711"/>
      <c r="CO91" s="711"/>
      <c r="CP91" s="711"/>
      <c r="CQ91" s="711"/>
      <c r="CR91" s="711"/>
      <c r="CS91" s="711"/>
      <c r="CT91" s="711"/>
      <c r="CU91" s="711"/>
      <c r="CV91" s="711"/>
      <c r="CW91" s="711"/>
      <c r="CX91" s="711"/>
      <c r="CY91" s="711"/>
      <c r="CZ91" s="711"/>
      <c r="DA91" s="711"/>
      <c r="DB91" s="711"/>
      <c r="DC91" s="711"/>
      <c r="DD91" s="711"/>
      <c r="DE91" s="711"/>
      <c r="DF91" s="711"/>
      <c r="DG91" s="711"/>
      <c r="DH91" s="711"/>
      <c r="DI91" s="711"/>
      <c r="DJ91" s="711"/>
      <c r="DK91" s="711"/>
      <c r="DL91" s="711"/>
      <c r="DM91" s="711"/>
      <c r="DN91" s="711"/>
      <c r="DO91" s="711"/>
      <c r="DP91" s="711"/>
      <c r="DQ91" s="711"/>
      <c r="DR91" s="711"/>
      <c r="DS91" s="711"/>
      <c r="DT91" s="711"/>
      <c r="DU91" s="711"/>
      <c r="DV91" s="711"/>
      <c r="DW91" s="711"/>
      <c r="DX91" s="711"/>
      <c r="DY91" s="711"/>
      <c r="DZ91" s="711"/>
      <c r="EA91" s="711"/>
      <c r="EB91" s="711"/>
      <c r="EC91" s="711"/>
      <c r="ED91" s="711"/>
      <c r="EE91" s="711"/>
      <c r="EF91" s="711"/>
      <c r="EG91" s="711"/>
      <c r="EH91" s="711"/>
      <c r="EI91" s="711"/>
      <c r="EJ91" s="711"/>
      <c r="EK91" s="711"/>
      <c r="EL91" s="711"/>
      <c r="EM91" s="711"/>
      <c r="EN91" s="711"/>
      <c r="EO91" s="711"/>
      <c r="EP91" s="711"/>
      <c r="EQ91" s="711"/>
      <c r="ER91" s="711"/>
      <c r="ES91" s="711"/>
      <c r="ET91" s="711"/>
      <c r="EU91" s="711"/>
      <c r="EV91" s="711"/>
      <c r="EW91" s="711"/>
      <c r="EX91" s="711"/>
      <c r="EY91" s="711"/>
      <c r="EZ91" s="711"/>
      <c r="FA91" s="711"/>
      <c r="FB91" s="711"/>
      <c r="FC91" s="711"/>
      <c r="FD91" s="711"/>
      <c r="FE91" s="711"/>
      <c r="FF91" s="711"/>
      <c r="FG91" s="711"/>
      <c r="FH91" s="711"/>
      <c r="FI91" s="711"/>
      <c r="FJ91" s="711"/>
      <c r="FK91" s="711"/>
      <c r="FL91" s="711"/>
      <c r="FM91" s="711"/>
      <c r="FN91" s="711"/>
      <c r="FO91" s="711"/>
      <c r="FP91" s="711"/>
      <c r="FQ91" s="711"/>
      <c r="FR91" s="711"/>
      <c r="FS91" s="711"/>
      <c r="FT91" s="711"/>
      <c r="FU91" s="711"/>
      <c r="FV91" s="711"/>
      <c r="FW91" s="711"/>
      <c r="FX91" s="711"/>
      <c r="FY91" s="711"/>
      <c r="FZ91" s="711"/>
      <c r="GA91" s="711"/>
      <c r="GB91" s="711"/>
      <c r="GC91" s="711"/>
      <c r="GD91" s="711"/>
      <c r="GE91" s="711"/>
      <c r="GF91" s="711"/>
      <c r="GG91" s="711"/>
      <c r="GH91" s="711"/>
      <c r="GI91" s="711"/>
      <c r="GJ91" s="711"/>
      <c r="GK91" s="711"/>
      <c r="GL91" s="711"/>
      <c r="GM91" s="711"/>
      <c r="GN91" s="711"/>
      <c r="GO91" s="711"/>
      <c r="GP91" s="711"/>
      <c r="GQ91" s="711"/>
      <c r="GR91" s="711"/>
      <c r="GS91" s="711"/>
      <c r="GT91" s="711"/>
      <c r="GU91" s="711"/>
      <c r="GV91" s="711"/>
      <c r="GW91" s="711"/>
      <c r="GX91" s="711"/>
      <c r="GY91" s="711"/>
      <c r="GZ91" s="711"/>
      <c r="HA91" s="711"/>
      <c r="HB91" s="711"/>
      <c r="HC91" s="711"/>
      <c r="HD91" s="711"/>
      <c r="HE91" s="711"/>
      <c r="HF91" s="711"/>
      <c r="HG91" s="711"/>
      <c r="HH91" s="711"/>
      <c r="HI91" s="711"/>
      <c r="HJ91" s="711"/>
      <c r="HK91" s="711"/>
      <c r="HL91" s="711"/>
      <c r="HM91" s="711"/>
      <c r="HN91" s="711"/>
      <c r="HO91" s="711"/>
      <c r="HP91" s="711"/>
      <c r="HQ91" s="711"/>
      <c r="HR91" s="711"/>
      <c r="HS91" s="711"/>
      <c r="HT91" s="711"/>
      <c r="HU91" s="711"/>
      <c r="HV91" s="711"/>
      <c r="HW91" s="711"/>
      <c r="HX91" s="711"/>
      <c r="HY91" s="711"/>
      <c r="HZ91" s="711"/>
      <c r="IA91" s="711"/>
      <c r="IB91" s="711"/>
      <c r="IC91" s="711"/>
      <c r="ID91" s="711"/>
      <c r="IE91" s="711"/>
      <c r="IF91" s="711"/>
      <c r="IG91" s="711"/>
      <c r="IH91" s="711"/>
      <c r="II91" s="711"/>
      <c r="IJ91" s="711"/>
      <c r="IK91" s="711"/>
      <c r="IL91" s="711"/>
      <c r="IM91" s="711"/>
      <c r="IN91" s="711"/>
      <c r="IO91" s="711"/>
      <c r="IP91" s="711"/>
      <c r="IQ91" s="711"/>
      <c r="IR91" s="711"/>
      <c r="IS91" s="711"/>
      <c r="IT91" s="711"/>
      <c r="IU91" s="711"/>
      <c r="IV91" s="711"/>
    </row>
    <row r="92" spans="1:256" ht="12.75" hidden="1" customHeight="1">
      <c r="A92" s="708" t="s">
        <v>339</v>
      </c>
      <c r="B92" s="708">
        <f>95171.7+2.4</f>
        <v>95174.099999999991</v>
      </c>
      <c r="C92" s="708">
        <v>120219.7</v>
      </c>
      <c r="D92" s="691"/>
      <c r="E92" s="708">
        <f t="shared" si="9"/>
        <v>-25045.600000000006</v>
      </c>
      <c r="F92" s="690">
        <v>28077.599999999999</v>
      </c>
      <c r="G92" s="708">
        <v>-3036.4</v>
      </c>
      <c r="H92" s="708">
        <f t="shared" si="10"/>
        <v>25041.199999999997</v>
      </c>
      <c r="I92" s="695"/>
      <c r="J92" s="690">
        <v>4.4000000000000004</v>
      </c>
      <c r="K92" s="708">
        <f t="shared" si="11"/>
        <v>25045.599999999999</v>
      </c>
      <c r="L92" s="693"/>
      <c r="M92" s="711"/>
      <c r="N92" s="711"/>
      <c r="O92" s="711"/>
      <c r="P92" s="711"/>
      <c r="Q92" s="711"/>
      <c r="R92" s="711"/>
      <c r="S92" s="711"/>
      <c r="T92" s="711"/>
      <c r="U92" s="711"/>
      <c r="V92" s="711"/>
      <c r="W92" s="711"/>
      <c r="X92" s="711"/>
      <c r="Y92" s="711"/>
      <c r="Z92" s="711"/>
      <c r="AA92" s="711"/>
      <c r="AB92" s="711"/>
      <c r="AC92" s="711"/>
      <c r="AD92" s="711"/>
      <c r="AE92" s="711"/>
      <c r="AF92" s="711"/>
      <c r="AG92" s="711"/>
      <c r="AH92" s="711"/>
      <c r="AI92" s="711"/>
      <c r="AJ92" s="711"/>
      <c r="AK92" s="711"/>
      <c r="AL92" s="711"/>
      <c r="AM92" s="711"/>
      <c r="AN92" s="711"/>
      <c r="AO92" s="711"/>
      <c r="AP92" s="711"/>
      <c r="AQ92" s="711"/>
      <c r="AR92" s="711"/>
      <c r="AS92" s="711"/>
      <c r="AT92" s="711"/>
      <c r="AU92" s="711"/>
      <c r="AV92" s="711"/>
      <c r="AW92" s="711"/>
      <c r="AX92" s="711"/>
      <c r="AY92" s="711"/>
      <c r="AZ92" s="711"/>
      <c r="BA92" s="711"/>
      <c r="BB92" s="711"/>
      <c r="BC92" s="711"/>
      <c r="BD92" s="711"/>
      <c r="BE92" s="711"/>
      <c r="BF92" s="711"/>
      <c r="BG92" s="711"/>
      <c r="BH92" s="711"/>
      <c r="BI92" s="711"/>
      <c r="BJ92" s="711"/>
      <c r="BK92" s="711"/>
      <c r="BL92" s="711"/>
      <c r="BM92" s="711"/>
      <c r="BN92" s="711"/>
      <c r="BO92" s="711"/>
      <c r="BP92" s="711"/>
      <c r="BQ92" s="711"/>
      <c r="BR92" s="711"/>
      <c r="BS92" s="711"/>
      <c r="BT92" s="711"/>
      <c r="BU92" s="711"/>
      <c r="BV92" s="711"/>
      <c r="BW92" s="711"/>
      <c r="BX92" s="711"/>
      <c r="BY92" s="711"/>
      <c r="BZ92" s="711"/>
      <c r="CA92" s="711"/>
      <c r="CB92" s="711"/>
      <c r="CC92" s="711"/>
      <c r="CD92" s="711"/>
      <c r="CE92" s="711"/>
      <c r="CF92" s="711"/>
      <c r="CG92" s="711"/>
      <c r="CH92" s="711"/>
      <c r="CI92" s="711"/>
      <c r="CJ92" s="711"/>
      <c r="CK92" s="711"/>
      <c r="CL92" s="711"/>
      <c r="CM92" s="711"/>
      <c r="CN92" s="711"/>
      <c r="CO92" s="711"/>
      <c r="CP92" s="711"/>
      <c r="CQ92" s="711"/>
      <c r="CR92" s="711"/>
      <c r="CS92" s="711"/>
      <c r="CT92" s="711"/>
      <c r="CU92" s="711"/>
      <c r="CV92" s="711"/>
      <c r="CW92" s="711"/>
      <c r="CX92" s="711"/>
      <c r="CY92" s="711"/>
      <c r="CZ92" s="711"/>
      <c r="DA92" s="711"/>
      <c r="DB92" s="711"/>
      <c r="DC92" s="711"/>
      <c r="DD92" s="711"/>
      <c r="DE92" s="711"/>
      <c r="DF92" s="711"/>
      <c r="DG92" s="711"/>
      <c r="DH92" s="711"/>
      <c r="DI92" s="711"/>
      <c r="DJ92" s="711"/>
      <c r="DK92" s="711"/>
      <c r="DL92" s="711"/>
      <c r="DM92" s="711"/>
      <c r="DN92" s="711"/>
      <c r="DO92" s="711"/>
      <c r="DP92" s="711"/>
      <c r="DQ92" s="711"/>
      <c r="DR92" s="711"/>
      <c r="DS92" s="711"/>
      <c r="DT92" s="711"/>
      <c r="DU92" s="711"/>
      <c r="DV92" s="711"/>
      <c r="DW92" s="711"/>
      <c r="DX92" s="711"/>
      <c r="DY92" s="711"/>
      <c r="DZ92" s="711"/>
      <c r="EA92" s="711"/>
      <c r="EB92" s="711"/>
      <c r="EC92" s="711"/>
      <c r="ED92" s="711"/>
      <c r="EE92" s="711"/>
      <c r="EF92" s="711"/>
      <c r="EG92" s="711"/>
      <c r="EH92" s="711"/>
      <c r="EI92" s="711"/>
      <c r="EJ92" s="711"/>
      <c r="EK92" s="711"/>
      <c r="EL92" s="711"/>
      <c r="EM92" s="711"/>
      <c r="EN92" s="711"/>
      <c r="EO92" s="711"/>
      <c r="EP92" s="711"/>
      <c r="EQ92" s="711"/>
      <c r="ER92" s="711"/>
      <c r="ES92" s="711"/>
      <c r="ET92" s="711"/>
      <c r="EU92" s="711"/>
      <c r="EV92" s="711"/>
      <c r="EW92" s="711"/>
      <c r="EX92" s="711"/>
      <c r="EY92" s="711"/>
      <c r="EZ92" s="711"/>
      <c r="FA92" s="711"/>
      <c r="FB92" s="711"/>
      <c r="FC92" s="711"/>
      <c r="FD92" s="711"/>
      <c r="FE92" s="711"/>
      <c r="FF92" s="711"/>
      <c r="FG92" s="711"/>
      <c r="FH92" s="711"/>
      <c r="FI92" s="711"/>
      <c r="FJ92" s="711"/>
      <c r="FK92" s="711"/>
      <c r="FL92" s="711"/>
      <c r="FM92" s="711"/>
      <c r="FN92" s="711"/>
      <c r="FO92" s="711"/>
      <c r="FP92" s="711"/>
      <c r="FQ92" s="711"/>
      <c r="FR92" s="711"/>
      <c r="FS92" s="711"/>
      <c r="FT92" s="711"/>
      <c r="FU92" s="711"/>
      <c r="FV92" s="711"/>
      <c r="FW92" s="711"/>
      <c r="FX92" s="711"/>
      <c r="FY92" s="711"/>
      <c r="FZ92" s="711"/>
      <c r="GA92" s="711"/>
      <c r="GB92" s="711"/>
      <c r="GC92" s="711"/>
      <c r="GD92" s="711"/>
      <c r="GE92" s="711"/>
      <c r="GF92" s="711"/>
      <c r="GG92" s="711"/>
      <c r="GH92" s="711"/>
      <c r="GI92" s="711"/>
      <c r="GJ92" s="711"/>
      <c r="GK92" s="711"/>
      <c r="GL92" s="711"/>
      <c r="GM92" s="711"/>
      <c r="GN92" s="711"/>
      <c r="GO92" s="711"/>
      <c r="GP92" s="711"/>
      <c r="GQ92" s="711"/>
      <c r="GR92" s="711"/>
      <c r="GS92" s="711"/>
      <c r="GT92" s="711"/>
      <c r="GU92" s="711"/>
      <c r="GV92" s="711"/>
      <c r="GW92" s="711"/>
      <c r="GX92" s="711"/>
      <c r="GY92" s="711"/>
      <c r="GZ92" s="711"/>
      <c r="HA92" s="711"/>
      <c r="HB92" s="711"/>
      <c r="HC92" s="711"/>
      <c r="HD92" s="711"/>
      <c r="HE92" s="711"/>
      <c r="HF92" s="711"/>
      <c r="HG92" s="711"/>
      <c r="HH92" s="711"/>
      <c r="HI92" s="711"/>
      <c r="HJ92" s="711"/>
      <c r="HK92" s="711"/>
      <c r="HL92" s="711"/>
      <c r="HM92" s="711"/>
      <c r="HN92" s="711"/>
      <c r="HO92" s="711"/>
      <c r="HP92" s="711"/>
      <c r="HQ92" s="711"/>
      <c r="HR92" s="711"/>
      <c r="HS92" s="711"/>
      <c r="HT92" s="711"/>
      <c r="HU92" s="711"/>
      <c r="HV92" s="711"/>
      <c r="HW92" s="711"/>
      <c r="HX92" s="711"/>
      <c r="HY92" s="711"/>
      <c r="HZ92" s="711"/>
      <c r="IA92" s="711"/>
      <c r="IB92" s="711"/>
      <c r="IC92" s="711"/>
      <c r="ID92" s="711"/>
      <c r="IE92" s="711"/>
      <c r="IF92" s="711"/>
      <c r="IG92" s="711"/>
      <c r="IH92" s="711"/>
      <c r="II92" s="711"/>
      <c r="IJ92" s="711"/>
      <c r="IK92" s="711"/>
      <c r="IL92" s="711"/>
      <c r="IM92" s="711"/>
      <c r="IN92" s="711"/>
      <c r="IO92" s="711"/>
      <c r="IP92" s="711"/>
      <c r="IQ92" s="711"/>
      <c r="IR92" s="711"/>
      <c r="IS92" s="711"/>
      <c r="IT92" s="711"/>
      <c r="IU92" s="711"/>
      <c r="IV92" s="711"/>
    </row>
    <row r="93" spans="1:256" ht="12.75" hidden="1" customHeight="1">
      <c r="A93" s="708" t="s">
        <v>340</v>
      </c>
      <c r="B93" s="708">
        <f>129925.9+2.4</f>
        <v>129928.29999999999</v>
      </c>
      <c r="C93" s="708">
        <v>121168.8</v>
      </c>
      <c r="D93" s="691"/>
      <c r="E93" s="708">
        <f t="shared" si="9"/>
        <v>8759.4999999999854</v>
      </c>
      <c r="F93" s="690">
        <v>-4033.6</v>
      </c>
      <c r="G93" s="708">
        <v>-4725.3999999999996</v>
      </c>
      <c r="H93" s="708">
        <f t="shared" si="10"/>
        <v>-8759</v>
      </c>
      <c r="I93" s="695"/>
      <c r="J93" s="690">
        <v>-0.5</v>
      </c>
      <c r="K93" s="708">
        <f t="shared" si="11"/>
        <v>-8759.5</v>
      </c>
      <c r="L93" s="693"/>
      <c r="M93" s="711"/>
      <c r="N93" s="711"/>
      <c r="O93" s="711"/>
      <c r="P93" s="711"/>
      <c r="Q93" s="711"/>
      <c r="R93" s="711"/>
      <c r="S93" s="711"/>
      <c r="T93" s="711"/>
      <c r="U93" s="711"/>
      <c r="V93" s="711"/>
      <c r="W93" s="711"/>
      <c r="X93" s="711"/>
      <c r="Y93" s="711"/>
      <c r="Z93" s="711"/>
      <c r="AA93" s="711"/>
      <c r="AB93" s="711"/>
      <c r="AC93" s="711"/>
      <c r="AD93" s="711"/>
      <c r="AE93" s="711"/>
      <c r="AF93" s="711"/>
      <c r="AG93" s="711"/>
      <c r="AH93" s="711"/>
      <c r="AI93" s="711"/>
      <c r="AJ93" s="711"/>
      <c r="AK93" s="711"/>
      <c r="AL93" s="711"/>
      <c r="AM93" s="711"/>
      <c r="AN93" s="711"/>
      <c r="AO93" s="711"/>
      <c r="AP93" s="711"/>
      <c r="AQ93" s="711"/>
      <c r="AR93" s="711"/>
      <c r="AS93" s="711"/>
      <c r="AT93" s="711"/>
      <c r="AU93" s="711"/>
      <c r="AV93" s="711"/>
      <c r="AW93" s="711"/>
      <c r="AX93" s="711"/>
      <c r="AY93" s="711"/>
      <c r="AZ93" s="711"/>
      <c r="BA93" s="711"/>
      <c r="BB93" s="711"/>
      <c r="BC93" s="711"/>
      <c r="BD93" s="711"/>
      <c r="BE93" s="711"/>
      <c r="BF93" s="711"/>
      <c r="BG93" s="711"/>
      <c r="BH93" s="711"/>
      <c r="BI93" s="711"/>
      <c r="BJ93" s="711"/>
      <c r="BK93" s="711"/>
      <c r="BL93" s="711"/>
      <c r="BM93" s="711"/>
      <c r="BN93" s="711"/>
      <c r="BO93" s="711"/>
      <c r="BP93" s="711"/>
      <c r="BQ93" s="711"/>
      <c r="BR93" s="711"/>
      <c r="BS93" s="711"/>
      <c r="BT93" s="711"/>
      <c r="BU93" s="711"/>
      <c r="BV93" s="711"/>
      <c r="BW93" s="711"/>
      <c r="BX93" s="711"/>
      <c r="BY93" s="711"/>
      <c r="BZ93" s="711"/>
      <c r="CA93" s="711"/>
      <c r="CB93" s="711"/>
      <c r="CC93" s="711"/>
      <c r="CD93" s="711"/>
      <c r="CE93" s="711"/>
      <c r="CF93" s="711"/>
      <c r="CG93" s="711"/>
      <c r="CH93" s="711"/>
      <c r="CI93" s="711"/>
      <c r="CJ93" s="711"/>
      <c r="CK93" s="711"/>
      <c r="CL93" s="711"/>
      <c r="CM93" s="711"/>
      <c r="CN93" s="711"/>
      <c r="CO93" s="711"/>
      <c r="CP93" s="711"/>
      <c r="CQ93" s="711"/>
      <c r="CR93" s="711"/>
      <c r="CS93" s="711"/>
      <c r="CT93" s="711"/>
      <c r="CU93" s="711"/>
      <c r="CV93" s="711"/>
      <c r="CW93" s="711"/>
      <c r="CX93" s="711"/>
      <c r="CY93" s="711"/>
      <c r="CZ93" s="711"/>
      <c r="DA93" s="711"/>
      <c r="DB93" s="711"/>
      <c r="DC93" s="711"/>
      <c r="DD93" s="711"/>
      <c r="DE93" s="711"/>
      <c r="DF93" s="711"/>
      <c r="DG93" s="711"/>
      <c r="DH93" s="711"/>
      <c r="DI93" s="711"/>
      <c r="DJ93" s="711"/>
      <c r="DK93" s="711"/>
      <c r="DL93" s="711"/>
      <c r="DM93" s="711"/>
      <c r="DN93" s="711"/>
      <c r="DO93" s="711"/>
      <c r="DP93" s="711"/>
      <c r="DQ93" s="711"/>
      <c r="DR93" s="711"/>
      <c r="DS93" s="711"/>
      <c r="DT93" s="711"/>
      <c r="DU93" s="711"/>
      <c r="DV93" s="711"/>
      <c r="DW93" s="711"/>
      <c r="DX93" s="711"/>
      <c r="DY93" s="711"/>
      <c r="DZ93" s="711"/>
      <c r="EA93" s="711"/>
      <c r="EB93" s="711"/>
      <c r="EC93" s="711"/>
      <c r="ED93" s="711"/>
      <c r="EE93" s="711"/>
      <c r="EF93" s="711"/>
      <c r="EG93" s="711"/>
      <c r="EH93" s="711"/>
      <c r="EI93" s="711"/>
      <c r="EJ93" s="711"/>
      <c r="EK93" s="711"/>
      <c r="EL93" s="711"/>
      <c r="EM93" s="711"/>
      <c r="EN93" s="711"/>
      <c r="EO93" s="711"/>
      <c r="EP93" s="711"/>
      <c r="EQ93" s="711"/>
      <c r="ER93" s="711"/>
      <c r="ES93" s="711"/>
      <c r="ET93" s="711"/>
      <c r="EU93" s="711"/>
      <c r="EV93" s="711"/>
      <c r="EW93" s="711"/>
      <c r="EX93" s="711"/>
      <c r="EY93" s="711"/>
      <c r="EZ93" s="711"/>
      <c r="FA93" s="711"/>
      <c r="FB93" s="711"/>
      <c r="FC93" s="711"/>
      <c r="FD93" s="711"/>
      <c r="FE93" s="711"/>
      <c r="FF93" s="711"/>
      <c r="FG93" s="711"/>
      <c r="FH93" s="711"/>
      <c r="FI93" s="711"/>
      <c r="FJ93" s="711"/>
      <c r="FK93" s="711"/>
      <c r="FL93" s="711"/>
      <c r="FM93" s="711"/>
      <c r="FN93" s="711"/>
      <c r="FO93" s="711"/>
      <c r="FP93" s="711"/>
      <c r="FQ93" s="711"/>
      <c r="FR93" s="711"/>
      <c r="FS93" s="711"/>
      <c r="FT93" s="711"/>
      <c r="FU93" s="711"/>
      <c r="FV93" s="711"/>
      <c r="FW93" s="711"/>
      <c r="FX93" s="711"/>
      <c r="FY93" s="711"/>
      <c r="FZ93" s="711"/>
      <c r="GA93" s="711"/>
      <c r="GB93" s="711"/>
      <c r="GC93" s="711"/>
      <c r="GD93" s="711"/>
      <c r="GE93" s="711"/>
      <c r="GF93" s="711"/>
      <c r="GG93" s="711"/>
      <c r="GH93" s="711"/>
      <c r="GI93" s="711"/>
      <c r="GJ93" s="711"/>
      <c r="GK93" s="711"/>
      <c r="GL93" s="711"/>
      <c r="GM93" s="711"/>
      <c r="GN93" s="711"/>
      <c r="GO93" s="711"/>
      <c r="GP93" s="711"/>
      <c r="GQ93" s="711"/>
      <c r="GR93" s="711"/>
      <c r="GS93" s="711"/>
      <c r="GT93" s="711"/>
      <c r="GU93" s="711"/>
      <c r="GV93" s="711"/>
      <c r="GW93" s="711"/>
      <c r="GX93" s="711"/>
      <c r="GY93" s="711"/>
      <c r="GZ93" s="711"/>
      <c r="HA93" s="711"/>
      <c r="HB93" s="711"/>
      <c r="HC93" s="711"/>
      <c r="HD93" s="711"/>
      <c r="HE93" s="711"/>
      <c r="HF93" s="711"/>
      <c r="HG93" s="711"/>
      <c r="HH93" s="711"/>
      <c r="HI93" s="711"/>
      <c r="HJ93" s="711"/>
      <c r="HK93" s="711"/>
      <c r="HL93" s="711"/>
      <c r="HM93" s="711"/>
      <c r="HN93" s="711"/>
      <c r="HO93" s="711"/>
      <c r="HP93" s="711"/>
      <c r="HQ93" s="711"/>
      <c r="HR93" s="711"/>
      <c r="HS93" s="711"/>
      <c r="HT93" s="711"/>
      <c r="HU93" s="711"/>
      <c r="HV93" s="711"/>
      <c r="HW93" s="711"/>
      <c r="HX93" s="711"/>
      <c r="HY93" s="711"/>
      <c r="HZ93" s="711"/>
      <c r="IA93" s="711"/>
      <c r="IB93" s="711"/>
      <c r="IC93" s="711"/>
      <c r="ID93" s="711"/>
      <c r="IE93" s="711"/>
      <c r="IF93" s="711"/>
      <c r="IG93" s="711"/>
      <c r="IH93" s="711"/>
      <c r="II93" s="711"/>
      <c r="IJ93" s="711"/>
      <c r="IK93" s="711"/>
      <c r="IL93" s="711"/>
      <c r="IM93" s="711"/>
      <c r="IN93" s="711"/>
      <c r="IO93" s="711"/>
      <c r="IP93" s="711"/>
      <c r="IQ93" s="711"/>
      <c r="IR93" s="711"/>
      <c r="IS93" s="711"/>
      <c r="IT93" s="711"/>
      <c r="IU93" s="711"/>
      <c r="IV93" s="711"/>
    </row>
    <row r="94" spans="1:256" ht="12.75" hidden="1" customHeight="1">
      <c r="A94" s="708" t="s">
        <v>341</v>
      </c>
      <c r="B94" s="708">
        <f>108694.8+188.8</f>
        <v>108883.6</v>
      </c>
      <c r="C94" s="708">
        <v>149303.20000000001</v>
      </c>
      <c r="D94" s="691"/>
      <c r="E94" s="708">
        <f t="shared" si="9"/>
        <v>-40419.600000000006</v>
      </c>
      <c r="F94" s="690">
        <v>37328.5</v>
      </c>
      <c r="G94" s="708">
        <v>3063.8</v>
      </c>
      <c r="H94" s="708">
        <f t="shared" si="10"/>
        <v>40392.300000000003</v>
      </c>
      <c r="I94" s="695"/>
      <c r="J94" s="690">
        <v>27.3</v>
      </c>
      <c r="K94" s="708">
        <f t="shared" si="11"/>
        <v>40419.600000000006</v>
      </c>
      <c r="L94" s="693"/>
      <c r="M94" s="711"/>
      <c r="N94" s="711"/>
      <c r="O94" s="711"/>
      <c r="P94" s="711"/>
      <c r="Q94" s="711"/>
      <c r="R94" s="711"/>
      <c r="S94" s="711"/>
      <c r="T94" s="711"/>
      <c r="U94" s="711"/>
      <c r="V94" s="711"/>
      <c r="W94" s="711"/>
      <c r="X94" s="711"/>
      <c r="Y94" s="711"/>
      <c r="Z94" s="711"/>
      <c r="AA94" s="711"/>
      <c r="AB94" s="711"/>
      <c r="AC94" s="711"/>
      <c r="AD94" s="711"/>
      <c r="AE94" s="711"/>
      <c r="AF94" s="711"/>
      <c r="AG94" s="711"/>
      <c r="AH94" s="711"/>
      <c r="AI94" s="711"/>
      <c r="AJ94" s="711"/>
      <c r="AK94" s="711"/>
      <c r="AL94" s="711"/>
      <c r="AM94" s="711"/>
      <c r="AN94" s="711"/>
      <c r="AO94" s="711"/>
      <c r="AP94" s="711"/>
      <c r="AQ94" s="711"/>
      <c r="AR94" s="711"/>
      <c r="AS94" s="711"/>
      <c r="AT94" s="711"/>
      <c r="AU94" s="711"/>
      <c r="AV94" s="711"/>
      <c r="AW94" s="711"/>
      <c r="AX94" s="711"/>
      <c r="AY94" s="711"/>
      <c r="AZ94" s="711"/>
      <c r="BA94" s="711"/>
      <c r="BB94" s="711"/>
      <c r="BC94" s="711"/>
      <c r="BD94" s="711"/>
      <c r="BE94" s="711"/>
      <c r="BF94" s="711"/>
      <c r="BG94" s="711"/>
      <c r="BH94" s="711"/>
      <c r="BI94" s="711"/>
      <c r="BJ94" s="711"/>
      <c r="BK94" s="711"/>
      <c r="BL94" s="711"/>
      <c r="BM94" s="711"/>
      <c r="BN94" s="711"/>
      <c r="BO94" s="711"/>
      <c r="BP94" s="711"/>
      <c r="BQ94" s="711"/>
      <c r="BR94" s="711"/>
      <c r="BS94" s="711"/>
      <c r="BT94" s="711"/>
      <c r="BU94" s="711"/>
      <c r="BV94" s="711"/>
      <c r="BW94" s="711"/>
      <c r="BX94" s="711"/>
      <c r="BY94" s="711"/>
      <c r="BZ94" s="711"/>
      <c r="CA94" s="711"/>
      <c r="CB94" s="711"/>
      <c r="CC94" s="711"/>
      <c r="CD94" s="711"/>
      <c r="CE94" s="711"/>
      <c r="CF94" s="711"/>
      <c r="CG94" s="711"/>
      <c r="CH94" s="711"/>
      <c r="CI94" s="711"/>
      <c r="CJ94" s="711"/>
      <c r="CK94" s="711"/>
      <c r="CL94" s="711"/>
      <c r="CM94" s="711"/>
      <c r="CN94" s="711"/>
      <c r="CO94" s="711"/>
      <c r="CP94" s="711"/>
      <c r="CQ94" s="711"/>
      <c r="CR94" s="711"/>
      <c r="CS94" s="711"/>
      <c r="CT94" s="711"/>
      <c r="CU94" s="711"/>
      <c r="CV94" s="711"/>
      <c r="CW94" s="711"/>
      <c r="CX94" s="711"/>
      <c r="CY94" s="711"/>
      <c r="CZ94" s="711"/>
      <c r="DA94" s="711"/>
      <c r="DB94" s="711"/>
      <c r="DC94" s="711"/>
      <c r="DD94" s="711"/>
      <c r="DE94" s="711"/>
      <c r="DF94" s="711"/>
      <c r="DG94" s="711"/>
      <c r="DH94" s="711"/>
      <c r="DI94" s="711"/>
      <c r="DJ94" s="711"/>
      <c r="DK94" s="711"/>
      <c r="DL94" s="711"/>
      <c r="DM94" s="711"/>
      <c r="DN94" s="711"/>
      <c r="DO94" s="711"/>
      <c r="DP94" s="711"/>
      <c r="DQ94" s="711"/>
      <c r="DR94" s="711"/>
      <c r="DS94" s="711"/>
      <c r="DT94" s="711"/>
      <c r="DU94" s="711"/>
      <c r="DV94" s="711"/>
      <c r="DW94" s="711"/>
      <c r="DX94" s="711"/>
      <c r="DY94" s="711"/>
      <c r="DZ94" s="711"/>
      <c r="EA94" s="711"/>
      <c r="EB94" s="711"/>
      <c r="EC94" s="711"/>
      <c r="ED94" s="711"/>
      <c r="EE94" s="711"/>
      <c r="EF94" s="711"/>
      <c r="EG94" s="711"/>
      <c r="EH94" s="711"/>
      <c r="EI94" s="711"/>
      <c r="EJ94" s="711"/>
      <c r="EK94" s="711"/>
      <c r="EL94" s="711"/>
      <c r="EM94" s="711"/>
      <c r="EN94" s="711"/>
      <c r="EO94" s="711"/>
      <c r="EP94" s="711"/>
      <c r="EQ94" s="711"/>
      <c r="ER94" s="711"/>
      <c r="ES94" s="711"/>
      <c r="ET94" s="711"/>
      <c r="EU94" s="711"/>
      <c r="EV94" s="711"/>
      <c r="EW94" s="711"/>
      <c r="EX94" s="711"/>
      <c r="EY94" s="711"/>
      <c r="EZ94" s="711"/>
      <c r="FA94" s="711"/>
      <c r="FB94" s="711"/>
      <c r="FC94" s="711"/>
      <c r="FD94" s="711"/>
      <c r="FE94" s="711"/>
      <c r="FF94" s="711"/>
      <c r="FG94" s="711"/>
      <c r="FH94" s="711"/>
      <c r="FI94" s="711"/>
      <c r="FJ94" s="711"/>
      <c r="FK94" s="711"/>
      <c r="FL94" s="711"/>
      <c r="FM94" s="711"/>
      <c r="FN94" s="711"/>
      <c r="FO94" s="711"/>
      <c r="FP94" s="711"/>
      <c r="FQ94" s="711"/>
      <c r="FR94" s="711"/>
      <c r="FS94" s="711"/>
      <c r="FT94" s="711"/>
      <c r="FU94" s="711"/>
      <c r="FV94" s="711"/>
      <c r="FW94" s="711"/>
      <c r="FX94" s="711"/>
      <c r="FY94" s="711"/>
      <c r="FZ94" s="711"/>
      <c r="GA94" s="711"/>
      <c r="GB94" s="711"/>
      <c r="GC94" s="711"/>
      <c r="GD94" s="711"/>
      <c r="GE94" s="711"/>
      <c r="GF94" s="711"/>
      <c r="GG94" s="711"/>
      <c r="GH94" s="711"/>
      <c r="GI94" s="711"/>
      <c r="GJ94" s="711"/>
      <c r="GK94" s="711"/>
      <c r="GL94" s="711"/>
      <c r="GM94" s="711"/>
      <c r="GN94" s="711"/>
      <c r="GO94" s="711"/>
      <c r="GP94" s="711"/>
      <c r="GQ94" s="711"/>
      <c r="GR94" s="711"/>
      <c r="GS94" s="711"/>
      <c r="GT94" s="711"/>
      <c r="GU94" s="711"/>
      <c r="GV94" s="711"/>
      <c r="GW94" s="711"/>
      <c r="GX94" s="711"/>
      <c r="GY94" s="711"/>
      <c r="GZ94" s="711"/>
      <c r="HA94" s="711"/>
      <c r="HB94" s="711"/>
      <c r="HC94" s="711"/>
      <c r="HD94" s="711"/>
      <c r="HE94" s="711"/>
      <c r="HF94" s="711"/>
      <c r="HG94" s="711"/>
      <c r="HH94" s="711"/>
      <c r="HI94" s="711"/>
      <c r="HJ94" s="711"/>
      <c r="HK94" s="711"/>
      <c r="HL94" s="711"/>
      <c r="HM94" s="711"/>
      <c r="HN94" s="711"/>
      <c r="HO94" s="711"/>
      <c r="HP94" s="711"/>
      <c r="HQ94" s="711"/>
      <c r="HR94" s="711"/>
      <c r="HS94" s="711"/>
      <c r="HT94" s="711"/>
      <c r="HU94" s="711"/>
      <c r="HV94" s="711"/>
      <c r="HW94" s="711"/>
      <c r="HX94" s="711"/>
      <c r="HY94" s="711"/>
      <c r="HZ94" s="711"/>
      <c r="IA94" s="711"/>
      <c r="IB94" s="711"/>
      <c r="IC94" s="711"/>
      <c r="ID94" s="711"/>
      <c r="IE94" s="711"/>
      <c r="IF94" s="711"/>
      <c r="IG94" s="711"/>
      <c r="IH94" s="711"/>
      <c r="II94" s="711"/>
      <c r="IJ94" s="711"/>
      <c r="IK94" s="711"/>
      <c r="IL94" s="711"/>
      <c r="IM94" s="711"/>
      <c r="IN94" s="711"/>
      <c r="IO94" s="711"/>
      <c r="IP94" s="711"/>
      <c r="IQ94" s="711"/>
      <c r="IR94" s="711"/>
      <c r="IS94" s="711"/>
      <c r="IT94" s="711"/>
      <c r="IU94" s="711"/>
      <c r="IV94" s="711"/>
    </row>
    <row r="95" spans="1:256" ht="12.75" hidden="1" customHeight="1">
      <c r="A95" s="708" t="s">
        <v>342</v>
      </c>
      <c r="B95" s="708">
        <v>169224.5</v>
      </c>
      <c r="C95" s="708">
        <v>234986</v>
      </c>
      <c r="D95" s="691"/>
      <c r="E95" s="708">
        <f t="shared" si="9"/>
        <v>-65761.5</v>
      </c>
      <c r="F95" s="690">
        <v>85275.1</v>
      </c>
      <c r="G95" s="708">
        <v>-19517.099999999999</v>
      </c>
      <c r="H95" s="708">
        <f t="shared" si="10"/>
        <v>65758</v>
      </c>
      <c r="I95" s="695"/>
      <c r="J95" s="690">
        <v>3.5</v>
      </c>
      <c r="K95" s="708">
        <f t="shared" si="11"/>
        <v>65761.5</v>
      </c>
      <c r="L95" s="693"/>
      <c r="M95" s="711"/>
      <c r="N95" s="711"/>
      <c r="O95" s="711"/>
      <c r="P95" s="711"/>
      <c r="Q95" s="711"/>
      <c r="R95" s="711"/>
      <c r="S95" s="711"/>
      <c r="T95" s="711"/>
      <c r="U95" s="711"/>
      <c r="V95" s="711"/>
      <c r="W95" s="711"/>
      <c r="X95" s="711"/>
      <c r="Y95" s="711"/>
      <c r="Z95" s="711"/>
      <c r="AA95" s="711"/>
      <c r="AB95" s="711"/>
      <c r="AC95" s="711"/>
      <c r="AD95" s="711"/>
      <c r="AE95" s="711"/>
      <c r="AF95" s="711"/>
      <c r="AG95" s="711"/>
      <c r="AH95" s="711"/>
      <c r="AI95" s="711"/>
      <c r="AJ95" s="711"/>
      <c r="AK95" s="711"/>
      <c r="AL95" s="711"/>
      <c r="AM95" s="711"/>
      <c r="AN95" s="711"/>
      <c r="AO95" s="711"/>
      <c r="AP95" s="711"/>
      <c r="AQ95" s="711"/>
      <c r="AR95" s="711"/>
      <c r="AS95" s="711"/>
      <c r="AT95" s="711"/>
      <c r="AU95" s="711"/>
      <c r="AV95" s="711"/>
      <c r="AW95" s="711"/>
      <c r="AX95" s="711"/>
      <c r="AY95" s="711"/>
      <c r="AZ95" s="711"/>
      <c r="BA95" s="711"/>
      <c r="BB95" s="711"/>
      <c r="BC95" s="711"/>
      <c r="BD95" s="711"/>
      <c r="BE95" s="711"/>
      <c r="BF95" s="711"/>
      <c r="BG95" s="711"/>
      <c r="BH95" s="711"/>
      <c r="BI95" s="711"/>
      <c r="BJ95" s="711"/>
      <c r="BK95" s="711"/>
      <c r="BL95" s="711"/>
      <c r="BM95" s="711"/>
      <c r="BN95" s="711"/>
      <c r="BO95" s="711"/>
      <c r="BP95" s="711"/>
      <c r="BQ95" s="711"/>
      <c r="BR95" s="711"/>
      <c r="BS95" s="711"/>
      <c r="BT95" s="711"/>
      <c r="BU95" s="711"/>
      <c r="BV95" s="711"/>
      <c r="BW95" s="711"/>
      <c r="BX95" s="711"/>
      <c r="BY95" s="711"/>
      <c r="BZ95" s="711"/>
      <c r="CA95" s="711"/>
      <c r="CB95" s="711"/>
      <c r="CC95" s="711"/>
      <c r="CD95" s="711"/>
      <c r="CE95" s="711"/>
      <c r="CF95" s="711"/>
      <c r="CG95" s="711"/>
      <c r="CH95" s="711"/>
      <c r="CI95" s="711"/>
      <c r="CJ95" s="711"/>
      <c r="CK95" s="711"/>
      <c r="CL95" s="711"/>
      <c r="CM95" s="711"/>
      <c r="CN95" s="711"/>
      <c r="CO95" s="711"/>
      <c r="CP95" s="711"/>
      <c r="CQ95" s="711"/>
      <c r="CR95" s="711"/>
      <c r="CS95" s="711"/>
      <c r="CT95" s="711"/>
      <c r="CU95" s="711"/>
      <c r="CV95" s="711"/>
      <c r="CW95" s="711"/>
      <c r="CX95" s="711"/>
      <c r="CY95" s="711"/>
      <c r="CZ95" s="711"/>
      <c r="DA95" s="711"/>
      <c r="DB95" s="711"/>
      <c r="DC95" s="711"/>
      <c r="DD95" s="711"/>
      <c r="DE95" s="711"/>
      <c r="DF95" s="711"/>
      <c r="DG95" s="711"/>
      <c r="DH95" s="711"/>
      <c r="DI95" s="711"/>
      <c r="DJ95" s="711"/>
      <c r="DK95" s="711"/>
      <c r="DL95" s="711"/>
      <c r="DM95" s="711"/>
      <c r="DN95" s="711"/>
      <c r="DO95" s="711"/>
      <c r="DP95" s="711"/>
      <c r="DQ95" s="711"/>
      <c r="DR95" s="711"/>
      <c r="DS95" s="711"/>
      <c r="DT95" s="711"/>
      <c r="DU95" s="711"/>
      <c r="DV95" s="711"/>
      <c r="DW95" s="711"/>
      <c r="DX95" s="711"/>
      <c r="DY95" s="711"/>
      <c r="DZ95" s="711"/>
      <c r="EA95" s="711"/>
      <c r="EB95" s="711"/>
      <c r="EC95" s="711"/>
      <c r="ED95" s="711"/>
      <c r="EE95" s="711"/>
      <c r="EF95" s="711"/>
      <c r="EG95" s="711"/>
      <c r="EH95" s="711"/>
      <c r="EI95" s="711"/>
      <c r="EJ95" s="711"/>
      <c r="EK95" s="711"/>
      <c r="EL95" s="711"/>
      <c r="EM95" s="711"/>
      <c r="EN95" s="711"/>
      <c r="EO95" s="711"/>
      <c r="EP95" s="711"/>
      <c r="EQ95" s="711"/>
      <c r="ER95" s="711"/>
      <c r="ES95" s="711"/>
      <c r="ET95" s="711"/>
      <c r="EU95" s="711"/>
      <c r="EV95" s="711"/>
      <c r="EW95" s="711"/>
      <c r="EX95" s="711"/>
      <c r="EY95" s="711"/>
      <c r="EZ95" s="711"/>
      <c r="FA95" s="711"/>
      <c r="FB95" s="711"/>
      <c r="FC95" s="711"/>
      <c r="FD95" s="711"/>
      <c r="FE95" s="711"/>
      <c r="FF95" s="711"/>
      <c r="FG95" s="711"/>
      <c r="FH95" s="711"/>
      <c r="FI95" s="711"/>
      <c r="FJ95" s="711"/>
      <c r="FK95" s="711"/>
      <c r="FL95" s="711"/>
      <c r="FM95" s="711"/>
      <c r="FN95" s="711"/>
      <c r="FO95" s="711"/>
      <c r="FP95" s="711"/>
      <c r="FQ95" s="711"/>
      <c r="FR95" s="711"/>
      <c r="FS95" s="711"/>
      <c r="FT95" s="711"/>
      <c r="FU95" s="711"/>
      <c r="FV95" s="711"/>
      <c r="FW95" s="711"/>
      <c r="FX95" s="711"/>
      <c r="FY95" s="711"/>
      <c r="FZ95" s="711"/>
      <c r="GA95" s="711"/>
      <c r="GB95" s="711"/>
      <c r="GC95" s="711"/>
      <c r="GD95" s="711"/>
      <c r="GE95" s="711"/>
      <c r="GF95" s="711"/>
      <c r="GG95" s="711"/>
      <c r="GH95" s="711"/>
      <c r="GI95" s="711"/>
      <c r="GJ95" s="711"/>
      <c r="GK95" s="711"/>
      <c r="GL95" s="711"/>
      <c r="GM95" s="711"/>
      <c r="GN95" s="711"/>
      <c r="GO95" s="711"/>
      <c r="GP95" s="711"/>
      <c r="GQ95" s="711"/>
      <c r="GR95" s="711"/>
      <c r="GS95" s="711"/>
      <c r="GT95" s="711"/>
      <c r="GU95" s="711"/>
      <c r="GV95" s="711"/>
      <c r="GW95" s="711"/>
      <c r="GX95" s="711"/>
      <c r="GY95" s="711"/>
      <c r="GZ95" s="711"/>
      <c r="HA95" s="711"/>
      <c r="HB95" s="711"/>
      <c r="HC95" s="711"/>
      <c r="HD95" s="711"/>
      <c r="HE95" s="711"/>
      <c r="HF95" s="711"/>
      <c r="HG95" s="711"/>
      <c r="HH95" s="711"/>
      <c r="HI95" s="711"/>
      <c r="HJ95" s="711"/>
      <c r="HK95" s="711"/>
      <c r="HL95" s="711"/>
      <c r="HM95" s="711"/>
      <c r="HN95" s="711"/>
      <c r="HO95" s="711"/>
      <c r="HP95" s="711"/>
      <c r="HQ95" s="711"/>
      <c r="HR95" s="711"/>
      <c r="HS95" s="711"/>
      <c r="HT95" s="711"/>
      <c r="HU95" s="711"/>
      <c r="HV95" s="711"/>
      <c r="HW95" s="711"/>
      <c r="HX95" s="711"/>
      <c r="HY95" s="711"/>
      <c r="HZ95" s="711"/>
      <c r="IA95" s="711"/>
      <c r="IB95" s="711"/>
      <c r="IC95" s="711"/>
      <c r="ID95" s="711"/>
      <c r="IE95" s="711"/>
      <c r="IF95" s="711"/>
      <c r="IG95" s="711"/>
      <c r="IH95" s="711"/>
      <c r="II95" s="711"/>
      <c r="IJ95" s="711"/>
      <c r="IK95" s="711"/>
      <c r="IL95" s="711"/>
      <c r="IM95" s="711"/>
      <c r="IN95" s="711"/>
      <c r="IO95" s="711"/>
      <c r="IP95" s="711"/>
      <c r="IQ95" s="711"/>
      <c r="IR95" s="711"/>
      <c r="IS95" s="711"/>
      <c r="IT95" s="711"/>
      <c r="IU95" s="711"/>
      <c r="IV95" s="711"/>
    </row>
    <row r="96" spans="1:256" ht="12.75" hidden="1" customHeight="1">
      <c r="A96" s="708" t="s">
        <v>343</v>
      </c>
      <c r="B96" s="708">
        <f>232459.8+0</f>
        <v>232459.8</v>
      </c>
      <c r="C96" s="708">
        <v>182266.7</v>
      </c>
      <c r="D96" s="691"/>
      <c r="E96" s="708">
        <f t="shared" si="9"/>
        <v>50193.099999999977</v>
      </c>
      <c r="F96" s="690">
        <v>-37912.5</v>
      </c>
      <c r="G96" s="708">
        <v>-12279.7</v>
      </c>
      <c r="H96" s="708">
        <f t="shared" si="10"/>
        <v>-50192.2</v>
      </c>
      <c r="I96" s="695"/>
      <c r="J96" s="690">
        <v>-0.9</v>
      </c>
      <c r="K96" s="708">
        <f t="shared" si="11"/>
        <v>-50193.1</v>
      </c>
      <c r="L96" s="693"/>
      <c r="M96" s="711"/>
      <c r="N96" s="711"/>
      <c r="O96" s="711"/>
      <c r="P96" s="711"/>
      <c r="Q96" s="711"/>
      <c r="R96" s="711"/>
      <c r="S96" s="711"/>
      <c r="T96" s="711"/>
      <c r="U96" s="711"/>
      <c r="V96" s="711"/>
      <c r="W96" s="711"/>
      <c r="X96" s="711"/>
      <c r="Y96" s="711"/>
      <c r="Z96" s="711"/>
      <c r="AA96" s="711"/>
      <c r="AB96" s="711"/>
      <c r="AC96" s="711"/>
      <c r="AD96" s="711"/>
      <c r="AE96" s="711"/>
      <c r="AF96" s="711"/>
      <c r="AG96" s="711"/>
      <c r="AH96" s="711"/>
      <c r="AI96" s="711"/>
      <c r="AJ96" s="711"/>
      <c r="AK96" s="711"/>
      <c r="AL96" s="711"/>
      <c r="AM96" s="711"/>
      <c r="AN96" s="711"/>
      <c r="AO96" s="711"/>
      <c r="AP96" s="711"/>
      <c r="AQ96" s="711"/>
      <c r="AR96" s="711"/>
      <c r="AS96" s="711"/>
      <c r="AT96" s="711"/>
      <c r="AU96" s="711"/>
      <c r="AV96" s="711"/>
      <c r="AW96" s="711"/>
      <c r="AX96" s="711"/>
      <c r="AY96" s="711"/>
      <c r="AZ96" s="711"/>
      <c r="BA96" s="711"/>
      <c r="BB96" s="711"/>
      <c r="BC96" s="711"/>
      <c r="BD96" s="711"/>
      <c r="BE96" s="711"/>
      <c r="BF96" s="711"/>
      <c r="BG96" s="711"/>
      <c r="BH96" s="711"/>
      <c r="BI96" s="711"/>
      <c r="BJ96" s="711"/>
      <c r="BK96" s="711"/>
      <c r="BL96" s="711"/>
      <c r="BM96" s="711"/>
      <c r="BN96" s="711"/>
      <c r="BO96" s="711"/>
      <c r="BP96" s="711"/>
      <c r="BQ96" s="711"/>
      <c r="BR96" s="711"/>
      <c r="BS96" s="711"/>
      <c r="BT96" s="711"/>
      <c r="BU96" s="711"/>
      <c r="BV96" s="711"/>
      <c r="BW96" s="711"/>
      <c r="BX96" s="711"/>
      <c r="BY96" s="711"/>
      <c r="BZ96" s="711"/>
      <c r="CA96" s="711"/>
      <c r="CB96" s="711"/>
      <c r="CC96" s="711"/>
      <c r="CD96" s="711"/>
      <c r="CE96" s="711"/>
      <c r="CF96" s="711"/>
      <c r="CG96" s="711"/>
      <c r="CH96" s="711"/>
      <c r="CI96" s="711"/>
      <c r="CJ96" s="711"/>
      <c r="CK96" s="711"/>
      <c r="CL96" s="711"/>
      <c r="CM96" s="711"/>
      <c r="CN96" s="711"/>
      <c r="CO96" s="711"/>
      <c r="CP96" s="711"/>
      <c r="CQ96" s="711"/>
      <c r="CR96" s="711"/>
      <c r="CS96" s="711"/>
      <c r="CT96" s="711"/>
      <c r="CU96" s="711"/>
      <c r="CV96" s="711"/>
      <c r="CW96" s="711"/>
      <c r="CX96" s="711"/>
      <c r="CY96" s="711"/>
      <c r="CZ96" s="711"/>
      <c r="DA96" s="711"/>
      <c r="DB96" s="711"/>
      <c r="DC96" s="711"/>
      <c r="DD96" s="711"/>
      <c r="DE96" s="711"/>
      <c r="DF96" s="711"/>
      <c r="DG96" s="711"/>
      <c r="DH96" s="711"/>
      <c r="DI96" s="711"/>
      <c r="DJ96" s="711"/>
      <c r="DK96" s="711"/>
      <c r="DL96" s="711"/>
      <c r="DM96" s="711"/>
      <c r="DN96" s="711"/>
      <c r="DO96" s="711"/>
      <c r="DP96" s="711"/>
      <c r="DQ96" s="711"/>
      <c r="DR96" s="711"/>
      <c r="DS96" s="711"/>
      <c r="DT96" s="711"/>
      <c r="DU96" s="711"/>
      <c r="DV96" s="711"/>
      <c r="DW96" s="711"/>
      <c r="DX96" s="711"/>
      <c r="DY96" s="711"/>
      <c r="DZ96" s="711"/>
      <c r="EA96" s="711"/>
      <c r="EB96" s="711"/>
      <c r="EC96" s="711"/>
      <c r="ED96" s="711"/>
      <c r="EE96" s="711"/>
      <c r="EF96" s="711"/>
      <c r="EG96" s="711"/>
      <c r="EH96" s="711"/>
      <c r="EI96" s="711"/>
      <c r="EJ96" s="711"/>
      <c r="EK96" s="711"/>
      <c r="EL96" s="711"/>
      <c r="EM96" s="711"/>
      <c r="EN96" s="711"/>
      <c r="EO96" s="711"/>
      <c r="EP96" s="711"/>
      <c r="EQ96" s="711"/>
      <c r="ER96" s="711"/>
      <c r="ES96" s="711"/>
      <c r="ET96" s="711"/>
      <c r="EU96" s="711"/>
      <c r="EV96" s="711"/>
      <c r="EW96" s="711"/>
      <c r="EX96" s="711"/>
      <c r="EY96" s="711"/>
      <c r="EZ96" s="711"/>
      <c r="FA96" s="711"/>
      <c r="FB96" s="711"/>
      <c r="FC96" s="711"/>
      <c r="FD96" s="711"/>
      <c r="FE96" s="711"/>
      <c r="FF96" s="711"/>
      <c r="FG96" s="711"/>
      <c r="FH96" s="711"/>
      <c r="FI96" s="711"/>
      <c r="FJ96" s="711"/>
      <c r="FK96" s="711"/>
      <c r="FL96" s="711"/>
      <c r="FM96" s="711"/>
      <c r="FN96" s="711"/>
      <c r="FO96" s="711"/>
      <c r="FP96" s="711"/>
      <c r="FQ96" s="711"/>
      <c r="FR96" s="711"/>
      <c r="FS96" s="711"/>
      <c r="FT96" s="711"/>
      <c r="FU96" s="711"/>
      <c r="FV96" s="711"/>
      <c r="FW96" s="711"/>
      <c r="FX96" s="711"/>
      <c r="FY96" s="711"/>
      <c r="FZ96" s="711"/>
      <c r="GA96" s="711"/>
      <c r="GB96" s="711"/>
      <c r="GC96" s="711"/>
      <c r="GD96" s="711"/>
      <c r="GE96" s="711"/>
      <c r="GF96" s="711"/>
      <c r="GG96" s="711"/>
      <c r="GH96" s="711"/>
      <c r="GI96" s="711"/>
      <c r="GJ96" s="711"/>
      <c r="GK96" s="711"/>
      <c r="GL96" s="711"/>
      <c r="GM96" s="711"/>
      <c r="GN96" s="711"/>
      <c r="GO96" s="711"/>
      <c r="GP96" s="711"/>
      <c r="GQ96" s="711"/>
      <c r="GR96" s="711"/>
      <c r="GS96" s="711"/>
      <c r="GT96" s="711"/>
      <c r="GU96" s="711"/>
      <c r="GV96" s="711"/>
      <c r="GW96" s="711"/>
      <c r="GX96" s="711"/>
      <c r="GY96" s="711"/>
      <c r="GZ96" s="711"/>
      <c r="HA96" s="711"/>
      <c r="HB96" s="711"/>
      <c r="HC96" s="711"/>
      <c r="HD96" s="711"/>
      <c r="HE96" s="711"/>
      <c r="HF96" s="711"/>
      <c r="HG96" s="711"/>
      <c r="HH96" s="711"/>
      <c r="HI96" s="711"/>
      <c r="HJ96" s="711"/>
      <c r="HK96" s="711"/>
      <c r="HL96" s="711"/>
      <c r="HM96" s="711"/>
      <c r="HN96" s="711"/>
      <c r="HO96" s="711"/>
      <c r="HP96" s="711"/>
      <c r="HQ96" s="711"/>
      <c r="HR96" s="711"/>
      <c r="HS96" s="711"/>
      <c r="HT96" s="711"/>
      <c r="HU96" s="711"/>
      <c r="HV96" s="711"/>
      <c r="HW96" s="711"/>
      <c r="HX96" s="711"/>
      <c r="HY96" s="711"/>
      <c r="HZ96" s="711"/>
      <c r="IA96" s="711"/>
      <c r="IB96" s="711"/>
      <c r="IC96" s="711"/>
      <c r="ID96" s="711"/>
      <c r="IE96" s="711"/>
      <c r="IF96" s="711"/>
      <c r="IG96" s="711"/>
      <c r="IH96" s="711"/>
      <c r="II96" s="711"/>
      <c r="IJ96" s="711"/>
      <c r="IK96" s="711"/>
      <c r="IL96" s="711"/>
      <c r="IM96" s="711"/>
      <c r="IN96" s="711"/>
      <c r="IO96" s="711"/>
      <c r="IP96" s="711"/>
      <c r="IQ96" s="711"/>
      <c r="IR96" s="711"/>
      <c r="IS96" s="711"/>
      <c r="IT96" s="711"/>
      <c r="IU96" s="711"/>
      <c r="IV96" s="711"/>
    </row>
    <row r="97" spans="1:256" ht="12.75" hidden="1" customHeight="1">
      <c r="A97" s="708" t="s">
        <v>344</v>
      </c>
      <c r="B97" s="708">
        <f>295824+5994.6</f>
        <v>301818.59999999998</v>
      </c>
      <c r="C97" s="708">
        <v>173148.4</v>
      </c>
      <c r="D97" s="691"/>
      <c r="E97" s="708">
        <f t="shared" si="9"/>
        <v>128670.19999999998</v>
      </c>
      <c r="F97" s="708">
        <v>-81793</v>
      </c>
      <c r="G97" s="708">
        <v>-46878.400000000001</v>
      </c>
      <c r="H97" s="708">
        <f t="shared" si="10"/>
        <v>-128671.4</v>
      </c>
      <c r="I97" s="695"/>
      <c r="J97" s="690">
        <v>1.2</v>
      </c>
      <c r="K97" s="708">
        <f t="shared" si="11"/>
        <v>-128670.2</v>
      </c>
      <c r="L97" s="693"/>
      <c r="M97" s="711"/>
      <c r="N97" s="711"/>
      <c r="O97" s="711"/>
      <c r="P97" s="711"/>
      <c r="Q97" s="711"/>
      <c r="R97" s="711"/>
      <c r="S97" s="711"/>
      <c r="T97" s="711"/>
      <c r="U97" s="711"/>
      <c r="V97" s="711"/>
      <c r="W97" s="711"/>
      <c r="X97" s="711"/>
      <c r="Y97" s="711"/>
      <c r="Z97" s="711"/>
      <c r="AA97" s="711"/>
      <c r="AB97" s="711"/>
      <c r="AC97" s="711"/>
      <c r="AD97" s="711"/>
      <c r="AE97" s="711"/>
      <c r="AF97" s="711"/>
      <c r="AG97" s="711"/>
      <c r="AH97" s="711"/>
      <c r="AI97" s="711"/>
      <c r="AJ97" s="711"/>
      <c r="AK97" s="711"/>
      <c r="AL97" s="711"/>
      <c r="AM97" s="711"/>
      <c r="AN97" s="711"/>
      <c r="AO97" s="711"/>
      <c r="AP97" s="711"/>
      <c r="AQ97" s="711"/>
      <c r="AR97" s="711"/>
      <c r="AS97" s="711"/>
      <c r="AT97" s="711"/>
      <c r="AU97" s="711"/>
      <c r="AV97" s="711"/>
      <c r="AW97" s="711"/>
      <c r="AX97" s="711"/>
      <c r="AY97" s="711"/>
      <c r="AZ97" s="711"/>
      <c r="BA97" s="711"/>
      <c r="BB97" s="711"/>
      <c r="BC97" s="711"/>
      <c r="BD97" s="711"/>
      <c r="BE97" s="711"/>
      <c r="BF97" s="711"/>
      <c r="BG97" s="711"/>
      <c r="BH97" s="711"/>
      <c r="BI97" s="711"/>
      <c r="BJ97" s="711"/>
      <c r="BK97" s="711"/>
      <c r="BL97" s="711"/>
      <c r="BM97" s="711"/>
      <c r="BN97" s="711"/>
      <c r="BO97" s="711"/>
      <c r="BP97" s="711"/>
      <c r="BQ97" s="711"/>
      <c r="BR97" s="711"/>
      <c r="BS97" s="711"/>
      <c r="BT97" s="711"/>
      <c r="BU97" s="711"/>
      <c r="BV97" s="711"/>
      <c r="BW97" s="711"/>
      <c r="BX97" s="711"/>
      <c r="BY97" s="711"/>
      <c r="BZ97" s="711"/>
      <c r="CA97" s="711"/>
      <c r="CB97" s="711"/>
      <c r="CC97" s="711"/>
      <c r="CD97" s="711"/>
      <c r="CE97" s="711"/>
      <c r="CF97" s="711"/>
      <c r="CG97" s="711"/>
      <c r="CH97" s="711"/>
      <c r="CI97" s="711"/>
      <c r="CJ97" s="711"/>
      <c r="CK97" s="711"/>
      <c r="CL97" s="711"/>
      <c r="CM97" s="711"/>
      <c r="CN97" s="711"/>
      <c r="CO97" s="711"/>
      <c r="CP97" s="711"/>
      <c r="CQ97" s="711"/>
      <c r="CR97" s="711"/>
      <c r="CS97" s="711"/>
      <c r="CT97" s="711"/>
      <c r="CU97" s="711"/>
      <c r="CV97" s="711"/>
      <c r="CW97" s="711"/>
      <c r="CX97" s="711"/>
      <c r="CY97" s="711"/>
      <c r="CZ97" s="711"/>
      <c r="DA97" s="711"/>
      <c r="DB97" s="711"/>
      <c r="DC97" s="711"/>
      <c r="DD97" s="711"/>
      <c r="DE97" s="711"/>
      <c r="DF97" s="711"/>
      <c r="DG97" s="711"/>
      <c r="DH97" s="711"/>
      <c r="DI97" s="711"/>
      <c r="DJ97" s="711"/>
      <c r="DK97" s="711"/>
      <c r="DL97" s="711"/>
      <c r="DM97" s="711"/>
      <c r="DN97" s="711"/>
      <c r="DO97" s="711"/>
      <c r="DP97" s="711"/>
      <c r="DQ97" s="711"/>
      <c r="DR97" s="711"/>
      <c r="DS97" s="711"/>
      <c r="DT97" s="711"/>
      <c r="DU97" s="711"/>
      <c r="DV97" s="711"/>
      <c r="DW97" s="711"/>
      <c r="DX97" s="711"/>
      <c r="DY97" s="711"/>
      <c r="DZ97" s="711"/>
      <c r="EA97" s="711"/>
      <c r="EB97" s="711"/>
      <c r="EC97" s="711"/>
      <c r="ED97" s="711"/>
      <c r="EE97" s="711"/>
      <c r="EF97" s="711"/>
      <c r="EG97" s="711"/>
      <c r="EH97" s="711"/>
      <c r="EI97" s="711"/>
      <c r="EJ97" s="711"/>
      <c r="EK97" s="711"/>
      <c r="EL97" s="711"/>
      <c r="EM97" s="711"/>
      <c r="EN97" s="711"/>
      <c r="EO97" s="711"/>
      <c r="EP97" s="711"/>
      <c r="EQ97" s="711"/>
      <c r="ER97" s="711"/>
      <c r="ES97" s="711"/>
      <c r="ET97" s="711"/>
      <c r="EU97" s="711"/>
      <c r="EV97" s="711"/>
      <c r="EW97" s="711"/>
      <c r="EX97" s="711"/>
      <c r="EY97" s="711"/>
      <c r="EZ97" s="711"/>
      <c r="FA97" s="711"/>
      <c r="FB97" s="711"/>
      <c r="FC97" s="711"/>
      <c r="FD97" s="711"/>
      <c r="FE97" s="711"/>
      <c r="FF97" s="711"/>
      <c r="FG97" s="711"/>
      <c r="FH97" s="711"/>
      <c r="FI97" s="711"/>
      <c r="FJ97" s="711"/>
      <c r="FK97" s="711"/>
      <c r="FL97" s="711"/>
      <c r="FM97" s="711"/>
      <c r="FN97" s="711"/>
      <c r="FO97" s="711"/>
      <c r="FP97" s="711"/>
      <c r="FQ97" s="711"/>
      <c r="FR97" s="711"/>
      <c r="FS97" s="711"/>
      <c r="FT97" s="711"/>
      <c r="FU97" s="711"/>
      <c r="FV97" s="711"/>
      <c r="FW97" s="711"/>
      <c r="FX97" s="711"/>
      <c r="FY97" s="711"/>
      <c r="FZ97" s="711"/>
      <c r="GA97" s="711"/>
      <c r="GB97" s="711"/>
      <c r="GC97" s="711"/>
      <c r="GD97" s="711"/>
      <c r="GE97" s="711"/>
      <c r="GF97" s="711"/>
      <c r="GG97" s="711"/>
      <c r="GH97" s="711"/>
      <c r="GI97" s="711"/>
      <c r="GJ97" s="711"/>
      <c r="GK97" s="711"/>
      <c r="GL97" s="711"/>
      <c r="GM97" s="711"/>
      <c r="GN97" s="711"/>
      <c r="GO97" s="711"/>
      <c r="GP97" s="711"/>
      <c r="GQ97" s="711"/>
      <c r="GR97" s="711"/>
      <c r="GS97" s="711"/>
      <c r="GT97" s="711"/>
      <c r="GU97" s="711"/>
      <c r="GV97" s="711"/>
      <c r="GW97" s="711"/>
      <c r="GX97" s="711"/>
      <c r="GY97" s="711"/>
      <c r="GZ97" s="711"/>
      <c r="HA97" s="711"/>
      <c r="HB97" s="711"/>
      <c r="HC97" s="711"/>
      <c r="HD97" s="711"/>
      <c r="HE97" s="711"/>
      <c r="HF97" s="711"/>
      <c r="HG97" s="711"/>
      <c r="HH97" s="711"/>
      <c r="HI97" s="711"/>
      <c r="HJ97" s="711"/>
      <c r="HK97" s="711"/>
      <c r="HL97" s="711"/>
      <c r="HM97" s="711"/>
      <c r="HN97" s="711"/>
      <c r="HO97" s="711"/>
      <c r="HP97" s="711"/>
      <c r="HQ97" s="711"/>
      <c r="HR97" s="711"/>
      <c r="HS97" s="711"/>
      <c r="HT97" s="711"/>
      <c r="HU97" s="711"/>
      <c r="HV97" s="711"/>
      <c r="HW97" s="711"/>
      <c r="HX97" s="711"/>
      <c r="HY97" s="711"/>
      <c r="HZ97" s="711"/>
      <c r="IA97" s="711"/>
      <c r="IB97" s="711"/>
      <c r="IC97" s="711"/>
      <c r="ID97" s="711"/>
      <c r="IE97" s="711"/>
      <c r="IF97" s="711"/>
      <c r="IG97" s="711"/>
      <c r="IH97" s="711"/>
      <c r="II97" s="711"/>
      <c r="IJ97" s="711"/>
      <c r="IK97" s="711"/>
      <c r="IL97" s="711"/>
      <c r="IM97" s="711"/>
      <c r="IN97" s="711"/>
      <c r="IO97" s="711"/>
      <c r="IP97" s="711"/>
      <c r="IQ97" s="711"/>
      <c r="IR97" s="711"/>
      <c r="IS97" s="711"/>
      <c r="IT97" s="711"/>
      <c r="IU97" s="711"/>
      <c r="IV97" s="711"/>
    </row>
    <row r="98" spans="1:256" ht="12.75" hidden="1" customHeight="1">
      <c r="A98" s="708"/>
      <c r="B98" s="708"/>
      <c r="C98" s="708"/>
      <c r="D98" s="691"/>
      <c r="E98" s="708"/>
      <c r="F98" s="708"/>
      <c r="G98" s="708"/>
      <c r="H98" s="708"/>
      <c r="I98" s="695"/>
      <c r="J98" s="690"/>
      <c r="K98" s="708"/>
      <c r="L98" s="693"/>
      <c r="M98" s="711"/>
      <c r="N98" s="711"/>
      <c r="O98" s="711"/>
      <c r="P98" s="711"/>
      <c r="Q98" s="711"/>
      <c r="R98" s="711"/>
      <c r="S98" s="711"/>
      <c r="T98" s="711"/>
      <c r="U98" s="711"/>
      <c r="V98" s="711"/>
      <c r="W98" s="711"/>
      <c r="X98" s="711"/>
      <c r="Y98" s="711"/>
      <c r="Z98" s="711"/>
      <c r="AA98" s="711"/>
      <c r="AB98" s="711"/>
      <c r="AC98" s="711"/>
      <c r="AD98" s="711"/>
      <c r="AE98" s="711"/>
      <c r="AF98" s="711"/>
      <c r="AG98" s="711"/>
      <c r="AH98" s="711"/>
      <c r="AI98" s="711"/>
      <c r="AJ98" s="711"/>
      <c r="AK98" s="711"/>
      <c r="AL98" s="711"/>
      <c r="AM98" s="711"/>
      <c r="AN98" s="711"/>
      <c r="AO98" s="711"/>
      <c r="AP98" s="711"/>
      <c r="AQ98" s="711"/>
      <c r="AR98" s="711"/>
      <c r="AS98" s="711"/>
      <c r="AT98" s="711"/>
      <c r="AU98" s="711"/>
      <c r="AV98" s="711"/>
      <c r="AW98" s="711"/>
      <c r="AX98" s="711"/>
      <c r="AY98" s="711"/>
      <c r="AZ98" s="711"/>
      <c r="BA98" s="711"/>
      <c r="BB98" s="711"/>
      <c r="BC98" s="711"/>
      <c r="BD98" s="711"/>
      <c r="BE98" s="711"/>
      <c r="BF98" s="711"/>
      <c r="BG98" s="711"/>
      <c r="BH98" s="711"/>
      <c r="BI98" s="711"/>
      <c r="BJ98" s="711"/>
      <c r="BK98" s="711"/>
      <c r="BL98" s="711"/>
      <c r="BM98" s="711"/>
      <c r="BN98" s="711"/>
      <c r="BO98" s="711"/>
      <c r="BP98" s="711"/>
      <c r="BQ98" s="711"/>
      <c r="BR98" s="711"/>
      <c r="BS98" s="711"/>
      <c r="BT98" s="711"/>
      <c r="BU98" s="711"/>
      <c r="BV98" s="711"/>
      <c r="BW98" s="711"/>
      <c r="BX98" s="711"/>
      <c r="BY98" s="711"/>
      <c r="BZ98" s="711"/>
      <c r="CA98" s="711"/>
      <c r="CB98" s="711"/>
      <c r="CC98" s="711"/>
      <c r="CD98" s="711"/>
      <c r="CE98" s="711"/>
      <c r="CF98" s="711"/>
      <c r="CG98" s="711"/>
      <c r="CH98" s="711"/>
      <c r="CI98" s="711"/>
      <c r="CJ98" s="711"/>
      <c r="CK98" s="711"/>
      <c r="CL98" s="711"/>
      <c r="CM98" s="711"/>
      <c r="CN98" s="711"/>
      <c r="CO98" s="711"/>
      <c r="CP98" s="711"/>
      <c r="CQ98" s="711"/>
      <c r="CR98" s="711"/>
      <c r="CS98" s="711"/>
      <c r="CT98" s="711"/>
      <c r="CU98" s="711"/>
      <c r="CV98" s="711"/>
      <c r="CW98" s="711"/>
      <c r="CX98" s="711"/>
      <c r="CY98" s="711"/>
      <c r="CZ98" s="711"/>
      <c r="DA98" s="711"/>
      <c r="DB98" s="711"/>
      <c r="DC98" s="711"/>
      <c r="DD98" s="711"/>
      <c r="DE98" s="711"/>
      <c r="DF98" s="711"/>
      <c r="DG98" s="711"/>
      <c r="DH98" s="711"/>
      <c r="DI98" s="711"/>
      <c r="DJ98" s="711"/>
      <c r="DK98" s="711"/>
      <c r="DL98" s="711"/>
      <c r="DM98" s="711"/>
      <c r="DN98" s="711"/>
      <c r="DO98" s="711"/>
      <c r="DP98" s="711"/>
      <c r="DQ98" s="711"/>
      <c r="DR98" s="711"/>
      <c r="DS98" s="711"/>
      <c r="DT98" s="711"/>
      <c r="DU98" s="711"/>
      <c r="DV98" s="711"/>
      <c r="DW98" s="711"/>
      <c r="DX98" s="711"/>
      <c r="DY98" s="711"/>
      <c r="DZ98" s="711"/>
      <c r="EA98" s="711"/>
      <c r="EB98" s="711"/>
      <c r="EC98" s="711"/>
      <c r="ED98" s="711"/>
      <c r="EE98" s="711"/>
      <c r="EF98" s="711"/>
      <c r="EG98" s="711"/>
      <c r="EH98" s="711"/>
      <c r="EI98" s="711"/>
      <c r="EJ98" s="711"/>
      <c r="EK98" s="711"/>
      <c r="EL98" s="711"/>
      <c r="EM98" s="711"/>
      <c r="EN98" s="711"/>
      <c r="EO98" s="711"/>
      <c r="EP98" s="711"/>
      <c r="EQ98" s="711"/>
      <c r="ER98" s="711"/>
      <c r="ES98" s="711"/>
      <c r="ET98" s="711"/>
      <c r="EU98" s="711"/>
      <c r="EV98" s="711"/>
      <c r="EW98" s="711"/>
      <c r="EX98" s="711"/>
      <c r="EY98" s="711"/>
      <c r="EZ98" s="711"/>
      <c r="FA98" s="711"/>
      <c r="FB98" s="711"/>
      <c r="FC98" s="711"/>
      <c r="FD98" s="711"/>
      <c r="FE98" s="711"/>
      <c r="FF98" s="711"/>
      <c r="FG98" s="711"/>
      <c r="FH98" s="711"/>
      <c r="FI98" s="711"/>
      <c r="FJ98" s="711"/>
      <c r="FK98" s="711"/>
      <c r="FL98" s="711"/>
      <c r="FM98" s="711"/>
      <c r="FN98" s="711"/>
      <c r="FO98" s="711"/>
      <c r="FP98" s="711"/>
      <c r="FQ98" s="711"/>
      <c r="FR98" s="711"/>
      <c r="FS98" s="711"/>
      <c r="FT98" s="711"/>
      <c r="FU98" s="711"/>
      <c r="FV98" s="711"/>
      <c r="FW98" s="711"/>
      <c r="FX98" s="711"/>
      <c r="FY98" s="711"/>
      <c r="FZ98" s="711"/>
      <c r="GA98" s="711"/>
      <c r="GB98" s="711"/>
      <c r="GC98" s="711"/>
      <c r="GD98" s="711"/>
      <c r="GE98" s="711"/>
      <c r="GF98" s="711"/>
      <c r="GG98" s="711"/>
      <c r="GH98" s="711"/>
      <c r="GI98" s="711"/>
      <c r="GJ98" s="711"/>
      <c r="GK98" s="711"/>
      <c r="GL98" s="711"/>
      <c r="GM98" s="711"/>
      <c r="GN98" s="711"/>
      <c r="GO98" s="711"/>
      <c r="GP98" s="711"/>
      <c r="GQ98" s="711"/>
      <c r="GR98" s="711"/>
      <c r="GS98" s="711"/>
      <c r="GT98" s="711"/>
      <c r="GU98" s="711"/>
      <c r="GV98" s="711"/>
      <c r="GW98" s="711"/>
      <c r="GX98" s="711"/>
      <c r="GY98" s="711"/>
      <c r="GZ98" s="711"/>
      <c r="HA98" s="711"/>
      <c r="HB98" s="711"/>
      <c r="HC98" s="711"/>
      <c r="HD98" s="711"/>
      <c r="HE98" s="711"/>
      <c r="HF98" s="711"/>
      <c r="HG98" s="711"/>
      <c r="HH98" s="711"/>
      <c r="HI98" s="711"/>
      <c r="HJ98" s="711"/>
      <c r="HK98" s="711"/>
      <c r="HL98" s="711"/>
      <c r="HM98" s="711"/>
      <c r="HN98" s="711"/>
      <c r="HO98" s="711"/>
      <c r="HP98" s="711"/>
      <c r="HQ98" s="711"/>
      <c r="HR98" s="711"/>
      <c r="HS98" s="711"/>
      <c r="HT98" s="711"/>
      <c r="HU98" s="711"/>
      <c r="HV98" s="711"/>
      <c r="HW98" s="711"/>
      <c r="HX98" s="711"/>
      <c r="HY98" s="711"/>
      <c r="HZ98" s="711"/>
      <c r="IA98" s="711"/>
      <c r="IB98" s="711"/>
      <c r="IC98" s="711"/>
      <c r="ID98" s="711"/>
      <c r="IE98" s="711"/>
      <c r="IF98" s="711"/>
      <c r="IG98" s="711"/>
      <c r="IH98" s="711"/>
      <c r="II98" s="711"/>
      <c r="IJ98" s="711"/>
      <c r="IK98" s="711"/>
      <c r="IL98" s="711"/>
      <c r="IM98" s="711"/>
      <c r="IN98" s="711"/>
      <c r="IO98" s="711"/>
      <c r="IP98" s="711"/>
      <c r="IQ98" s="711"/>
      <c r="IR98" s="711"/>
      <c r="IS98" s="711"/>
      <c r="IT98" s="711"/>
      <c r="IU98" s="711"/>
      <c r="IV98" s="711"/>
    </row>
    <row r="99" spans="1:256" ht="12.75" hidden="1" customHeight="1">
      <c r="A99" s="710">
        <v>2004</v>
      </c>
      <c r="B99" s="708"/>
      <c r="C99" s="708"/>
      <c r="D99" s="691"/>
      <c r="E99" s="708"/>
      <c r="F99" s="708"/>
      <c r="G99" s="708"/>
      <c r="H99" s="708"/>
      <c r="I99" s="695"/>
      <c r="J99" s="690"/>
      <c r="K99" s="708"/>
      <c r="L99" s="693"/>
      <c r="M99" s="711"/>
      <c r="N99" s="711"/>
      <c r="O99" s="711"/>
      <c r="P99" s="711"/>
      <c r="Q99" s="711"/>
      <c r="R99" s="711"/>
      <c r="S99" s="711"/>
      <c r="T99" s="711"/>
      <c r="U99" s="711"/>
      <c r="V99" s="711"/>
      <c r="W99" s="711"/>
      <c r="X99" s="711"/>
      <c r="Y99" s="711"/>
      <c r="Z99" s="711"/>
      <c r="AA99" s="711"/>
      <c r="AB99" s="711"/>
      <c r="AC99" s="711"/>
      <c r="AD99" s="711"/>
      <c r="AE99" s="711"/>
      <c r="AF99" s="711"/>
      <c r="AG99" s="711"/>
      <c r="AH99" s="711"/>
      <c r="AI99" s="711"/>
      <c r="AJ99" s="711"/>
      <c r="AK99" s="711"/>
      <c r="AL99" s="711"/>
      <c r="AM99" s="711"/>
      <c r="AN99" s="711"/>
      <c r="AO99" s="711"/>
      <c r="AP99" s="711"/>
      <c r="AQ99" s="711"/>
      <c r="AR99" s="711"/>
      <c r="AS99" s="711"/>
      <c r="AT99" s="711"/>
      <c r="AU99" s="711"/>
      <c r="AV99" s="711"/>
      <c r="AW99" s="711"/>
      <c r="AX99" s="711"/>
      <c r="AY99" s="711"/>
      <c r="AZ99" s="711"/>
      <c r="BA99" s="711"/>
      <c r="BB99" s="711"/>
      <c r="BC99" s="711"/>
      <c r="BD99" s="711"/>
      <c r="BE99" s="711"/>
      <c r="BF99" s="711"/>
      <c r="BG99" s="711"/>
      <c r="BH99" s="711"/>
      <c r="BI99" s="711"/>
      <c r="BJ99" s="711"/>
      <c r="BK99" s="711"/>
      <c r="BL99" s="711"/>
      <c r="BM99" s="711"/>
      <c r="BN99" s="711"/>
      <c r="BO99" s="711"/>
      <c r="BP99" s="711"/>
      <c r="BQ99" s="711"/>
      <c r="BR99" s="711"/>
      <c r="BS99" s="711"/>
      <c r="BT99" s="711"/>
      <c r="BU99" s="711"/>
      <c r="BV99" s="711"/>
      <c r="BW99" s="711"/>
      <c r="BX99" s="711"/>
      <c r="BY99" s="711"/>
      <c r="BZ99" s="711"/>
      <c r="CA99" s="711"/>
      <c r="CB99" s="711"/>
      <c r="CC99" s="711"/>
      <c r="CD99" s="711"/>
      <c r="CE99" s="711"/>
      <c r="CF99" s="711"/>
      <c r="CG99" s="711"/>
      <c r="CH99" s="711"/>
      <c r="CI99" s="711"/>
      <c r="CJ99" s="711"/>
      <c r="CK99" s="711"/>
      <c r="CL99" s="711"/>
      <c r="CM99" s="711"/>
      <c r="CN99" s="711"/>
      <c r="CO99" s="711"/>
      <c r="CP99" s="711"/>
      <c r="CQ99" s="711"/>
      <c r="CR99" s="711"/>
      <c r="CS99" s="711"/>
      <c r="CT99" s="711"/>
      <c r="CU99" s="711"/>
      <c r="CV99" s="711"/>
      <c r="CW99" s="711"/>
      <c r="CX99" s="711"/>
      <c r="CY99" s="711"/>
      <c r="CZ99" s="711"/>
      <c r="DA99" s="711"/>
      <c r="DB99" s="711"/>
      <c r="DC99" s="711"/>
      <c r="DD99" s="711"/>
      <c r="DE99" s="711"/>
      <c r="DF99" s="711"/>
      <c r="DG99" s="711"/>
      <c r="DH99" s="711"/>
      <c r="DI99" s="711"/>
      <c r="DJ99" s="711"/>
      <c r="DK99" s="711"/>
      <c r="DL99" s="711"/>
      <c r="DM99" s="711"/>
      <c r="DN99" s="711"/>
      <c r="DO99" s="711"/>
      <c r="DP99" s="711"/>
      <c r="DQ99" s="711"/>
      <c r="DR99" s="711"/>
      <c r="DS99" s="711"/>
      <c r="DT99" s="711"/>
      <c r="DU99" s="711"/>
      <c r="DV99" s="711"/>
      <c r="DW99" s="711"/>
      <c r="DX99" s="711"/>
      <c r="DY99" s="711"/>
      <c r="DZ99" s="711"/>
      <c r="EA99" s="711"/>
      <c r="EB99" s="711"/>
      <c r="EC99" s="711"/>
      <c r="ED99" s="711"/>
      <c r="EE99" s="711"/>
      <c r="EF99" s="711"/>
      <c r="EG99" s="711"/>
      <c r="EH99" s="711"/>
      <c r="EI99" s="711"/>
      <c r="EJ99" s="711"/>
      <c r="EK99" s="711"/>
      <c r="EL99" s="711"/>
      <c r="EM99" s="711"/>
      <c r="EN99" s="711"/>
      <c r="EO99" s="711"/>
      <c r="EP99" s="711"/>
      <c r="EQ99" s="711"/>
      <c r="ER99" s="711"/>
      <c r="ES99" s="711"/>
      <c r="ET99" s="711"/>
      <c r="EU99" s="711"/>
      <c r="EV99" s="711"/>
      <c r="EW99" s="711"/>
      <c r="EX99" s="711"/>
      <c r="EY99" s="711"/>
      <c r="EZ99" s="711"/>
      <c r="FA99" s="711"/>
      <c r="FB99" s="711"/>
      <c r="FC99" s="711"/>
      <c r="FD99" s="711"/>
      <c r="FE99" s="711"/>
      <c r="FF99" s="711"/>
      <c r="FG99" s="711"/>
      <c r="FH99" s="711"/>
      <c r="FI99" s="711"/>
      <c r="FJ99" s="711"/>
      <c r="FK99" s="711"/>
      <c r="FL99" s="711"/>
      <c r="FM99" s="711"/>
      <c r="FN99" s="711"/>
      <c r="FO99" s="711"/>
      <c r="FP99" s="711"/>
      <c r="FQ99" s="711"/>
      <c r="FR99" s="711"/>
      <c r="FS99" s="711"/>
      <c r="FT99" s="711"/>
      <c r="FU99" s="711"/>
      <c r="FV99" s="711"/>
      <c r="FW99" s="711"/>
      <c r="FX99" s="711"/>
      <c r="FY99" s="711"/>
      <c r="FZ99" s="711"/>
      <c r="GA99" s="711"/>
      <c r="GB99" s="711"/>
      <c r="GC99" s="711"/>
      <c r="GD99" s="711"/>
      <c r="GE99" s="711"/>
      <c r="GF99" s="711"/>
      <c r="GG99" s="711"/>
      <c r="GH99" s="711"/>
      <c r="GI99" s="711"/>
      <c r="GJ99" s="711"/>
      <c r="GK99" s="711"/>
      <c r="GL99" s="711"/>
      <c r="GM99" s="711"/>
      <c r="GN99" s="711"/>
      <c r="GO99" s="711"/>
      <c r="GP99" s="711"/>
      <c r="GQ99" s="711"/>
      <c r="GR99" s="711"/>
      <c r="GS99" s="711"/>
      <c r="GT99" s="711"/>
      <c r="GU99" s="711"/>
      <c r="GV99" s="711"/>
      <c r="GW99" s="711"/>
      <c r="GX99" s="711"/>
      <c r="GY99" s="711"/>
      <c r="GZ99" s="711"/>
      <c r="HA99" s="711"/>
      <c r="HB99" s="711"/>
      <c r="HC99" s="711"/>
      <c r="HD99" s="711"/>
      <c r="HE99" s="711"/>
      <c r="HF99" s="711"/>
      <c r="HG99" s="711"/>
      <c r="HH99" s="711"/>
      <c r="HI99" s="711"/>
      <c r="HJ99" s="711"/>
      <c r="HK99" s="711"/>
      <c r="HL99" s="711"/>
      <c r="HM99" s="711"/>
      <c r="HN99" s="711"/>
      <c r="HO99" s="711"/>
      <c r="HP99" s="711"/>
      <c r="HQ99" s="711"/>
      <c r="HR99" s="711"/>
      <c r="HS99" s="711"/>
      <c r="HT99" s="711"/>
      <c r="HU99" s="711"/>
      <c r="HV99" s="711"/>
      <c r="HW99" s="711"/>
      <c r="HX99" s="711"/>
      <c r="HY99" s="711"/>
      <c r="HZ99" s="711"/>
      <c r="IA99" s="711"/>
      <c r="IB99" s="711"/>
      <c r="IC99" s="711"/>
      <c r="ID99" s="711"/>
      <c r="IE99" s="711"/>
      <c r="IF99" s="711"/>
      <c r="IG99" s="711"/>
      <c r="IH99" s="711"/>
      <c r="II99" s="711"/>
      <c r="IJ99" s="711"/>
      <c r="IK99" s="711"/>
      <c r="IL99" s="711"/>
      <c r="IM99" s="711"/>
      <c r="IN99" s="711"/>
      <c r="IO99" s="711"/>
      <c r="IP99" s="711"/>
      <c r="IQ99" s="711"/>
      <c r="IR99" s="711"/>
      <c r="IS99" s="711"/>
      <c r="IT99" s="711"/>
      <c r="IU99" s="711"/>
      <c r="IV99" s="711"/>
    </row>
    <row r="100" spans="1:256" ht="12.75" hidden="1" customHeight="1">
      <c r="A100" s="710"/>
      <c r="B100" s="708"/>
      <c r="C100" s="708"/>
      <c r="D100" s="691"/>
      <c r="E100" s="708"/>
      <c r="F100" s="708"/>
      <c r="G100" s="708"/>
      <c r="H100" s="708"/>
      <c r="I100" s="695"/>
      <c r="J100" s="690"/>
      <c r="K100" s="708"/>
      <c r="L100" s="693"/>
      <c r="M100" s="711"/>
      <c r="N100" s="711"/>
      <c r="O100" s="711"/>
      <c r="P100" s="711"/>
      <c r="Q100" s="711"/>
      <c r="R100" s="711"/>
      <c r="S100" s="711"/>
      <c r="T100" s="711"/>
      <c r="U100" s="711"/>
      <c r="V100" s="711"/>
      <c r="W100" s="711"/>
      <c r="X100" s="711"/>
      <c r="Y100" s="711"/>
      <c r="Z100" s="711"/>
      <c r="AA100" s="711"/>
      <c r="AB100" s="711"/>
      <c r="AC100" s="711"/>
      <c r="AD100" s="711"/>
      <c r="AE100" s="711"/>
      <c r="AF100" s="711"/>
      <c r="AG100" s="711"/>
      <c r="AH100" s="711"/>
      <c r="AI100" s="711"/>
      <c r="AJ100" s="711"/>
      <c r="AK100" s="711"/>
      <c r="AL100" s="711"/>
      <c r="AM100" s="711"/>
      <c r="AN100" s="711"/>
      <c r="AO100" s="711"/>
      <c r="AP100" s="711"/>
      <c r="AQ100" s="711"/>
      <c r="AR100" s="711"/>
      <c r="AS100" s="711"/>
      <c r="AT100" s="711"/>
      <c r="AU100" s="711"/>
      <c r="AV100" s="711"/>
      <c r="AW100" s="711"/>
      <c r="AX100" s="711"/>
      <c r="AY100" s="711"/>
      <c r="AZ100" s="711"/>
      <c r="BA100" s="711"/>
      <c r="BB100" s="711"/>
      <c r="BC100" s="711"/>
      <c r="BD100" s="711"/>
      <c r="BE100" s="711"/>
      <c r="BF100" s="711"/>
      <c r="BG100" s="711"/>
      <c r="BH100" s="711"/>
      <c r="BI100" s="711"/>
      <c r="BJ100" s="711"/>
      <c r="BK100" s="711"/>
      <c r="BL100" s="711"/>
      <c r="BM100" s="711"/>
      <c r="BN100" s="711"/>
      <c r="BO100" s="711"/>
      <c r="BP100" s="711"/>
      <c r="BQ100" s="711"/>
      <c r="BR100" s="711"/>
      <c r="BS100" s="711"/>
      <c r="BT100" s="711"/>
      <c r="BU100" s="711"/>
      <c r="BV100" s="711"/>
      <c r="BW100" s="711"/>
      <c r="BX100" s="711"/>
      <c r="BY100" s="711"/>
      <c r="BZ100" s="711"/>
      <c r="CA100" s="711"/>
      <c r="CB100" s="711"/>
      <c r="CC100" s="711"/>
      <c r="CD100" s="711"/>
      <c r="CE100" s="711"/>
      <c r="CF100" s="711"/>
      <c r="CG100" s="711"/>
      <c r="CH100" s="711"/>
      <c r="CI100" s="711"/>
      <c r="CJ100" s="711"/>
      <c r="CK100" s="711"/>
      <c r="CL100" s="711"/>
      <c r="CM100" s="711"/>
      <c r="CN100" s="711"/>
      <c r="CO100" s="711"/>
      <c r="CP100" s="711"/>
      <c r="CQ100" s="711"/>
      <c r="CR100" s="711"/>
      <c r="CS100" s="711"/>
      <c r="CT100" s="711"/>
      <c r="CU100" s="711"/>
      <c r="CV100" s="711"/>
      <c r="CW100" s="711"/>
      <c r="CX100" s="711"/>
      <c r="CY100" s="711"/>
      <c r="CZ100" s="711"/>
      <c r="DA100" s="711"/>
      <c r="DB100" s="711"/>
      <c r="DC100" s="711"/>
      <c r="DD100" s="711"/>
      <c r="DE100" s="711"/>
      <c r="DF100" s="711"/>
      <c r="DG100" s="711"/>
      <c r="DH100" s="711"/>
      <c r="DI100" s="711"/>
      <c r="DJ100" s="711"/>
      <c r="DK100" s="711"/>
      <c r="DL100" s="711"/>
      <c r="DM100" s="711"/>
      <c r="DN100" s="711"/>
      <c r="DO100" s="711"/>
      <c r="DP100" s="711"/>
      <c r="DQ100" s="711"/>
      <c r="DR100" s="711"/>
      <c r="DS100" s="711"/>
      <c r="DT100" s="711"/>
      <c r="DU100" s="711"/>
      <c r="DV100" s="711"/>
      <c r="DW100" s="711"/>
      <c r="DX100" s="711"/>
      <c r="DY100" s="711"/>
      <c r="DZ100" s="711"/>
      <c r="EA100" s="711"/>
      <c r="EB100" s="711"/>
      <c r="EC100" s="711"/>
      <c r="ED100" s="711"/>
      <c r="EE100" s="711"/>
      <c r="EF100" s="711"/>
      <c r="EG100" s="711"/>
      <c r="EH100" s="711"/>
      <c r="EI100" s="711"/>
      <c r="EJ100" s="711"/>
      <c r="EK100" s="711"/>
      <c r="EL100" s="711"/>
      <c r="EM100" s="711"/>
      <c r="EN100" s="711"/>
      <c r="EO100" s="711"/>
      <c r="EP100" s="711"/>
      <c r="EQ100" s="711"/>
      <c r="ER100" s="711"/>
      <c r="ES100" s="711"/>
      <c r="ET100" s="711"/>
      <c r="EU100" s="711"/>
      <c r="EV100" s="711"/>
      <c r="EW100" s="711"/>
      <c r="EX100" s="711"/>
      <c r="EY100" s="711"/>
      <c r="EZ100" s="711"/>
      <c r="FA100" s="711"/>
      <c r="FB100" s="711"/>
      <c r="FC100" s="711"/>
      <c r="FD100" s="711"/>
      <c r="FE100" s="711"/>
      <c r="FF100" s="711"/>
      <c r="FG100" s="711"/>
      <c r="FH100" s="711"/>
      <c r="FI100" s="711"/>
      <c r="FJ100" s="711"/>
      <c r="FK100" s="711"/>
      <c r="FL100" s="711"/>
      <c r="FM100" s="711"/>
      <c r="FN100" s="711"/>
      <c r="FO100" s="711"/>
      <c r="FP100" s="711"/>
      <c r="FQ100" s="711"/>
      <c r="FR100" s="711"/>
      <c r="FS100" s="711"/>
      <c r="FT100" s="711"/>
      <c r="FU100" s="711"/>
      <c r="FV100" s="711"/>
      <c r="FW100" s="711"/>
      <c r="FX100" s="711"/>
      <c r="FY100" s="711"/>
      <c r="FZ100" s="711"/>
      <c r="GA100" s="711"/>
      <c r="GB100" s="711"/>
      <c r="GC100" s="711"/>
      <c r="GD100" s="711"/>
      <c r="GE100" s="711"/>
      <c r="GF100" s="711"/>
      <c r="GG100" s="711"/>
      <c r="GH100" s="711"/>
      <c r="GI100" s="711"/>
      <c r="GJ100" s="711"/>
      <c r="GK100" s="711"/>
      <c r="GL100" s="711"/>
      <c r="GM100" s="711"/>
      <c r="GN100" s="711"/>
      <c r="GO100" s="711"/>
      <c r="GP100" s="711"/>
      <c r="GQ100" s="711"/>
      <c r="GR100" s="711"/>
      <c r="GS100" s="711"/>
      <c r="GT100" s="711"/>
      <c r="GU100" s="711"/>
      <c r="GV100" s="711"/>
      <c r="GW100" s="711"/>
      <c r="GX100" s="711"/>
      <c r="GY100" s="711"/>
      <c r="GZ100" s="711"/>
      <c r="HA100" s="711"/>
      <c r="HB100" s="711"/>
      <c r="HC100" s="711"/>
      <c r="HD100" s="711"/>
      <c r="HE100" s="711"/>
      <c r="HF100" s="711"/>
      <c r="HG100" s="711"/>
      <c r="HH100" s="711"/>
      <c r="HI100" s="711"/>
      <c r="HJ100" s="711"/>
      <c r="HK100" s="711"/>
      <c r="HL100" s="711"/>
      <c r="HM100" s="711"/>
      <c r="HN100" s="711"/>
      <c r="HO100" s="711"/>
      <c r="HP100" s="711"/>
      <c r="HQ100" s="711"/>
      <c r="HR100" s="711"/>
      <c r="HS100" s="711"/>
      <c r="HT100" s="711"/>
      <c r="HU100" s="711"/>
      <c r="HV100" s="711"/>
      <c r="HW100" s="711"/>
      <c r="HX100" s="711"/>
      <c r="HY100" s="711"/>
      <c r="HZ100" s="711"/>
      <c r="IA100" s="711"/>
      <c r="IB100" s="711"/>
      <c r="IC100" s="711"/>
      <c r="ID100" s="711"/>
      <c r="IE100" s="711"/>
      <c r="IF100" s="711"/>
      <c r="IG100" s="711"/>
      <c r="IH100" s="711"/>
      <c r="II100" s="711"/>
      <c r="IJ100" s="711"/>
      <c r="IK100" s="711"/>
      <c r="IL100" s="711"/>
      <c r="IM100" s="711"/>
      <c r="IN100" s="711"/>
      <c r="IO100" s="711"/>
      <c r="IP100" s="711"/>
      <c r="IQ100" s="711"/>
      <c r="IR100" s="711"/>
      <c r="IS100" s="711"/>
      <c r="IT100" s="711"/>
      <c r="IU100" s="711"/>
      <c r="IV100" s="711"/>
    </row>
    <row r="101" spans="1:256" ht="12.75" hidden="1" customHeight="1">
      <c r="A101" s="708" t="s">
        <v>345</v>
      </c>
      <c r="B101" s="707">
        <v>281676.09999999998</v>
      </c>
      <c r="C101" s="708">
        <v>626666.30000000005</v>
      </c>
      <c r="D101" s="691"/>
      <c r="E101" s="708">
        <f t="shared" ref="E101:E109" si="12">B101-C101</f>
        <v>-344990.20000000007</v>
      </c>
      <c r="F101" s="708">
        <v>330670.40000000002</v>
      </c>
      <c r="G101" s="708">
        <v>14320.5</v>
      </c>
      <c r="H101" s="708">
        <f t="shared" ref="H101:H112" si="13">G101+F101</f>
        <v>344990.9</v>
      </c>
      <c r="I101" s="695"/>
      <c r="J101" s="690">
        <v>-0.7</v>
      </c>
      <c r="K101" s="708">
        <f t="shared" ref="K101:K109" si="14">J101+H101</f>
        <v>344990.2</v>
      </c>
      <c r="L101" s="693"/>
      <c r="M101" s="711"/>
      <c r="N101" s="711"/>
      <c r="O101" s="711"/>
      <c r="P101" s="711"/>
      <c r="Q101" s="711"/>
      <c r="R101" s="711"/>
      <c r="S101" s="711"/>
      <c r="T101" s="711"/>
      <c r="U101" s="711"/>
      <c r="V101" s="711"/>
      <c r="W101" s="711"/>
      <c r="X101" s="711"/>
      <c r="Y101" s="711"/>
      <c r="Z101" s="711"/>
      <c r="AA101" s="711"/>
      <c r="AB101" s="711"/>
      <c r="AC101" s="711"/>
      <c r="AD101" s="711"/>
      <c r="AE101" s="711"/>
      <c r="AF101" s="711"/>
      <c r="AG101" s="711"/>
      <c r="AH101" s="711"/>
      <c r="AI101" s="711"/>
      <c r="AJ101" s="711"/>
      <c r="AK101" s="711"/>
      <c r="AL101" s="711"/>
      <c r="AM101" s="711"/>
      <c r="AN101" s="711"/>
      <c r="AO101" s="711"/>
      <c r="AP101" s="711"/>
      <c r="AQ101" s="711"/>
      <c r="AR101" s="711"/>
      <c r="AS101" s="711"/>
      <c r="AT101" s="711"/>
      <c r="AU101" s="711"/>
      <c r="AV101" s="711"/>
      <c r="AW101" s="711"/>
      <c r="AX101" s="711"/>
      <c r="AY101" s="711"/>
      <c r="AZ101" s="711"/>
      <c r="BA101" s="711"/>
      <c r="BB101" s="711"/>
      <c r="BC101" s="711"/>
      <c r="BD101" s="711"/>
      <c r="BE101" s="711"/>
      <c r="BF101" s="711"/>
      <c r="BG101" s="711"/>
      <c r="BH101" s="711"/>
      <c r="BI101" s="711"/>
      <c r="BJ101" s="711"/>
      <c r="BK101" s="711"/>
      <c r="BL101" s="711"/>
      <c r="BM101" s="711"/>
      <c r="BN101" s="711"/>
      <c r="BO101" s="711"/>
      <c r="BP101" s="711"/>
      <c r="BQ101" s="711"/>
      <c r="BR101" s="711"/>
      <c r="BS101" s="711"/>
      <c r="BT101" s="711"/>
      <c r="BU101" s="711"/>
      <c r="BV101" s="711"/>
      <c r="BW101" s="711"/>
      <c r="BX101" s="711"/>
      <c r="BY101" s="711"/>
      <c r="BZ101" s="711"/>
      <c r="CA101" s="711"/>
      <c r="CB101" s="711"/>
      <c r="CC101" s="711"/>
      <c r="CD101" s="711"/>
      <c r="CE101" s="711"/>
      <c r="CF101" s="711"/>
      <c r="CG101" s="711"/>
      <c r="CH101" s="711"/>
      <c r="CI101" s="711"/>
      <c r="CJ101" s="711"/>
      <c r="CK101" s="711"/>
      <c r="CL101" s="711"/>
      <c r="CM101" s="711"/>
      <c r="CN101" s="711"/>
      <c r="CO101" s="711"/>
      <c r="CP101" s="711"/>
      <c r="CQ101" s="711"/>
      <c r="CR101" s="711"/>
      <c r="CS101" s="711"/>
      <c r="CT101" s="711"/>
      <c r="CU101" s="711"/>
      <c r="CV101" s="711"/>
      <c r="CW101" s="711"/>
      <c r="CX101" s="711"/>
      <c r="CY101" s="711"/>
      <c r="CZ101" s="711"/>
      <c r="DA101" s="711"/>
      <c r="DB101" s="711"/>
      <c r="DC101" s="711"/>
      <c r="DD101" s="711"/>
      <c r="DE101" s="711"/>
      <c r="DF101" s="711"/>
      <c r="DG101" s="711"/>
      <c r="DH101" s="711"/>
      <c r="DI101" s="711"/>
      <c r="DJ101" s="711"/>
      <c r="DK101" s="711"/>
      <c r="DL101" s="711"/>
      <c r="DM101" s="711"/>
      <c r="DN101" s="711"/>
      <c r="DO101" s="711"/>
      <c r="DP101" s="711"/>
      <c r="DQ101" s="711"/>
      <c r="DR101" s="711"/>
      <c r="DS101" s="711"/>
      <c r="DT101" s="711"/>
      <c r="DU101" s="711"/>
      <c r="DV101" s="711"/>
      <c r="DW101" s="711"/>
      <c r="DX101" s="711"/>
      <c r="DY101" s="711"/>
      <c r="DZ101" s="711"/>
      <c r="EA101" s="711"/>
      <c r="EB101" s="711"/>
      <c r="EC101" s="711"/>
      <c r="ED101" s="711"/>
      <c r="EE101" s="711"/>
      <c r="EF101" s="711"/>
      <c r="EG101" s="711"/>
      <c r="EH101" s="711"/>
      <c r="EI101" s="711"/>
      <c r="EJ101" s="711"/>
      <c r="EK101" s="711"/>
      <c r="EL101" s="711"/>
      <c r="EM101" s="711"/>
      <c r="EN101" s="711"/>
      <c r="EO101" s="711"/>
      <c r="EP101" s="711"/>
      <c r="EQ101" s="711"/>
      <c r="ER101" s="711"/>
      <c r="ES101" s="711"/>
      <c r="ET101" s="711"/>
      <c r="EU101" s="711"/>
      <c r="EV101" s="711"/>
      <c r="EW101" s="711"/>
      <c r="EX101" s="711"/>
      <c r="EY101" s="711"/>
      <c r="EZ101" s="711"/>
      <c r="FA101" s="711"/>
      <c r="FB101" s="711"/>
      <c r="FC101" s="711"/>
      <c r="FD101" s="711"/>
      <c r="FE101" s="711"/>
      <c r="FF101" s="711"/>
      <c r="FG101" s="711"/>
      <c r="FH101" s="711"/>
      <c r="FI101" s="711"/>
      <c r="FJ101" s="711"/>
      <c r="FK101" s="711"/>
      <c r="FL101" s="711"/>
      <c r="FM101" s="711"/>
      <c r="FN101" s="711"/>
      <c r="FO101" s="711"/>
      <c r="FP101" s="711"/>
      <c r="FQ101" s="711"/>
      <c r="FR101" s="711"/>
      <c r="FS101" s="711"/>
      <c r="FT101" s="711"/>
      <c r="FU101" s="711"/>
      <c r="FV101" s="711"/>
      <c r="FW101" s="711"/>
      <c r="FX101" s="711"/>
      <c r="FY101" s="711"/>
      <c r="FZ101" s="711"/>
      <c r="GA101" s="711"/>
      <c r="GB101" s="711"/>
      <c r="GC101" s="711"/>
      <c r="GD101" s="711"/>
      <c r="GE101" s="711"/>
      <c r="GF101" s="711"/>
      <c r="GG101" s="711"/>
      <c r="GH101" s="711"/>
      <c r="GI101" s="711"/>
      <c r="GJ101" s="711"/>
      <c r="GK101" s="711"/>
      <c r="GL101" s="711"/>
      <c r="GM101" s="711"/>
      <c r="GN101" s="711"/>
      <c r="GO101" s="711"/>
      <c r="GP101" s="711"/>
      <c r="GQ101" s="711"/>
      <c r="GR101" s="711"/>
      <c r="GS101" s="711"/>
      <c r="GT101" s="711"/>
      <c r="GU101" s="711"/>
      <c r="GV101" s="711"/>
      <c r="GW101" s="711"/>
      <c r="GX101" s="711"/>
      <c r="GY101" s="711"/>
      <c r="GZ101" s="711"/>
      <c r="HA101" s="711"/>
      <c r="HB101" s="711"/>
      <c r="HC101" s="711"/>
      <c r="HD101" s="711"/>
      <c r="HE101" s="711"/>
      <c r="HF101" s="711"/>
      <c r="HG101" s="711"/>
      <c r="HH101" s="711"/>
      <c r="HI101" s="711"/>
      <c r="HJ101" s="711"/>
      <c r="HK101" s="711"/>
      <c r="HL101" s="711"/>
      <c r="HM101" s="711"/>
      <c r="HN101" s="711"/>
      <c r="HO101" s="711"/>
      <c r="HP101" s="711"/>
      <c r="HQ101" s="711"/>
      <c r="HR101" s="711"/>
      <c r="HS101" s="711"/>
      <c r="HT101" s="711"/>
      <c r="HU101" s="711"/>
      <c r="HV101" s="711"/>
      <c r="HW101" s="711"/>
      <c r="HX101" s="711"/>
      <c r="HY101" s="711"/>
      <c r="HZ101" s="711"/>
      <c r="IA101" s="711"/>
      <c r="IB101" s="711"/>
      <c r="IC101" s="711"/>
      <c r="ID101" s="711"/>
      <c r="IE101" s="711"/>
      <c r="IF101" s="711"/>
      <c r="IG101" s="711"/>
      <c r="IH101" s="711"/>
      <c r="II101" s="711"/>
      <c r="IJ101" s="711"/>
      <c r="IK101" s="711"/>
      <c r="IL101" s="711"/>
      <c r="IM101" s="711"/>
      <c r="IN101" s="711"/>
      <c r="IO101" s="711"/>
      <c r="IP101" s="711"/>
      <c r="IQ101" s="711"/>
      <c r="IR101" s="711"/>
      <c r="IS101" s="711"/>
      <c r="IT101" s="711"/>
      <c r="IU101" s="711"/>
      <c r="IV101" s="711"/>
    </row>
    <row r="102" spans="1:256" ht="12.75" hidden="1" customHeight="1">
      <c r="A102" s="708" t="s">
        <v>334</v>
      </c>
      <c r="B102" s="707">
        <f>459995.8+4.3</f>
        <v>460000.1</v>
      </c>
      <c r="C102" s="708">
        <v>442327</v>
      </c>
      <c r="D102" s="691"/>
      <c r="E102" s="708">
        <f t="shared" si="12"/>
        <v>17673.099999999977</v>
      </c>
      <c r="F102" s="708">
        <v>-82450.899999999994</v>
      </c>
      <c r="G102" s="708">
        <v>64773.599999999999</v>
      </c>
      <c r="H102" s="708">
        <f t="shared" si="13"/>
        <v>-17677.299999999996</v>
      </c>
      <c r="I102" s="695"/>
      <c r="J102" s="690">
        <v>4.2</v>
      </c>
      <c r="K102" s="708">
        <f t="shared" si="14"/>
        <v>-17673.099999999995</v>
      </c>
      <c r="L102" s="693"/>
      <c r="M102" s="711"/>
      <c r="N102" s="711"/>
      <c r="O102" s="711"/>
      <c r="P102" s="711"/>
      <c r="Q102" s="711"/>
      <c r="R102" s="711"/>
      <c r="S102" s="711"/>
      <c r="T102" s="711"/>
      <c r="U102" s="711"/>
      <c r="V102" s="711"/>
      <c r="W102" s="711"/>
      <c r="X102" s="711"/>
      <c r="Y102" s="711"/>
      <c r="Z102" s="711"/>
      <c r="AA102" s="711"/>
      <c r="AB102" s="711"/>
      <c r="AC102" s="711"/>
      <c r="AD102" s="711"/>
      <c r="AE102" s="711"/>
      <c r="AF102" s="711"/>
      <c r="AG102" s="711"/>
      <c r="AH102" s="711"/>
      <c r="AI102" s="711"/>
      <c r="AJ102" s="711"/>
      <c r="AK102" s="711"/>
      <c r="AL102" s="711"/>
      <c r="AM102" s="711"/>
      <c r="AN102" s="711"/>
      <c r="AO102" s="711"/>
      <c r="AP102" s="711"/>
      <c r="AQ102" s="711"/>
      <c r="AR102" s="711"/>
      <c r="AS102" s="711"/>
      <c r="AT102" s="711"/>
      <c r="AU102" s="711"/>
      <c r="AV102" s="711"/>
      <c r="AW102" s="711"/>
      <c r="AX102" s="711"/>
      <c r="AY102" s="711"/>
      <c r="AZ102" s="711"/>
      <c r="BA102" s="711"/>
      <c r="BB102" s="711"/>
      <c r="BC102" s="711"/>
      <c r="BD102" s="711"/>
      <c r="BE102" s="711"/>
      <c r="BF102" s="711"/>
      <c r="BG102" s="711"/>
      <c r="BH102" s="711"/>
      <c r="BI102" s="711"/>
      <c r="BJ102" s="711"/>
      <c r="BK102" s="711"/>
      <c r="BL102" s="711"/>
      <c r="BM102" s="711"/>
      <c r="BN102" s="711"/>
      <c r="BO102" s="711"/>
      <c r="BP102" s="711"/>
      <c r="BQ102" s="711"/>
      <c r="BR102" s="711"/>
      <c r="BS102" s="711"/>
      <c r="BT102" s="711"/>
      <c r="BU102" s="711"/>
      <c r="BV102" s="711"/>
      <c r="BW102" s="711"/>
      <c r="BX102" s="711"/>
      <c r="BY102" s="711"/>
      <c r="BZ102" s="711"/>
      <c r="CA102" s="711"/>
      <c r="CB102" s="711"/>
      <c r="CC102" s="711"/>
      <c r="CD102" s="711"/>
      <c r="CE102" s="711"/>
      <c r="CF102" s="711"/>
      <c r="CG102" s="711"/>
      <c r="CH102" s="711"/>
      <c r="CI102" s="711"/>
      <c r="CJ102" s="711"/>
      <c r="CK102" s="711"/>
      <c r="CL102" s="711"/>
      <c r="CM102" s="711"/>
      <c r="CN102" s="711"/>
      <c r="CO102" s="711"/>
      <c r="CP102" s="711"/>
      <c r="CQ102" s="711"/>
      <c r="CR102" s="711"/>
      <c r="CS102" s="711"/>
      <c r="CT102" s="711"/>
      <c r="CU102" s="711"/>
      <c r="CV102" s="711"/>
      <c r="CW102" s="711"/>
      <c r="CX102" s="711"/>
      <c r="CY102" s="711"/>
      <c r="CZ102" s="711"/>
      <c r="DA102" s="711"/>
      <c r="DB102" s="711"/>
      <c r="DC102" s="711"/>
      <c r="DD102" s="711"/>
      <c r="DE102" s="711"/>
      <c r="DF102" s="711"/>
      <c r="DG102" s="711"/>
      <c r="DH102" s="711"/>
      <c r="DI102" s="711"/>
      <c r="DJ102" s="711"/>
      <c r="DK102" s="711"/>
      <c r="DL102" s="711"/>
      <c r="DM102" s="711"/>
      <c r="DN102" s="711"/>
      <c r="DO102" s="711"/>
      <c r="DP102" s="711"/>
      <c r="DQ102" s="711"/>
      <c r="DR102" s="711"/>
      <c r="DS102" s="711"/>
      <c r="DT102" s="711"/>
      <c r="DU102" s="711"/>
      <c r="DV102" s="711"/>
      <c r="DW102" s="711"/>
      <c r="DX102" s="711"/>
      <c r="DY102" s="711"/>
      <c r="DZ102" s="711"/>
      <c r="EA102" s="711"/>
      <c r="EB102" s="711"/>
      <c r="EC102" s="711"/>
      <c r="ED102" s="711"/>
      <c r="EE102" s="711"/>
      <c r="EF102" s="711"/>
      <c r="EG102" s="711"/>
      <c r="EH102" s="711"/>
      <c r="EI102" s="711"/>
      <c r="EJ102" s="711"/>
      <c r="EK102" s="711"/>
      <c r="EL102" s="711"/>
      <c r="EM102" s="711"/>
      <c r="EN102" s="711"/>
      <c r="EO102" s="711"/>
      <c r="EP102" s="711"/>
      <c r="EQ102" s="711"/>
      <c r="ER102" s="711"/>
      <c r="ES102" s="711"/>
      <c r="ET102" s="711"/>
      <c r="EU102" s="711"/>
      <c r="EV102" s="711"/>
      <c r="EW102" s="711"/>
      <c r="EX102" s="711"/>
      <c r="EY102" s="711"/>
      <c r="EZ102" s="711"/>
      <c r="FA102" s="711"/>
      <c r="FB102" s="711"/>
      <c r="FC102" s="711"/>
      <c r="FD102" s="711"/>
      <c r="FE102" s="711"/>
      <c r="FF102" s="711"/>
      <c r="FG102" s="711"/>
      <c r="FH102" s="711"/>
      <c r="FI102" s="711"/>
      <c r="FJ102" s="711"/>
      <c r="FK102" s="711"/>
      <c r="FL102" s="711"/>
      <c r="FM102" s="711"/>
      <c r="FN102" s="711"/>
      <c r="FO102" s="711"/>
      <c r="FP102" s="711"/>
      <c r="FQ102" s="711"/>
      <c r="FR102" s="711"/>
      <c r="FS102" s="711"/>
      <c r="FT102" s="711"/>
      <c r="FU102" s="711"/>
      <c r="FV102" s="711"/>
      <c r="FW102" s="711"/>
      <c r="FX102" s="711"/>
      <c r="FY102" s="711"/>
      <c r="FZ102" s="711"/>
      <c r="GA102" s="711"/>
      <c r="GB102" s="711"/>
      <c r="GC102" s="711"/>
      <c r="GD102" s="711"/>
      <c r="GE102" s="711"/>
      <c r="GF102" s="711"/>
      <c r="GG102" s="711"/>
      <c r="GH102" s="711"/>
      <c r="GI102" s="711"/>
      <c r="GJ102" s="711"/>
      <c r="GK102" s="711"/>
      <c r="GL102" s="711"/>
      <c r="GM102" s="711"/>
      <c r="GN102" s="711"/>
      <c r="GO102" s="711"/>
      <c r="GP102" s="711"/>
      <c r="GQ102" s="711"/>
      <c r="GR102" s="711"/>
      <c r="GS102" s="711"/>
      <c r="GT102" s="711"/>
      <c r="GU102" s="711"/>
      <c r="GV102" s="711"/>
      <c r="GW102" s="711"/>
      <c r="GX102" s="711"/>
      <c r="GY102" s="711"/>
      <c r="GZ102" s="711"/>
      <c r="HA102" s="711"/>
      <c r="HB102" s="711"/>
      <c r="HC102" s="711"/>
      <c r="HD102" s="711"/>
      <c r="HE102" s="711"/>
      <c r="HF102" s="711"/>
      <c r="HG102" s="711"/>
      <c r="HH102" s="711"/>
      <c r="HI102" s="711"/>
      <c r="HJ102" s="711"/>
      <c r="HK102" s="711"/>
      <c r="HL102" s="711"/>
      <c r="HM102" s="711"/>
      <c r="HN102" s="711"/>
      <c r="HO102" s="711"/>
      <c r="HP102" s="711"/>
      <c r="HQ102" s="711"/>
      <c r="HR102" s="711"/>
      <c r="HS102" s="711"/>
      <c r="HT102" s="711"/>
      <c r="HU102" s="711"/>
      <c r="HV102" s="711"/>
      <c r="HW102" s="711"/>
      <c r="HX102" s="711"/>
      <c r="HY102" s="711"/>
      <c r="HZ102" s="711"/>
      <c r="IA102" s="711"/>
      <c r="IB102" s="711"/>
      <c r="IC102" s="711"/>
      <c r="ID102" s="711"/>
      <c r="IE102" s="711"/>
      <c r="IF102" s="711"/>
      <c r="IG102" s="711"/>
      <c r="IH102" s="711"/>
      <c r="II102" s="711"/>
      <c r="IJ102" s="711"/>
      <c r="IK102" s="711"/>
      <c r="IL102" s="711"/>
      <c r="IM102" s="711"/>
      <c r="IN102" s="711"/>
      <c r="IO102" s="711"/>
      <c r="IP102" s="711"/>
      <c r="IQ102" s="711"/>
      <c r="IR102" s="711"/>
      <c r="IS102" s="711"/>
      <c r="IT102" s="711"/>
      <c r="IU102" s="711"/>
      <c r="IV102" s="711"/>
    </row>
    <row r="103" spans="1:256" ht="12.75" hidden="1" customHeight="1">
      <c r="A103" s="708" t="s">
        <v>335</v>
      </c>
      <c r="B103" s="707">
        <f>476966.5+242.1</f>
        <v>477208.6</v>
      </c>
      <c r="C103" s="708">
        <v>663555.6</v>
      </c>
      <c r="D103" s="691"/>
      <c r="E103" s="708">
        <f t="shared" si="12"/>
        <v>-186347</v>
      </c>
      <c r="F103" s="708">
        <v>179407.8</v>
      </c>
      <c r="G103" s="708">
        <v>6939.2</v>
      </c>
      <c r="H103" s="708">
        <f t="shared" si="13"/>
        <v>186347</v>
      </c>
      <c r="I103" s="695"/>
      <c r="J103" s="708">
        <v>0</v>
      </c>
      <c r="K103" s="708">
        <f t="shared" si="14"/>
        <v>186347</v>
      </c>
      <c r="L103" s="693"/>
      <c r="M103" s="711"/>
      <c r="N103" s="711"/>
      <c r="O103" s="711"/>
      <c r="P103" s="711"/>
      <c r="Q103" s="711"/>
      <c r="R103" s="711"/>
      <c r="S103" s="711"/>
      <c r="T103" s="711"/>
      <c r="U103" s="711"/>
      <c r="V103" s="711"/>
      <c r="W103" s="711"/>
      <c r="X103" s="711"/>
      <c r="Y103" s="711"/>
      <c r="Z103" s="711"/>
      <c r="AA103" s="711"/>
      <c r="AB103" s="711"/>
      <c r="AC103" s="711"/>
      <c r="AD103" s="711"/>
      <c r="AE103" s="711"/>
      <c r="AF103" s="711"/>
      <c r="AG103" s="711"/>
      <c r="AH103" s="711"/>
      <c r="AI103" s="711"/>
      <c r="AJ103" s="711"/>
      <c r="AK103" s="711"/>
      <c r="AL103" s="711"/>
      <c r="AM103" s="711"/>
      <c r="AN103" s="711"/>
      <c r="AO103" s="711"/>
      <c r="AP103" s="711"/>
      <c r="AQ103" s="711"/>
      <c r="AR103" s="711"/>
      <c r="AS103" s="711"/>
      <c r="AT103" s="711"/>
      <c r="AU103" s="711"/>
      <c r="AV103" s="711"/>
      <c r="AW103" s="711"/>
      <c r="AX103" s="711"/>
      <c r="AY103" s="711"/>
      <c r="AZ103" s="711"/>
      <c r="BA103" s="711"/>
      <c r="BB103" s="711"/>
      <c r="BC103" s="711"/>
      <c r="BD103" s="711"/>
      <c r="BE103" s="711"/>
      <c r="BF103" s="711"/>
      <c r="BG103" s="711"/>
      <c r="BH103" s="711"/>
      <c r="BI103" s="711"/>
      <c r="BJ103" s="711"/>
      <c r="BK103" s="711"/>
      <c r="BL103" s="711"/>
      <c r="BM103" s="711"/>
      <c r="BN103" s="711"/>
      <c r="BO103" s="711"/>
      <c r="BP103" s="711"/>
      <c r="BQ103" s="711"/>
      <c r="BR103" s="711"/>
      <c r="BS103" s="711"/>
      <c r="BT103" s="711"/>
      <c r="BU103" s="711"/>
      <c r="BV103" s="711"/>
      <c r="BW103" s="711"/>
      <c r="BX103" s="711"/>
      <c r="BY103" s="711"/>
      <c r="BZ103" s="711"/>
      <c r="CA103" s="711"/>
      <c r="CB103" s="711"/>
      <c r="CC103" s="711"/>
      <c r="CD103" s="711"/>
      <c r="CE103" s="711"/>
      <c r="CF103" s="711"/>
      <c r="CG103" s="711"/>
      <c r="CH103" s="711"/>
      <c r="CI103" s="711"/>
      <c r="CJ103" s="711"/>
      <c r="CK103" s="711"/>
      <c r="CL103" s="711"/>
      <c r="CM103" s="711"/>
      <c r="CN103" s="711"/>
      <c r="CO103" s="711"/>
      <c r="CP103" s="711"/>
      <c r="CQ103" s="711"/>
      <c r="CR103" s="711"/>
      <c r="CS103" s="711"/>
      <c r="CT103" s="711"/>
      <c r="CU103" s="711"/>
      <c r="CV103" s="711"/>
      <c r="CW103" s="711"/>
      <c r="CX103" s="711"/>
      <c r="CY103" s="711"/>
      <c r="CZ103" s="711"/>
      <c r="DA103" s="711"/>
      <c r="DB103" s="711"/>
      <c r="DC103" s="711"/>
      <c r="DD103" s="711"/>
      <c r="DE103" s="711"/>
      <c r="DF103" s="711"/>
      <c r="DG103" s="711"/>
      <c r="DH103" s="711"/>
      <c r="DI103" s="711"/>
      <c r="DJ103" s="711"/>
      <c r="DK103" s="711"/>
      <c r="DL103" s="711"/>
      <c r="DM103" s="711"/>
      <c r="DN103" s="711"/>
      <c r="DO103" s="711"/>
      <c r="DP103" s="711"/>
      <c r="DQ103" s="711"/>
      <c r="DR103" s="711"/>
      <c r="DS103" s="711"/>
      <c r="DT103" s="711"/>
      <c r="DU103" s="711"/>
      <c r="DV103" s="711"/>
      <c r="DW103" s="711"/>
      <c r="DX103" s="711"/>
      <c r="DY103" s="711"/>
      <c r="DZ103" s="711"/>
      <c r="EA103" s="711"/>
      <c r="EB103" s="711"/>
      <c r="EC103" s="711"/>
      <c r="ED103" s="711"/>
      <c r="EE103" s="711"/>
      <c r="EF103" s="711"/>
      <c r="EG103" s="711"/>
      <c r="EH103" s="711"/>
      <c r="EI103" s="711"/>
      <c r="EJ103" s="711"/>
      <c r="EK103" s="711"/>
      <c r="EL103" s="711"/>
      <c r="EM103" s="711"/>
      <c r="EN103" s="711"/>
      <c r="EO103" s="711"/>
      <c r="EP103" s="711"/>
      <c r="EQ103" s="711"/>
      <c r="ER103" s="711"/>
      <c r="ES103" s="711"/>
      <c r="ET103" s="711"/>
      <c r="EU103" s="711"/>
      <c r="EV103" s="711"/>
      <c r="EW103" s="711"/>
      <c r="EX103" s="711"/>
      <c r="EY103" s="711"/>
      <c r="EZ103" s="711"/>
      <c r="FA103" s="711"/>
      <c r="FB103" s="711"/>
      <c r="FC103" s="711"/>
      <c r="FD103" s="711"/>
      <c r="FE103" s="711"/>
      <c r="FF103" s="711"/>
      <c r="FG103" s="711"/>
      <c r="FH103" s="711"/>
      <c r="FI103" s="711"/>
      <c r="FJ103" s="711"/>
      <c r="FK103" s="711"/>
      <c r="FL103" s="711"/>
      <c r="FM103" s="711"/>
      <c r="FN103" s="711"/>
      <c r="FO103" s="711"/>
      <c r="FP103" s="711"/>
      <c r="FQ103" s="711"/>
      <c r="FR103" s="711"/>
      <c r="FS103" s="711"/>
      <c r="FT103" s="711"/>
      <c r="FU103" s="711"/>
      <c r="FV103" s="711"/>
      <c r="FW103" s="711"/>
      <c r="FX103" s="711"/>
      <c r="FY103" s="711"/>
      <c r="FZ103" s="711"/>
      <c r="GA103" s="711"/>
      <c r="GB103" s="711"/>
      <c r="GC103" s="711"/>
      <c r="GD103" s="711"/>
      <c r="GE103" s="711"/>
      <c r="GF103" s="711"/>
      <c r="GG103" s="711"/>
      <c r="GH103" s="711"/>
      <c r="GI103" s="711"/>
      <c r="GJ103" s="711"/>
      <c r="GK103" s="711"/>
      <c r="GL103" s="711"/>
      <c r="GM103" s="711"/>
      <c r="GN103" s="711"/>
      <c r="GO103" s="711"/>
      <c r="GP103" s="711"/>
      <c r="GQ103" s="711"/>
      <c r="GR103" s="711"/>
      <c r="GS103" s="711"/>
      <c r="GT103" s="711"/>
      <c r="GU103" s="711"/>
      <c r="GV103" s="711"/>
      <c r="GW103" s="711"/>
      <c r="GX103" s="711"/>
      <c r="GY103" s="711"/>
      <c r="GZ103" s="711"/>
      <c r="HA103" s="711"/>
      <c r="HB103" s="711"/>
      <c r="HC103" s="711"/>
      <c r="HD103" s="711"/>
      <c r="HE103" s="711"/>
      <c r="HF103" s="711"/>
      <c r="HG103" s="711"/>
      <c r="HH103" s="711"/>
      <c r="HI103" s="711"/>
      <c r="HJ103" s="711"/>
      <c r="HK103" s="711"/>
      <c r="HL103" s="711"/>
      <c r="HM103" s="711"/>
      <c r="HN103" s="711"/>
      <c r="HO103" s="711"/>
      <c r="HP103" s="711"/>
      <c r="HQ103" s="711"/>
      <c r="HR103" s="711"/>
      <c r="HS103" s="711"/>
      <c r="HT103" s="711"/>
      <c r="HU103" s="711"/>
      <c r="HV103" s="711"/>
      <c r="HW103" s="711"/>
      <c r="HX103" s="711"/>
      <c r="HY103" s="711"/>
      <c r="HZ103" s="711"/>
      <c r="IA103" s="711"/>
      <c r="IB103" s="711"/>
      <c r="IC103" s="711"/>
      <c r="ID103" s="711"/>
      <c r="IE103" s="711"/>
      <c r="IF103" s="711"/>
      <c r="IG103" s="711"/>
      <c r="IH103" s="711"/>
      <c r="II103" s="711"/>
      <c r="IJ103" s="711"/>
      <c r="IK103" s="711"/>
      <c r="IL103" s="711"/>
      <c r="IM103" s="711"/>
      <c r="IN103" s="711"/>
      <c r="IO103" s="711"/>
      <c r="IP103" s="711"/>
      <c r="IQ103" s="711"/>
      <c r="IR103" s="711"/>
      <c r="IS103" s="711"/>
      <c r="IT103" s="711"/>
      <c r="IU103" s="711"/>
      <c r="IV103" s="711"/>
    </row>
    <row r="104" spans="1:256" ht="12.75" hidden="1" customHeight="1">
      <c r="A104" s="708" t="s">
        <v>336</v>
      </c>
      <c r="B104" s="707">
        <v>478391.5</v>
      </c>
      <c r="C104" s="708">
        <v>759972.9</v>
      </c>
      <c r="D104" s="691"/>
      <c r="E104" s="708">
        <f t="shared" si="12"/>
        <v>-281581.40000000002</v>
      </c>
      <c r="F104" s="708">
        <v>302037.59999999998</v>
      </c>
      <c r="G104" s="708">
        <v>-20456.2</v>
      </c>
      <c r="H104" s="708">
        <f t="shared" si="13"/>
        <v>281581.39999999997</v>
      </c>
      <c r="I104" s="695"/>
      <c r="J104" s="708">
        <v>0</v>
      </c>
      <c r="K104" s="708">
        <f t="shared" si="14"/>
        <v>281581.39999999997</v>
      </c>
      <c r="L104" s="693"/>
      <c r="M104" s="711"/>
      <c r="N104" s="711"/>
      <c r="O104" s="711"/>
      <c r="P104" s="711"/>
      <c r="Q104" s="711"/>
      <c r="R104" s="711"/>
      <c r="S104" s="711"/>
      <c r="T104" s="711"/>
      <c r="U104" s="711"/>
      <c r="V104" s="711"/>
      <c r="W104" s="711"/>
      <c r="X104" s="711"/>
      <c r="Y104" s="711"/>
      <c r="Z104" s="711"/>
      <c r="AA104" s="711"/>
      <c r="AB104" s="711"/>
      <c r="AC104" s="711"/>
      <c r="AD104" s="711"/>
      <c r="AE104" s="711"/>
      <c r="AF104" s="711"/>
      <c r="AG104" s="711"/>
      <c r="AH104" s="711"/>
      <c r="AI104" s="711"/>
      <c r="AJ104" s="711"/>
      <c r="AK104" s="711"/>
      <c r="AL104" s="711"/>
      <c r="AM104" s="711"/>
      <c r="AN104" s="711"/>
      <c r="AO104" s="711"/>
      <c r="AP104" s="711"/>
      <c r="AQ104" s="711"/>
      <c r="AR104" s="711"/>
      <c r="AS104" s="711"/>
      <c r="AT104" s="711"/>
      <c r="AU104" s="711"/>
      <c r="AV104" s="711"/>
      <c r="AW104" s="711"/>
      <c r="AX104" s="711"/>
      <c r="AY104" s="711"/>
      <c r="AZ104" s="711"/>
      <c r="BA104" s="711"/>
      <c r="BB104" s="711"/>
      <c r="BC104" s="711"/>
      <c r="BD104" s="711"/>
      <c r="BE104" s="711"/>
      <c r="BF104" s="711"/>
      <c r="BG104" s="711"/>
      <c r="BH104" s="711"/>
      <c r="BI104" s="711"/>
      <c r="BJ104" s="711"/>
      <c r="BK104" s="711"/>
      <c r="BL104" s="711"/>
      <c r="BM104" s="711"/>
      <c r="BN104" s="711"/>
      <c r="BO104" s="711"/>
      <c r="BP104" s="711"/>
      <c r="BQ104" s="711"/>
      <c r="BR104" s="711"/>
      <c r="BS104" s="711"/>
      <c r="BT104" s="711"/>
      <c r="BU104" s="711"/>
      <c r="BV104" s="711"/>
      <c r="BW104" s="711"/>
      <c r="BX104" s="711"/>
      <c r="BY104" s="711"/>
      <c r="BZ104" s="711"/>
      <c r="CA104" s="711"/>
      <c r="CB104" s="711"/>
      <c r="CC104" s="711"/>
      <c r="CD104" s="711"/>
      <c r="CE104" s="711"/>
      <c r="CF104" s="711"/>
      <c r="CG104" s="711"/>
      <c r="CH104" s="711"/>
      <c r="CI104" s="711"/>
      <c r="CJ104" s="711"/>
      <c r="CK104" s="711"/>
      <c r="CL104" s="711"/>
      <c r="CM104" s="711"/>
      <c r="CN104" s="711"/>
      <c r="CO104" s="711"/>
      <c r="CP104" s="711"/>
      <c r="CQ104" s="711"/>
      <c r="CR104" s="711"/>
      <c r="CS104" s="711"/>
      <c r="CT104" s="711"/>
      <c r="CU104" s="711"/>
      <c r="CV104" s="711"/>
      <c r="CW104" s="711"/>
      <c r="CX104" s="711"/>
      <c r="CY104" s="711"/>
      <c r="CZ104" s="711"/>
      <c r="DA104" s="711"/>
      <c r="DB104" s="711"/>
      <c r="DC104" s="711"/>
      <c r="DD104" s="711"/>
      <c r="DE104" s="711"/>
      <c r="DF104" s="711"/>
      <c r="DG104" s="711"/>
      <c r="DH104" s="711"/>
      <c r="DI104" s="711"/>
      <c r="DJ104" s="711"/>
      <c r="DK104" s="711"/>
      <c r="DL104" s="711"/>
      <c r="DM104" s="711"/>
      <c r="DN104" s="711"/>
      <c r="DO104" s="711"/>
      <c r="DP104" s="711"/>
      <c r="DQ104" s="711"/>
      <c r="DR104" s="711"/>
      <c r="DS104" s="711"/>
      <c r="DT104" s="711"/>
      <c r="DU104" s="711"/>
      <c r="DV104" s="711"/>
      <c r="DW104" s="711"/>
      <c r="DX104" s="711"/>
      <c r="DY104" s="711"/>
      <c r="DZ104" s="711"/>
      <c r="EA104" s="711"/>
      <c r="EB104" s="711"/>
      <c r="EC104" s="711"/>
      <c r="ED104" s="711"/>
      <c r="EE104" s="711"/>
      <c r="EF104" s="711"/>
      <c r="EG104" s="711"/>
      <c r="EH104" s="711"/>
      <c r="EI104" s="711"/>
      <c r="EJ104" s="711"/>
      <c r="EK104" s="711"/>
      <c r="EL104" s="711"/>
      <c r="EM104" s="711"/>
      <c r="EN104" s="711"/>
      <c r="EO104" s="711"/>
      <c r="EP104" s="711"/>
      <c r="EQ104" s="711"/>
      <c r="ER104" s="711"/>
      <c r="ES104" s="711"/>
      <c r="ET104" s="711"/>
      <c r="EU104" s="711"/>
      <c r="EV104" s="711"/>
      <c r="EW104" s="711"/>
      <c r="EX104" s="711"/>
      <c r="EY104" s="711"/>
      <c r="EZ104" s="711"/>
      <c r="FA104" s="711"/>
      <c r="FB104" s="711"/>
      <c r="FC104" s="711"/>
      <c r="FD104" s="711"/>
      <c r="FE104" s="711"/>
      <c r="FF104" s="711"/>
      <c r="FG104" s="711"/>
      <c r="FH104" s="711"/>
      <c r="FI104" s="711"/>
      <c r="FJ104" s="711"/>
      <c r="FK104" s="711"/>
      <c r="FL104" s="711"/>
      <c r="FM104" s="711"/>
      <c r="FN104" s="711"/>
      <c r="FO104" s="711"/>
      <c r="FP104" s="711"/>
      <c r="FQ104" s="711"/>
      <c r="FR104" s="711"/>
      <c r="FS104" s="711"/>
      <c r="FT104" s="711"/>
      <c r="FU104" s="711"/>
      <c r="FV104" s="711"/>
      <c r="FW104" s="711"/>
      <c r="FX104" s="711"/>
      <c r="FY104" s="711"/>
      <c r="FZ104" s="711"/>
      <c r="GA104" s="711"/>
      <c r="GB104" s="711"/>
      <c r="GC104" s="711"/>
      <c r="GD104" s="711"/>
      <c r="GE104" s="711"/>
      <c r="GF104" s="711"/>
      <c r="GG104" s="711"/>
      <c r="GH104" s="711"/>
      <c r="GI104" s="711"/>
      <c r="GJ104" s="711"/>
      <c r="GK104" s="711"/>
      <c r="GL104" s="711"/>
      <c r="GM104" s="711"/>
      <c r="GN104" s="711"/>
      <c r="GO104" s="711"/>
      <c r="GP104" s="711"/>
      <c r="GQ104" s="711"/>
      <c r="GR104" s="711"/>
      <c r="GS104" s="711"/>
      <c r="GT104" s="711"/>
      <c r="GU104" s="711"/>
      <c r="GV104" s="711"/>
      <c r="GW104" s="711"/>
      <c r="GX104" s="711"/>
      <c r="GY104" s="711"/>
      <c r="GZ104" s="711"/>
      <c r="HA104" s="711"/>
      <c r="HB104" s="711"/>
      <c r="HC104" s="711"/>
      <c r="HD104" s="711"/>
      <c r="HE104" s="711"/>
      <c r="HF104" s="711"/>
      <c r="HG104" s="711"/>
      <c r="HH104" s="711"/>
      <c r="HI104" s="711"/>
      <c r="HJ104" s="711"/>
      <c r="HK104" s="711"/>
      <c r="HL104" s="711"/>
      <c r="HM104" s="711"/>
      <c r="HN104" s="711"/>
      <c r="HO104" s="711"/>
      <c r="HP104" s="711"/>
      <c r="HQ104" s="711"/>
      <c r="HR104" s="711"/>
      <c r="HS104" s="711"/>
      <c r="HT104" s="711"/>
      <c r="HU104" s="711"/>
      <c r="HV104" s="711"/>
      <c r="HW104" s="711"/>
      <c r="HX104" s="711"/>
      <c r="HY104" s="711"/>
      <c r="HZ104" s="711"/>
      <c r="IA104" s="711"/>
      <c r="IB104" s="711"/>
      <c r="IC104" s="711"/>
      <c r="ID104" s="711"/>
      <c r="IE104" s="711"/>
      <c r="IF104" s="711"/>
      <c r="IG104" s="711"/>
      <c r="IH104" s="711"/>
      <c r="II104" s="711"/>
      <c r="IJ104" s="711"/>
      <c r="IK104" s="711"/>
      <c r="IL104" s="711"/>
      <c r="IM104" s="711"/>
      <c r="IN104" s="711"/>
      <c r="IO104" s="711"/>
      <c r="IP104" s="711"/>
      <c r="IQ104" s="711"/>
      <c r="IR104" s="711"/>
      <c r="IS104" s="711"/>
      <c r="IT104" s="711"/>
      <c r="IU104" s="711"/>
      <c r="IV104" s="711"/>
    </row>
    <row r="105" spans="1:256" ht="12.75" hidden="1" customHeight="1">
      <c r="A105" s="708" t="s">
        <v>337</v>
      </c>
      <c r="B105" s="707">
        <f>528075.9+5388.4</f>
        <v>533464.30000000005</v>
      </c>
      <c r="C105" s="708">
        <v>864407.9</v>
      </c>
      <c r="D105" s="691"/>
      <c r="E105" s="708">
        <f t="shared" si="12"/>
        <v>-330943.59999999998</v>
      </c>
      <c r="F105" s="708">
        <v>418273</v>
      </c>
      <c r="G105" s="708">
        <v>-87337.7</v>
      </c>
      <c r="H105" s="708">
        <f t="shared" si="13"/>
        <v>330935.3</v>
      </c>
      <c r="I105" s="695"/>
      <c r="J105" s="708">
        <v>8.3000000000000007</v>
      </c>
      <c r="K105" s="708">
        <f t="shared" si="14"/>
        <v>330943.59999999998</v>
      </c>
      <c r="L105" s="693"/>
      <c r="M105" s="711"/>
      <c r="N105" s="711"/>
      <c r="O105" s="711"/>
      <c r="P105" s="711"/>
      <c r="Q105" s="711"/>
      <c r="R105" s="711"/>
      <c r="S105" s="711"/>
      <c r="T105" s="711"/>
      <c r="U105" s="711"/>
      <c r="V105" s="711"/>
      <c r="W105" s="711"/>
      <c r="X105" s="711"/>
      <c r="Y105" s="711"/>
      <c r="Z105" s="711"/>
      <c r="AA105" s="711"/>
      <c r="AB105" s="711"/>
      <c r="AC105" s="711"/>
      <c r="AD105" s="711"/>
      <c r="AE105" s="711"/>
      <c r="AF105" s="711"/>
      <c r="AG105" s="711"/>
      <c r="AH105" s="711"/>
      <c r="AI105" s="711"/>
      <c r="AJ105" s="711"/>
      <c r="AK105" s="711"/>
      <c r="AL105" s="711"/>
      <c r="AM105" s="711"/>
      <c r="AN105" s="711"/>
      <c r="AO105" s="711"/>
      <c r="AP105" s="711"/>
      <c r="AQ105" s="711"/>
      <c r="AR105" s="711"/>
      <c r="AS105" s="711"/>
      <c r="AT105" s="711"/>
      <c r="AU105" s="711"/>
      <c r="AV105" s="711"/>
      <c r="AW105" s="711"/>
      <c r="AX105" s="711"/>
      <c r="AY105" s="711"/>
      <c r="AZ105" s="711"/>
      <c r="BA105" s="711"/>
      <c r="BB105" s="711"/>
      <c r="BC105" s="711"/>
      <c r="BD105" s="711"/>
      <c r="BE105" s="711"/>
      <c r="BF105" s="711"/>
      <c r="BG105" s="711"/>
      <c r="BH105" s="711"/>
      <c r="BI105" s="711"/>
      <c r="BJ105" s="711"/>
      <c r="BK105" s="711"/>
      <c r="BL105" s="711"/>
      <c r="BM105" s="711"/>
      <c r="BN105" s="711"/>
      <c r="BO105" s="711"/>
      <c r="BP105" s="711"/>
      <c r="BQ105" s="711"/>
      <c r="BR105" s="711"/>
      <c r="BS105" s="711"/>
      <c r="BT105" s="711"/>
      <c r="BU105" s="711"/>
      <c r="BV105" s="711"/>
      <c r="BW105" s="711"/>
      <c r="BX105" s="711"/>
      <c r="BY105" s="711"/>
      <c r="BZ105" s="711"/>
      <c r="CA105" s="711"/>
      <c r="CB105" s="711"/>
      <c r="CC105" s="711"/>
      <c r="CD105" s="711"/>
      <c r="CE105" s="711"/>
      <c r="CF105" s="711"/>
      <c r="CG105" s="711"/>
      <c r="CH105" s="711"/>
      <c r="CI105" s="711"/>
      <c r="CJ105" s="711"/>
      <c r="CK105" s="711"/>
      <c r="CL105" s="711"/>
      <c r="CM105" s="711"/>
      <c r="CN105" s="711"/>
      <c r="CO105" s="711"/>
      <c r="CP105" s="711"/>
      <c r="CQ105" s="711"/>
      <c r="CR105" s="711"/>
      <c r="CS105" s="711"/>
      <c r="CT105" s="711"/>
      <c r="CU105" s="711"/>
      <c r="CV105" s="711"/>
      <c r="CW105" s="711"/>
      <c r="CX105" s="711"/>
      <c r="CY105" s="711"/>
      <c r="CZ105" s="711"/>
      <c r="DA105" s="711"/>
      <c r="DB105" s="711"/>
      <c r="DC105" s="711"/>
      <c r="DD105" s="711"/>
      <c r="DE105" s="711"/>
      <c r="DF105" s="711"/>
      <c r="DG105" s="711"/>
      <c r="DH105" s="711"/>
      <c r="DI105" s="711"/>
      <c r="DJ105" s="711"/>
      <c r="DK105" s="711"/>
      <c r="DL105" s="711"/>
      <c r="DM105" s="711"/>
      <c r="DN105" s="711"/>
      <c r="DO105" s="711"/>
      <c r="DP105" s="711"/>
      <c r="DQ105" s="711"/>
      <c r="DR105" s="711"/>
      <c r="DS105" s="711"/>
      <c r="DT105" s="711"/>
      <c r="DU105" s="711"/>
      <c r="DV105" s="711"/>
      <c r="DW105" s="711"/>
      <c r="DX105" s="711"/>
      <c r="DY105" s="711"/>
      <c r="DZ105" s="711"/>
      <c r="EA105" s="711"/>
      <c r="EB105" s="711"/>
      <c r="EC105" s="711"/>
      <c r="ED105" s="711"/>
      <c r="EE105" s="711"/>
      <c r="EF105" s="711"/>
      <c r="EG105" s="711"/>
      <c r="EH105" s="711"/>
      <c r="EI105" s="711"/>
      <c r="EJ105" s="711"/>
      <c r="EK105" s="711"/>
      <c r="EL105" s="711"/>
      <c r="EM105" s="711"/>
      <c r="EN105" s="711"/>
      <c r="EO105" s="711"/>
      <c r="EP105" s="711"/>
      <c r="EQ105" s="711"/>
      <c r="ER105" s="711"/>
      <c r="ES105" s="711"/>
      <c r="ET105" s="711"/>
      <c r="EU105" s="711"/>
      <c r="EV105" s="711"/>
      <c r="EW105" s="711"/>
      <c r="EX105" s="711"/>
      <c r="EY105" s="711"/>
      <c r="EZ105" s="711"/>
      <c r="FA105" s="711"/>
      <c r="FB105" s="711"/>
      <c r="FC105" s="711"/>
      <c r="FD105" s="711"/>
      <c r="FE105" s="711"/>
      <c r="FF105" s="711"/>
      <c r="FG105" s="711"/>
      <c r="FH105" s="711"/>
      <c r="FI105" s="711"/>
      <c r="FJ105" s="711"/>
      <c r="FK105" s="711"/>
      <c r="FL105" s="711"/>
      <c r="FM105" s="711"/>
      <c r="FN105" s="711"/>
      <c r="FO105" s="711"/>
      <c r="FP105" s="711"/>
      <c r="FQ105" s="711"/>
      <c r="FR105" s="711"/>
      <c r="FS105" s="711"/>
      <c r="FT105" s="711"/>
      <c r="FU105" s="711"/>
      <c r="FV105" s="711"/>
      <c r="FW105" s="711"/>
      <c r="FX105" s="711"/>
      <c r="FY105" s="711"/>
      <c r="FZ105" s="711"/>
      <c r="GA105" s="711"/>
      <c r="GB105" s="711"/>
      <c r="GC105" s="711"/>
      <c r="GD105" s="711"/>
      <c r="GE105" s="711"/>
      <c r="GF105" s="711"/>
      <c r="GG105" s="711"/>
      <c r="GH105" s="711"/>
      <c r="GI105" s="711"/>
      <c r="GJ105" s="711"/>
      <c r="GK105" s="711"/>
      <c r="GL105" s="711"/>
      <c r="GM105" s="711"/>
      <c r="GN105" s="711"/>
      <c r="GO105" s="711"/>
      <c r="GP105" s="711"/>
      <c r="GQ105" s="711"/>
      <c r="GR105" s="711"/>
      <c r="GS105" s="711"/>
      <c r="GT105" s="711"/>
      <c r="GU105" s="711"/>
      <c r="GV105" s="711"/>
      <c r="GW105" s="711"/>
      <c r="GX105" s="711"/>
      <c r="GY105" s="711"/>
      <c r="GZ105" s="711"/>
      <c r="HA105" s="711"/>
      <c r="HB105" s="711"/>
      <c r="HC105" s="711"/>
      <c r="HD105" s="711"/>
      <c r="HE105" s="711"/>
      <c r="HF105" s="711"/>
      <c r="HG105" s="711"/>
      <c r="HH105" s="711"/>
      <c r="HI105" s="711"/>
      <c r="HJ105" s="711"/>
      <c r="HK105" s="711"/>
      <c r="HL105" s="711"/>
      <c r="HM105" s="711"/>
      <c r="HN105" s="711"/>
      <c r="HO105" s="711"/>
      <c r="HP105" s="711"/>
      <c r="HQ105" s="711"/>
      <c r="HR105" s="711"/>
      <c r="HS105" s="711"/>
      <c r="HT105" s="711"/>
      <c r="HU105" s="711"/>
      <c r="HV105" s="711"/>
      <c r="HW105" s="711"/>
      <c r="HX105" s="711"/>
      <c r="HY105" s="711"/>
      <c r="HZ105" s="711"/>
      <c r="IA105" s="711"/>
      <c r="IB105" s="711"/>
      <c r="IC105" s="711"/>
      <c r="ID105" s="711"/>
      <c r="IE105" s="711"/>
      <c r="IF105" s="711"/>
      <c r="IG105" s="711"/>
      <c r="IH105" s="711"/>
      <c r="II105" s="711"/>
      <c r="IJ105" s="711"/>
      <c r="IK105" s="711"/>
      <c r="IL105" s="711"/>
      <c r="IM105" s="711"/>
      <c r="IN105" s="711"/>
      <c r="IO105" s="711"/>
      <c r="IP105" s="711"/>
      <c r="IQ105" s="711"/>
      <c r="IR105" s="711"/>
      <c r="IS105" s="711"/>
      <c r="IT105" s="711"/>
      <c r="IU105" s="711"/>
      <c r="IV105" s="711"/>
    </row>
    <row r="106" spans="1:256" ht="12.75" hidden="1" customHeight="1">
      <c r="A106" s="708" t="s">
        <v>338</v>
      </c>
      <c r="B106" s="707">
        <v>640021.4</v>
      </c>
      <c r="C106" s="708">
        <v>469574</v>
      </c>
      <c r="D106" s="691"/>
      <c r="E106" s="708">
        <f t="shared" si="12"/>
        <v>170447.40000000002</v>
      </c>
      <c r="F106" s="708">
        <v>-266739.3</v>
      </c>
      <c r="G106" s="708">
        <v>96291.9</v>
      </c>
      <c r="H106" s="708">
        <f t="shared" si="13"/>
        <v>-170447.4</v>
      </c>
      <c r="I106" s="695"/>
      <c r="J106" s="708">
        <v>0</v>
      </c>
      <c r="K106" s="708">
        <f t="shared" si="14"/>
        <v>-170447.4</v>
      </c>
      <c r="L106" s="693"/>
      <c r="M106" s="711"/>
      <c r="N106" s="711"/>
      <c r="O106" s="711"/>
      <c r="P106" s="711"/>
      <c r="Q106" s="711"/>
      <c r="R106" s="711"/>
      <c r="S106" s="711"/>
      <c r="T106" s="711"/>
      <c r="U106" s="711"/>
      <c r="V106" s="711"/>
      <c r="W106" s="711"/>
      <c r="X106" s="711"/>
      <c r="Y106" s="711"/>
      <c r="Z106" s="711"/>
      <c r="AA106" s="711"/>
      <c r="AB106" s="711"/>
      <c r="AC106" s="711"/>
      <c r="AD106" s="711"/>
      <c r="AE106" s="711"/>
      <c r="AF106" s="711"/>
      <c r="AG106" s="711"/>
      <c r="AH106" s="711"/>
      <c r="AI106" s="711"/>
      <c r="AJ106" s="711"/>
      <c r="AK106" s="711"/>
      <c r="AL106" s="711"/>
      <c r="AM106" s="711"/>
      <c r="AN106" s="711"/>
      <c r="AO106" s="711"/>
      <c r="AP106" s="711"/>
      <c r="AQ106" s="711"/>
      <c r="AR106" s="711"/>
      <c r="AS106" s="711"/>
      <c r="AT106" s="711"/>
      <c r="AU106" s="711"/>
      <c r="AV106" s="711"/>
      <c r="AW106" s="711"/>
      <c r="AX106" s="711"/>
      <c r="AY106" s="711"/>
      <c r="AZ106" s="711"/>
      <c r="BA106" s="711"/>
      <c r="BB106" s="711"/>
      <c r="BC106" s="711"/>
      <c r="BD106" s="711"/>
      <c r="BE106" s="711"/>
      <c r="BF106" s="711"/>
      <c r="BG106" s="711"/>
      <c r="BH106" s="711"/>
      <c r="BI106" s="711"/>
      <c r="BJ106" s="711"/>
      <c r="BK106" s="711"/>
      <c r="BL106" s="711"/>
      <c r="BM106" s="711"/>
      <c r="BN106" s="711"/>
      <c r="BO106" s="711"/>
      <c r="BP106" s="711"/>
      <c r="BQ106" s="711"/>
      <c r="BR106" s="711"/>
      <c r="BS106" s="711"/>
      <c r="BT106" s="711"/>
      <c r="BU106" s="711"/>
      <c r="BV106" s="711"/>
      <c r="BW106" s="711"/>
      <c r="BX106" s="711"/>
      <c r="BY106" s="711"/>
      <c r="BZ106" s="711"/>
      <c r="CA106" s="711"/>
      <c r="CB106" s="711"/>
      <c r="CC106" s="711"/>
      <c r="CD106" s="711"/>
      <c r="CE106" s="711"/>
      <c r="CF106" s="711"/>
      <c r="CG106" s="711"/>
      <c r="CH106" s="711"/>
      <c r="CI106" s="711"/>
      <c r="CJ106" s="711"/>
      <c r="CK106" s="711"/>
      <c r="CL106" s="711"/>
      <c r="CM106" s="711"/>
      <c r="CN106" s="711"/>
      <c r="CO106" s="711"/>
      <c r="CP106" s="711"/>
      <c r="CQ106" s="711"/>
      <c r="CR106" s="711"/>
      <c r="CS106" s="711"/>
      <c r="CT106" s="711"/>
      <c r="CU106" s="711"/>
      <c r="CV106" s="711"/>
      <c r="CW106" s="711"/>
      <c r="CX106" s="711"/>
      <c r="CY106" s="711"/>
      <c r="CZ106" s="711"/>
      <c r="DA106" s="711"/>
      <c r="DB106" s="711"/>
      <c r="DC106" s="711"/>
      <c r="DD106" s="711"/>
      <c r="DE106" s="711"/>
      <c r="DF106" s="711"/>
      <c r="DG106" s="711"/>
      <c r="DH106" s="711"/>
      <c r="DI106" s="711"/>
      <c r="DJ106" s="711"/>
      <c r="DK106" s="711"/>
      <c r="DL106" s="711"/>
      <c r="DM106" s="711"/>
      <c r="DN106" s="711"/>
      <c r="DO106" s="711"/>
      <c r="DP106" s="711"/>
      <c r="DQ106" s="711"/>
      <c r="DR106" s="711"/>
      <c r="DS106" s="711"/>
      <c r="DT106" s="711"/>
      <c r="DU106" s="711"/>
      <c r="DV106" s="711"/>
      <c r="DW106" s="711"/>
      <c r="DX106" s="711"/>
      <c r="DY106" s="711"/>
      <c r="DZ106" s="711"/>
      <c r="EA106" s="711"/>
      <c r="EB106" s="711"/>
      <c r="EC106" s="711"/>
      <c r="ED106" s="711"/>
      <c r="EE106" s="711"/>
      <c r="EF106" s="711"/>
      <c r="EG106" s="711"/>
      <c r="EH106" s="711"/>
      <c r="EI106" s="711"/>
      <c r="EJ106" s="711"/>
      <c r="EK106" s="711"/>
      <c r="EL106" s="711"/>
      <c r="EM106" s="711"/>
      <c r="EN106" s="711"/>
      <c r="EO106" s="711"/>
      <c r="EP106" s="711"/>
      <c r="EQ106" s="711"/>
      <c r="ER106" s="711"/>
      <c r="ES106" s="711"/>
      <c r="ET106" s="711"/>
      <c r="EU106" s="711"/>
      <c r="EV106" s="711"/>
      <c r="EW106" s="711"/>
      <c r="EX106" s="711"/>
      <c r="EY106" s="711"/>
      <c r="EZ106" s="711"/>
      <c r="FA106" s="711"/>
      <c r="FB106" s="711"/>
      <c r="FC106" s="711"/>
      <c r="FD106" s="711"/>
      <c r="FE106" s="711"/>
      <c r="FF106" s="711"/>
      <c r="FG106" s="711"/>
      <c r="FH106" s="711"/>
      <c r="FI106" s="711"/>
      <c r="FJ106" s="711"/>
      <c r="FK106" s="711"/>
      <c r="FL106" s="711"/>
      <c r="FM106" s="711"/>
      <c r="FN106" s="711"/>
      <c r="FO106" s="711"/>
      <c r="FP106" s="711"/>
      <c r="FQ106" s="711"/>
      <c r="FR106" s="711"/>
      <c r="FS106" s="711"/>
      <c r="FT106" s="711"/>
      <c r="FU106" s="711"/>
      <c r="FV106" s="711"/>
      <c r="FW106" s="711"/>
      <c r="FX106" s="711"/>
      <c r="FY106" s="711"/>
      <c r="FZ106" s="711"/>
      <c r="GA106" s="711"/>
      <c r="GB106" s="711"/>
      <c r="GC106" s="711"/>
      <c r="GD106" s="711"/>
      <c r="GE106" s="711"/>
      <c r="GF106" s="711"/>
      <c r="GG106" s="711"/>
      <c r="GH106" s="711"/>
      <c r="GI106" s="711"/>
      <c r="GJ106" s="711"/>
      <c r="GK106" s="711"/>
      <c r="GL106" s="711"/>
      <c r="GM106" s="711"/>
      <c r="GN106" s="711"/>
      <c r="GO106" s="711"/>
      <c r="GP106" s="711"/>
      <c r="GQ106" s="711"/>
      <c r="GR106" s="711"/>
      <c r="GS106" s="711"/>
      <c r="GT106" s="711"/>
      <c r="GU106" s="711"/>
      <c r="GV106" s="711"/>
      <c r="GW106" s="711"/>
      <c r="GX106" s="711"/>
      <c r="GY106" s="711"/>
      <c r="GZ106" s="711"/>
      <c r="HA106" s="711"/>
      <c r="HB106" s="711"/>
      <c r="HC106" s="711"/>
      <c r="HD106" s="711"/>
      <c r="HE106" s="711"/>
      <c r="HF106" s="711"/>
      <c r="HG106" s="711"/>
      <c r="HH106" s="711"/>
      <c r="HI106" s="711"/>
      <c r="HJ106" s="711"/>
      <c r="HK106" s="711"/>
      <c r="HL106" s="711"/>
      <c r="HM106" s="711"/>
      <c r="HN106" s="711"/>
      <c r="HO106" s="711"/>
      <c r="HP106" s="711"/>
      <c r="HQ106" s="711"/>
      <c r="HR106" s="711"/>
      <c r="HS106" s="711"/>
      <c r="HT106" s="711"/>
      <c r="HU106" s="711"/>
      <c r="HV106" s="711"/>
      <c r="HW106" s="711"/>
      <c r="HX106" s="711"/>
      <c r="HY106" s="711"/>
      <c r="HZ106" s="711"/>
      <c r="IA106" s="711"/>
      <c r="IB106" s="711"/>
      <c r="IC106" s="711"/>
      <c r="ID106" s="711"/>
      <c r="IE106" s="711"/>
      <c r="IF106" s="711"/>
      <c r="IG106" s="711"/>
      <c r="IH106" s="711"/>
      <c r="II106" s="711"/>
      <c r="IJ106" s="711"/>
      <c r="IK106" s="711"/>
      <c r="IL106" s="711"/>
      <c r="IM106" s="711"/>
      <c r="IN106" s="711"/>
      <c r="IO106" s="711"/>
      <c r="IP106" s="711"/>
      <c r="IQ106" s="711"/>
      <c r="IR106" s="711"/>
      <c r="IS106" s="711"/>
      <c r="IT106" s="711"/>
      <c r="IU106" s="711"/>
      <c r="IV106" s="711"/>
    </row>
    <row r="107" spans="1:256" ht="12.75" hidden="1" customHeight="1">
      <c r="A107" s="708" t="s">
        <v>339</v>
      </c>
      <c r="B107" s="707">
        <v>859230</v>
      </c>
      <c r="C107" s="708">
        <v>907108.5</v>
      </c>
      <c r="D107" s="691"/>
      <c r="E107" s="708">
        <f t="shared" si="12"/>
        <v>-47878.5</v>
      </c>
      <c r="F107" s="708">
        <v>17974.8</v>
      </c>
      <c r="G107" s="708">
        <v>29904.2</v>
      </c>
      <c r="H107" s="708">
        <f t="shared" si="13"/>
        <v>47879</v>
      </c>
      <c r="I107" s="695"/>
      <c r="J107" s="708">
        <v>-0.5</v>
      </c>
      <c r="K107" s="708">
        <f t="shared" si="14"/>
        <v>47878.5</v>
      </c>
      <c r="L107" s="693"/>
      <c r="M107" s="711"/>
      <c r="N107" s="711"/>
      <c r="O107" s="711"/>
      <c r="P107" s="711"/>
      <c r="Q107" s="711"/>
      <c r="R107" s="711"/>
      <c r="S107" s="711"/>
      <c r="T107" s="711"/>
      <c r="U107" s="711"/>
      <c r="V107" s="711"/>
      <c r="W107" s="711"/>
      <c r="X107" s="711"/>
      <c r="Y107" s="711"/>
      <c r="Z107" s="711"/>
      <c r="AA107" s="711"/>
      <c r="AB107" s="711"/>
      <c r="AC107" s="711"/>
      <c r="AD107" s="711"/>
      <c r="AE107" s="711"/>
      <c r="AF107" s="711"/>
      <c r="AG107" s="711"/>
      <c r="AH107" s="711"/>
      <c r="AI107" s="711"/>
      <c r="AJ107" s="711"/>
      <c r="AK107" s="711"/>
      <c r="AL107" s="711"/>
      <c r="AM107" s="711"/>
      <c r="AN107" s="711"/>
      <c r="AO107" s="711"/>
      <c r="AP107" s="711"/>
      <c r="AQ107" s="711"/>
      <c r="AR107" s="711"/>
      <c r="AS107" s="711"/>
      <c r="AT107" s="711"/>
      <c r="AU107" s="711"/>
      <c r="AV107" s="711"/>
      <c r="AW107" s="711"/>
      <c r="AX107" s="711"/>
      <c r="AY107" s="711"/>
      <c r="AZ107" s="711"/>
      <c r="BA107" s="711"/>
      <c r="BB107" s="711"/>
      <c r="BC107" s="711"/>
      <c r="BD107" s="711"/>
      <c r="BE107" s="711"/>
      <c r="BF107" s="711"/>
      <c r="BG107" s="711"/>
      <c r="BH107" s="711"/>
      <c r="BI107" s="711"/>
      <c r="BJ107" s="711"/>
      <c r="BK107" s="711"/>
      <c r="BL107" s="711"/>
      <c r="BM107" s="711"/>
      <c r="BN107" s="711"/>
      <c r="BO107" s="711"/>
      <c r="BP107" s="711"/>
      <c r="BQ107" s="711"/>
      <c r="BR107" s="711"/>
      <c r="BS107" s="711"/>
      <c r="BT107" s="711"/>
      <c r="BU107" s="711"/>
      <c r="BV107" s="711"/>
      <c r="BW107" s="711"/>
      <c r="BX107" s="711"/>
      <c r="BY107" s="711"/>
      <c r="BZ107" s="711"/>
      <c r="CA107" s="711"/>
      <c r="CB107" s="711"/>
      <c r="CC107" s="711"/>
      <c r="CD107" s="711"/>
      <c r="CE107" s="711"/>
      <c r="CF107" s="711"/>
      <c r="CG107" s="711"/>
      <c r="CH107" s="711"/>
      <c r="CI107" s="711"/>
      <c r="CJ107" s="711"/>
      <c r="CK107" s="711"/>
      <c r="CL107" s="711"/>
      <c r="CM107" s="711"/>
      <c r="CN107" s="711"/>
      <c r="CO107" s="711"/>
      <c r="CP107" s="711"/>
      <c r="CQ107" s="711"/>
      <c r="CR107" s="711"/>
      <c r="CS107" s="711"/>
      <c r="CT107" s="711"/>
      <c r="CU107" s="711"/>
      <c r="CV107" s="711"/>
      <c r="CW107" s="711"/>
      <c r="CX107" s="711"/>
      <c r="CY107" s="711"/>
      <c r="CZ107" s="711"/>
      <c r="DA107" s="711"/>
      <c r="DB107" s="711"/>
      <c r="DC107" s="711"/>
      <c r="DD107" s="711"/>
      <c r="DE107" s="711"/>
      <c r="DF107" s="711"/>
      <c r="DG107" s="711"/>
      <c r="DH107" s="711"/>
      <c r="DI107" s="711"/>
      <c r="DJ107" s="711"/>
      <c r="DK107" s="711"/>
      <c r="DL107" s="711"/>
      <c r="DM107" s="711"/>
      <c r="DN107" s="711"/>
      <c r="DO107" s="711"/>
      <c r="DP107" s="711"/>
      <c r="DQ107" s="711"/>
      <c r="DR107" s="711"/>
      <c r="DS107" s="711"/>
      <c r="DT107" s="711"/>
      <c r="DU107" s="711"/>
      <c r="DV107" s="711"/>
      <c r="DW107" s="711"/>
      <c r="DX107" s="711"/>
      <c r="DY107" s="711"/>
      <c r="DZ107" s="711"/>
      <c r="EA107" s="711"/>
      <c r="EB107" s="711"/>
      <c r="EC107" s="711"/>
      <c r="ED107" s="711"/>
      <c r="EE107" s="711"/>
      <c r="EF107" s="711"/>
      <c r="EG107" s="711"/>
      <c r="EH107" s="711"/>
      <c r="EI107" s="711"/>
      <c r="EJ107" s="711"/>
      <c r="EK107" s="711"/>
      <c r="EL107" s="711"/>
      <c r="EM107" s="711"/>
      <c r="EN107" s="711"/>
      <c r="EO107" s="711"/>
      <c r="EP107" s="711"/>
      <c r="EQ107" s="711"/>
      <c r="ER107" s="711"/>
      <c r="ES107" s="711"/>
      <c r="ET107" s="711"/>
      <c r="EU107" s="711"/>
      <c r="EV107" s="711"/>
      <c r="EW107" s="711"/>
      <c r="EX107" s="711"/>
      <c r="EY107" s="711"/>
      <c r="EZ107" s="711"/>
      <c r="FA107" s="711"/>
      <c r="FB107" s="711"/>
      <c r="FC107" s="711"/>
      <c r="FD107" s="711"/>
      <c r="FE107" s="711"/>
      <c r="FF107" s="711"/>
      <c r="FG107" s="711"/>
      <c r="FH107" s="711"/>
      <c r="FI107" s="711"/>
      <c r="FJ107" s="711"/>
      <c r="FK107" s="711"/>
      <c r="FL107" s="711"/>
      <c r="FM107" s="711"/>
      <c r="FN107" s="711"/>
      <c r="FO107" s="711"/>
      <c r="FP107" s="711"/>
      <c r="FQ107" s="711"/>
      <c r="FR107" s="711"/>
      <c r="FS107" s="711"/>
      <c r="FT107" s="711"/>
      <c r="FU107" s="711"/>
      <c r="FV107" s="711"/>
      <c r="FW107" s="711"/>
      <c r="FX107" s="711"/>
      <c r="FY107" s="711"/>
      <c r="FZ107" s="711"/>
      <c r="GA107" s="711"/>
      <c r="GB107" s="711"/>
      <c r="GC107" s="711"/>
      <c r="GD107" s="711"/>
      <c r="GE107" s="711"/>
      <c r="GF107" s="711"/>
      <c r="GG107" s="711"/>
      <c r="GH107" s="711"/>
      <c r="GI107" s="711"/>
      <c r="GJ107" s="711"/>
      <c r="GK107" s="711"/>
      <c r="GL107" s="711"/>
      <c r="GM107" s="711"/>
      <c r="GN107" s="711"/>
      <c r="GO107" s="711"/>
      <c r="GP107" s="711"/>
      <c r="GQ107" s="711"/>
      <c r="GR107" s="711"/>
      <c r="GS107" s="711"/>
      <c r="GT107" s="711"/>
      <c r="GU107" s="711"/>
      <c r="GV107" s="711"/>
      <c r="GW107" s="711"/>
      <c r="GX107" s="711"/>
      <c r="GY107" s="711"/>
      <c r="GZ107" s="711"/>
      <c r="HA107" s="711"/>
      <c r="HB107" s="711"/>
      <c r="HC107" s="711"/>
      <c r="HD107" s="711"/>
      <c r="HE107" s="711"/>
      <c r="HF107" s="711"/>
      <c r="HG107" s="711"/>
      <c r="HH107" s="711"/>
      <c r="HI107" s="711"/>
      <c r="HJ107" s="711"/>
      <c r="HK107" s="711"/>
      <c r="HL107" s="711"/>
      <c r="HM107" s="711"/>
      <c r="HN107" s="711"/>
      <c r="HO107" s="711"/>
      <c r="HP107" s="711"/>
      <c r="HQ107" s="711"/>
      <c r="HR107" s="711"/>
      <c r="HS107" s="711"/>
      <c r="HT107" s="711"/>
      <c r="HU107" s="711"/>
      <c r="HV107" s="711"/>
      <c r="HW107" s="711"/>
      <c r="HX107" s="711"/>
      <c r="HY107" s="711"/>
      <c r="HZ107" s="711"/>
      <c r="IA107" s="711"/>
      <c r="IB107" s="711"/>
      <c r="IC107" s="711"/>
      <c r="ID107" s="711"/>
      <c r="IE107" s="711"/>
      <c r="IF107" s="711"/>
      <c r="IG107" s="711"/>
      <c r="IH107" s="711"/>
      <c r="II107" s="711"/>
      <c r="IJ107" s="711"/>
      <c r="IK107" s="711"/>
      <c r="IL107" s="711"/>
      <c r="IM107" s="711"/>
      <c r="IN107" s="711"/>
      <c r="IO107" s="711"/>
      <c r="IP107" s="711"/>
      <c r="IQ107" s="711"/>
      <c r="IR107" s="711"/>
      <c r="IS107" s="711"/>
      <c r="IT107" s="711"/>
      <c r="IU107" s="711"/>
      <c r="IV107" s="711"/>
    </row>
    <row r="108" spans="1:256" ht="12.75" hidden="1" customHeight="1">
      <c r="A108" s="708" t="s">
        <v>340</v>
      </c>
      <c r="B108" s="707">
        <v>572564.5</v>
      </c>
      <c r="C108" s="708">
        <v>880533.6</v>
      </c>
      <c r="D108" s="691"/>
      <c r="E108" s="708">
        <f t="shared" si="12"/>
        <v>-307969.09999999998</v>
      </c>
      <c r="F108" s="708">
        <v>269353.40000000002</v>
      </c>
      <c r="G108" s="708">
        <v>38615.699999999997</v>
      </c>
      <c r="H108" s="708">
        <f t="shared" si="13"/>
        <v>307969.10000000003</v>
      </c>
      <c r="I108" s="695"/>
      <c r="J108" s="708">
        <v>0</v>
      </c>
      <c r="K108" s="708">
        <f t="shared" si="14"/>
        <v>307969.10000000003</v>
      </c>
      <c r="L108" s="693"/>
      <c r="M108" s="711"/>
      <c r="N108" s="711"/>
      <c r="O108" s="711"/>
      <c r="P108" s="711"/>
      <c r="Q108" s="711"/>
      <c r="R108" s="711"/>
      <c r="S108" s="711"/>
      <c r="T108" s="711"/>
      <c r="U108" s="711"/>
      <c r="V108" s="711"/>
      <c r="W108" s="711"/>
      <c r="X108" s="711"/>
      <c r="Y108" s="711"/>
      <c r="Z108" s="711"/>
      <c r="AA108" s="711"/>
      <c r="AB108" s="711"/>
      <c r="AC108" s="711"/>
      <c r="AD108" s="711"/>
      <c r="AE108" s="711"/>
      <c r="AF108" s="711"/>
      <c r="AG108" s="711"/>
      <c r="AH108" s="711"/>
      <c r="AI108" s="711"/>
      <c r="AJ108" s="711"/>
      <c r="AK108" s="711"/>
      <c r="AL108" s="711"/>
      <c r="AM108" s="711"/>
      <c r="AN108" s="711"/>
      <c r="AO108" s="711"/>
      <c r="AP108" s="711"/>
      <c r="AQ108" s="711"/>
      <c r="AR108" s="711"/>
      <c r="AS108" s="711"/>
      <c r="AT108" s="711"/>
      <c r="AU108" s="711"/>
      <c r="AV108" s="711"/>
      <c r="AW108" s="711"/>
      <c r="AX108" s="711"/>
      <c r="AY108" s="711"/>
      <c r="AZ108" s="711"/>
      <c r="BA108" s="711"/>
      <c r="BB108" s="711"/>
      <c r="BC108" s="711"/>
      <c r="BD108" s="711"/>
      <c r="BE108" s="711"/>
      <c r="BF108" s="711"/>
      <c r="BG108" s="711"/>
      <c r="BH108" s="711"/>
      <c r="BI108" s="711"/>
      <c r="BJ108" s="711"/>
      <c r="BK108" s="711"/>
      <c r="BL108" s="711"/>
      <c r="BM108" s="711"/>
      <c r="BN108" s="711"/>
      <c r="BO108" s="711"/>
      <c r="BP108" s="711"/>
      <c r="BQ108" s="711"/>
      <c r="BR108" s="711"/>
      <c r="BS108" s="711"/>
      <c r="BT108" s="711"/>
      <c r="BU108" s="711"/>
      <c r="BV108" s="711"/>
      <c r="BW108" s="711"/>
      <c r="BX108" s="711"/>
      <c r="BY108" s="711"/>
      <c r="BZ108" s="711"/>
      <c r="CA108" s="711"/>
      <c r="CB108" s="711"/>
      <c r="CC108" s="711"/>
      <c r="CD108" s="711"/>
      <c r="CE108" s="711"/>
      <c r="CF108" s="711"/>
      <c r="CG108" s="711"/>
      <c r="CH108" s="711"/>
      <c r="CI108" s="711"/>
      <c r="CJ108" s="711"/>
      <c r="CK108" s="711"/>
      <c r="CL108" s="711"/>
      <c r="CM108" s="711"/>
      <c r="CN108" s="711"/>
      <c r="CO108" s="711"/>
      <c r="CP108" s="711"/>
      <c r="CQ108" s="711"/>
      <c r="CR108" s="711"/>
      <c r="CS108" s="711"/>
      <c r="CT108" s="711"/>
      <c r="CU108" s="711"/>
      <c r="CV108" s="711"/>
      <c r="CW108" s="711"/>
      <c r="CX108" s="711"/>
      <c r="CY108" s="711"/>
      <c r="CZ108" s="711"/>
      <c r="DA108" s="711"/>
      <c r="DB108" s="711"/>
      <c r="DC108" s="711"/>
      <c r="DD108" s="711"/>
      <c r="DE108" s="711"/>
      <c r="DF108" s="711"/>
      <c r="DG108" s="711"/>
      <c r="DH108" s="711"/>
      <c r="DI108" s="711"/>
      <c r="DJ108" s="711"/>
      <c r="DK108" s="711"/>
      <c r="DL108" s="711"/>
      <c r="DM108" s="711"/>
      <c r="DN108" s="711"/>
      <c r="DO108" s="711"/>
      <c r="DP108" s="711"/>
      <c r="DQ108" s="711"/>
      <c r="DR108" s="711"/>
      <c r="DS108" s="711"/>
      <c r="DT108" s="711"/>
      <c r="DU108" s="711"/>
      <c r="DV108" s="711"/>
      <c r="DW108" s="711"/>
      <c r="DX108" s="711"/>
      <c r="DY108" s="711"/>
      <c r="DZ108" s="711"/>
      <c r="EA108" s="711"/>
      <c r="EB108" s="711"/>
      <c r="EC108" s="711"/>
      <c r="ED108" s="711"/>
      <c r="EE108" s="711"/>
      <c r="EF108" s="711"/>
      <c r="EG108" s="711"/>
      <c r="EH108" s="711"/>
      <c r="EI108" s="711"/>
      <c r="EJ108" s="711"/>
      <c r="EK108" s="711"/>
      <c r="EL108" s="711"/>
      <c r="EM108" s="711"/>
      <c r="EN108" s="711"/>
      <c r="EO108" s="711"/>
      <c r="EP108" s="711"/>
      <c r="EQ108" s="711"/>
      <c r="ER108" s="711"/>
      <c r="ES108" s="711"/>
      <c r="ET108" s="711"/>
      <c r="EU108" s="711"/>
      <c r="EV108" s="711"/>
      <c r="EW108" s="711"/>
      <c r="EX108" s="711"/>
      <c r="EY108" s="711"/>
      <c r="EZ108" s="711"/>
      <c r="FA108" s="711"/>
      <c r="FB108" s="711"/>
      <c r="FC108" s="711"/>
      <c r="FD108" s="711"/>
      <c r="FE108" s="711"/>
      <c r="FF108" s="711"/>
      <c r="FG108" s="711"/>
      <c r="FH108" s="711"/>
      <c r="FI108" s="711"/>
      <c r="FJ108" s="711"/>
      <c r="FK108" s="711"/>
      <c r="FL108" s="711"/>
      <c r="FM108" s="711"/>
      <c r="FN108" s="711"/>
      <c r="FO108" s="711"/>
      <c r="FP108" s="711"/>
      <c r="FQ108" s="711"/>
      <c r="FR108" s="711"/>
      <c r="FS108" s="711"/>
      <c r="FT108" s="711"/>
      <c r="FU108" s="711"/>
      <c r="FV108" s="711"/>
      <c r="FW108" s="711"/>
      <c r="FX108" s="711"/>
      <c r="FY108" s="711"/>
      <c r="FZ108" s="711"/>
      <c r="GA108" s="711"/>
      <c r="GB108" s="711"/>
      <c r="GC108" s="711"/>
      <c r="GD108" s="711"/>
      <c r="GE108" s="711"/>
      <c r="GF108" s="711"/>
      <c r="GG108" s="711"/>
      <c r="GH108" s="711"/>
      <c r="GI108" s="711"/>
      <c r="GJ108" s="711"/>
      <c r="GK108" s="711"/>
      <c r="GL108" s="711"/>
      <c r="GM108" s="711"/>
      <c r="GN108" s="711"/>
      <c r="GO108" s="711"/>
      <c r="GP108" s="711"/>
      <c r="GQ108" s="711"/>
      <c r="GR108" s="711"/>
      <c r="GS108" s="711"/>
      <c r="GT108" s="711"/>
      <c r="GU108" s="711"/>
      <c r="GV108" s="711"/>
      <c r="GW108" s="711"/>
      <c r="GX108" s="711"/>
      <c r="GY108" s="711"/>
      <c r="GZ108" s="711"/>
      <c r="HA108" s="711"/>
      <c r="HB108" s="711"/>
      <c r="HC108" s="711"/>
      <c r="HD108" s="711"/>
      <c r="HE108" s="711"/>
      <c r="HF108" s="711"/>
      <c r="HG108" s="711"/>
      <c r="HH108" s="711"/>
      <c r="HI108" s="711"/>
      <c r="HJ108" s="711"/>
      <c r="HK108" s="711"/>
      <c r="HL108" s="711"/>
      <c r="HM108" s="711"/>
      <c r="HN108" s="711"/>
      <c r="HO108" s="711"/>
      <c r="HP108" s="711"/>
      <c r="HQ108" s="711"/>
      <c r="HR108" s="711"/>
      <c r="HS108" s="711"/>
      <c r="HT108" s="711"/>
      <c r="HU108" s="711"/>
      <c r="HV108" s="711"/>
      <c r="HW108" s="711"/>
      <c r="HX108" s="711"/>
      <c r="HY108" s="711"/>
      <c r="HZ108" s="711"/>
      <c r="IA108" s="711"/>
      <c r="IB108" s="711"/>
      <c r="IC108" s="711"/>
      <c r="ID108" s="711"/>
      <c r="IE108" s="711"/>
      <c r="IF108" s="711"/>
      <c r="IG108" s="711"/>
      <c r="IH108" s="711"/>
      <c r="II108" s="711"/>
      <c r="IJ108" s="711"/>
      <c r="IK108" s="711"/>
      <c r="IL108" s="711"/>
      <c r="IM108" s="711"/>
      <c r="IN108" s="711"/>
      <c r="IO108" s="711"/>
      <c r="IP108" s="711"/>
      <c r="IQ108" s="711"/>
      <c r="IR108" s="711"/>
      <c r="IS108" s="711"/>
      <c r="IT108" s="711"/>
      <c r="IU108" s="711"/>
      <c r="IV108" s="711"/>
    </row>
    <row r="109" spans="1:256" ht="12.75" hidden="1" customHeight="1">
      <c r="A109" s="708" t="s">
        <v>341</v>
      </c>
      <c r="B109" s="707">
        <v>714716.6</v>
      </c>
      <c r="C109" s="708">
        <v>665845.5</v>
      </c>
      <c r="D109" s="691"/>
      <c r="E109" s="708">
        <f t="shared" si="12"/>
        <v>48871.099999999977</v>
      </c>
      <c r="F109" s="708">
        <v>-13794.2</v>
      </c>
      <c r="G109" s="708">
        <v>-35076</v>
      </c>
      <c r="H109" s="708">
        <f t="shared" si="13"/>
        <v>-48870.2</v>
      </c>
      <c r="I109" s="695"/>
      <c r="J109" s="708">
        <v>-1.1000000000000001</v>
      </c>
      <c r="K109" s="708">
        <f t="shared" si="14"/>
        <v>-48871.299999999996</v>
      </c>
      <c r="L109" s="693"/>
      <c r="M109" s="711"/>
      <c r="N109" s="711"/>
      <c r="O109" s="711"/>
      <c r="P109" s="711"/>
      <c r="Q109" s="711"/>
      <c r="R109" s="711"/>
      <c r="S109" s="711"/>
      <c r="T109" s="711"/>
      <c r="U109" s="711"/>
      <c r="V109" s="711"/>
      <c r="W109" s="711"/>
      <c r="X109" s="711"/>
      <c r="Y109" s="711"/>
      <c r="Z109" s="711"/>
      <c r="AA109" s="711"/>
      <c r="AB109" s="711"/>
      <c r="AC109" s="711"/>
      <c r="AD109" s="711"/>
      <c r="AE109" s="711"/>
      <c r="AF109" s="711"/>
      <c r="AG109" s="711"/>
      <c r="AH109" s="711"/>
      <c r="AI109" s="711"/>
      <c r="AJ109" s="711"/>
      <c r="AK109" s="711"/>
      <c r="AL109" s="711"/>
      <c r="AM109" s="711"/>
      <c r="AN109" s="711"/>
      <c r="AO109" s="711"/>
      <c r="AP109" s="711"/>
      <c r="AQ109" s="711"/>
      <c r="AR109" s="711"/>
      <c r="AS109" s="711"/>
      <c r="AT109" s="711"/>
      <c r="AU109" s="711"/>
      <c r="AV109" s="711"/>
      <c r="AW109" s="711"/>
      <c r="AX109" s="711"/>
      <c r="AY109" s="711"/>
      <c r="AZ109" s="711"/>
      <c r="BA109" s="711"/>
      <c r="BB109" s="711"/>
      <c r="BC109" s="711"/>
      <c r="BD109" s="711"/>
      <c r="BE109" s="711"/>
      <c r="BF109" s="711"/>
      <c r="BG109" s="711"/>
      <c r="BH109" s="711"/>
      <c r="BI109" s="711"/>
      <c r="BJ109" s="711"/>
      <c r="BK109" s="711"/>
      <c r="BL109" s="711"/>
      <c r="BM109" s="711"/>
      <c r="BN109" s="711"/>
      <c r="BO109" s="711"/>
      <c r="BP109" s="711"/>
      <c r="BQ109" s="711"/>
      <c r="BR109" s="711"/>
      <c r="BS109" s="711"/>
      <c r="BT109" s="711"/>
      <c r="BU109" s="711"/>
      <c r="BV109" s="711"/>
      <c r="BW109" s="711"/>
      <c r="BX109" s="711"/>
      <c r="BY109" s="711"/>
      <c r="BZ109" s="711"/>
      <c r="CA109" s="711"/>
      <c r="CB109" s="711"/>
      <c r="CC109" s="711"/>
      <c r="CD109" s="711"/>
      <c r="CE109" s="711"/>
      <c r="CF109" s="711"/>
      <c r="CG109" s="711"/>
      <c r="CH109" s="711"/>
      <c r="CI109" s="711"/>
      <c r="CJ109" s="711"/>
      <c r="CK109" s="711"/>
      <c r="CL109" s="711"/>
      <c r="CM109" s="711"/>
      <c r="CN109" s="711"/>
      <c r="CO109" s="711"/>
      <c r="CP109" s="711"/>
      <c r="CQ109" s="711"/>
      <c r="CR109" s="711"/>
      <c r="CS109" s="711"/>
      <c r="CT109" s="711"/>
      <c r="CU109" s="711"/>
      <c r="CV109" s="711"/>
      <c r="CW109" s="711"/>
      <c r="CX109" s="711"/>
      <c r="CY109" s="711"/>
      <c r="CZ109" s="711"/>
      <c r="DA109" s="711"/>
      <c r="DB109" s="711"/>
      <c r="DC109" s="711"/>
      <c r="DD109" s="711"/>
      <c r="DE109" s="711"/>
      <c r="DF109" s="711"/>
      <c r="DG109" s="711"/>
      <c r="DH109" s="711"/>
      <c r="DI109" s="711"/>
      <c r="DJ109" s="711"/>
      <c r="DK109" s="711"/>
      <c r="DL109" s="711"/>
      <c r="DM109" s="711"/>
      <c r="DN109" s="711"/>
      <c r="DO109" s="711"/>
      <c r="DP109" s="711"/>
      <c r="DQ109" s="711"/>
      <c r="DR109" s="711"/>
      <c r="DS109" s="711"/>
      <c r="DT109" s="711"/>
      <c r="DU109" s="711"/>
      <c r="DV109" s="711"/>
      <c r="DW109" s="711"/>
      <c r="DX109" s="711"/>
      <c r="DY109" s="711"/>
      <c r="DZ109" s="711"/>
      <c r="EA109" s="711"/>
      <c r="EB109" s="711"/>
      <c r="EC109" s="711"/>
      <c r="ED109" s="711"/>
      <c r="EE109" s="711"/>
      <c r="EF109" s="711"/>
      <c r="EG109" s="711"/>
      <c r="EH109" s="711"/>
      <c r="EI109" s="711"/>
      <c r="EJ109" s="711"/>
      <c r="EK109" s="711"/>
      <c r="EL109" s="711"/>
      <c r="EM109" s="711"/>
      <c r="EN109" s="711"/>
      <c r="EO109" s="711"/>
      <c r="EP109" s="711"/>
      <c r="EQ109" s="711"/>
      <c r="ER109" s="711"/>
      <c r="ES109" s="711"/>
      <c r="ET109" s="711"/>
      <c r="EU109" s="711"/>
      <c r="EV109" s="711"/>
      <c r="EW109" s="711"/>
      <c r="EX109" s="711"/>
      <c r="EY109" s="711"/>
      <c r="EZ109" s="711"/>
      <c r="FA109" s="711"/>
      <c r="FB109" s="711"/>
      <c r="FC109" s="711"/>
      <c r="FD109" s="711"/>
      <c r="FE109" s="711"/>
      <c r="FF109" s="711"/>
      <c r="FG109" s="711"/>
      <c r="FH109" s="711"/>
      <c r="FI109" s="711"/>
      <c r="FJ109" s="711"/>
      <c r="FK109" s="711"/>
      <c r="FL109" s="711"/>
      <c r="FM109" s="711"/>
      <c r="FN109" s="711"/>
      <c r="FO109" s="711"/>
      <c r="FP109" s="711"/>
      <c r="FQ109" s="711"/>
      <c r="FR109" s="711"/>
      <c r="FS109" s="711"/>
      <c r="FT109" s="711"/>
      <c r="FU109" s="711"/>
      <c r="FV109" s="711"/>
      <c r="FW109" s="711"/>
      <c r="FX109" s="711"/>
      <c r="FY109" s="711"/>
      <c r="FZ109" s="711"/>
      <c r="GA109" s="711"/>
      <c r="GB109" s="711"/>
      <c r="GC109" s="711"/>
      <c r="GD109" s="711"/>
      <c r="GE109" s="711"/>
      <c r="GF109" s="711"/>
      <c r="GG109" s="711"/>
      <c r="GH109" s="711"/>
      <c r="GI109" s="711"/>
      <c r="GJ109" s="711"/>
      <c r="GK109" s="711"/>
      <c r="GL109" s="711"/>
      <c r="GM109" s="711"/>
      <c r="GN109" s="711"/>
      <c r="GO109" s="711"/>
      <c r="GP109" s="711"/>
      <c r="GQ109" s="711"/>
      <c r="GR109" s="711"/>
      <c r="GS109" s="711"/>
      <c r="GT109" s="711"/>
      <c r="GU109" s="711"/>
      <c r="GV109" s="711"/>
      <c r="GW109" s="711"/>
      <c r="GX109" s="711"/>
      <c r="GY109" s="711"/>
      <c r="GZ109" s="711"/>
      <c r="HA109" s="711"/>
      <c r="HB109" s="711"/>
      <c r="HC109" s="711"/>
      <c r="HD109" s="711"/>
      <c r="HE109" s="711"/>
      <c r="HF109" s="711"/>
      <c r="HG109" s="711"/>
      <c r="HH109" s="711"/>
      <c r="HI109" s="711"/>
      <c r="HJ109" s="711"/>
      <c r="HK109" s="711"/>
      <c r="HL109" s="711"/>
      <c r="HM109" s="711"/>
      <c r="HN109" s="711"/>
      <c r="HO109" s="711"/>
      <c r="HP109" s="711"/>
      <c r="HQ109" s="711"/>
      <c r="HR109" s="711"/>
      <c r="HS109" s="711"/>
      <c r="HT109" s="711"/>
      <c r="HU109" s="711"/>
      <c r="HV109" s="711"/>
      <c r="HW109" s="711"/>
      <c r="HX109" s="711"/>
      <c r="HY109" s="711"/>
      <c r="HZ109" s="711"/>
      <c r="IA109" s="711"/>
      <c r="IB109" s="711"/>
      <c r="IC109" s="711"/>
      <c r="ID109" s="711"/>
      <c r="IE109" s="711"/>
      <c r="IF109" s="711"/>
      <c r="IG109" s="711"/>
      <c r="IH109" s="711"/>
      <c r="II109" s="711"/>
      <c r="IJ109" s="711"/>
      <c r="IK109" s="711"/>
      <c r="IL109" s="711"/>
      <c r="IM109" s="711"/>
      <c r="IN109" s="711"/>
      <c r="IO109" s="711"/>
      <c r="IP109" s="711"/>
      <c r="IQ109" s="711"/>
      <c r="IR109" s="711"/>
      <c r="IS109" s="711"/>
      <c r="IT109" s="711"/>
      <c r="IU109" s="711"/>
      <c r="IV109" s="711"/>
    </row>
    <row r="110" spans="1:256" ht="12.75" hidden="1" customHeight="1">
      <c r="A110" s="708" t="s">
        <v>342</v>
      </c>
      <c r="B110" s="707">
        <v>792272.8</v>
      </c>
      <c r="C110" s="708">
        <v>930656.4</v>
      </c>
      <c r="D110" s="691"/>
      <c r="E110" s="708">
        <v>-138383.6</v>
      </c>
      <c r="F110" s="708">
        <v>330437.90000000002</v>
      </c>
      <c r="G110" s="708">
        <v>-192054.3</v>
      </c>
      <c r="H110" s="708">
        <v>138383.6</v>
      </c>
      <c r="I110" s="695"/>
      <c r="J110" s="708">
        <v>0</v>
      </c>
      <c r="K110" s="708">
        <v>138383.6</v>
      </c>
      <c r="L110" s="693"/>
      <c r="M110" s="711"/>
      <c r="N110" s="711"/>
      <c r="O110" s="711"/>
      <c r="P110" s="711"/>
      <c r="Q110" s="711"/>
      <c r="R110" s="711"/>
      <c r="S110" s="711"/>
      <c r="T110" s="711"/>
      <c r="U110" s="711"/>
      <c r="V110" s="711"/>
      <c r="W110" s="711"/>
      <c r="X110" s="711"/>
      <c r="Y110" s="711"/>
      <c r="Z110" s="711"/>
      <c r="AA110" s="711"/>
      <c r="AB110" s="711"/>
      <c r="AC110" s="711"/>
      <c r="AD110" s="711"/>
      <c r="AE110" s="711"/>
      <c r="AF110" s="711"/>
      <c r="AG110" s="711"/>
      <c r="AH110" s="711"/>
      <c r="AI110" s="711"/>
      <c r="AJ110" s="711"/>
      <c r="AK110" s="711"/>
      <c r="AL110" s="711"/>
      <c r="AM110" s="711"/>
      <c r="AN110" s="711"/>
      <c r="AO110" s="711"/>
      <c r="AP110" s="711"/>
      <c r="AQ110" s="711"/>
      <c r="AR110" s="711"/>
      <c r="AS110" s="711"/>
      <c r="AT110" s="711"/>
      <c r="AU110" s="711"/>
      <c r="AV110" s="711"/>
      <c r="AW110" s="711"/>
      <c r="AX110" s="711"/>
      <c r="AY110" s="711"/>
      <c r="AZ110" s="711"/>
      <c r="BA110" s="711"/>
      <c r="BB110" s="711"/>
      <c r="BC110" s="711"/>
      <c r="BD110" s="711"/>
      <c r="BE110" s="711"/>
      <c r="BF110" s="711"/>
      <c r="BG110" s="711"/>
      <c r="BH110" s="711"/>
      <c r="BI110" s="711"/>
      <c r="BJ110" s="711"/>
      <c r="BK110" s="711"/>
      <c r="BL110" s="711"/>
      <c r="BM110" s="711"/>
      <c r="BN110" s="711"/>
      <c r="BO110" s="711"/>
      <c r="BP110" s="711"/>
      <c r="BQ110" s="711"/>
      <c r="BR110" s="711"/>
      <c r="BS110" s="711"/>
      <c r="BT110" s="711"/>
      <c r="BU110" s="711"/>
      <c r="BV110" s="711"/>
      <c r="BW110" s="711"/>
      <c r="BX110" s="711"/>
      <c r="BY110" s="711"/>
      <c r="BZ110" s="711"/>
      <c r="CA110" s="711"/>
      <c r="CB110" s="711"/>
      <c r="CC110" s="711"/>
      <c r="CD110" s="711"/>
      <c r="CE110" s="711"/>
      <c r="CF110" s="711"/>
      <c r="CG110" s="711"/>
      <c r="CH110" s="711"/>
      <c r="CI110" s="711"/>
      <c r="CJ110" s="711"/>
      <c r="CK110" s="711"/>
      <c r="CL110" s="711"/>
      <c r="CM110" s="711"/>
      <c r="CN110" s="711"/>
      <c r="CO110" s="711"/>
      <c r="CP110" s="711"/>
      <c r="CQ110" s="711"/>
      <c r="CR110" s="711"/>
      <c r="CS110" s="711"/>
      <c r="CT110" s="711"/>
      <c r="CU110" s="711"/>
      <c r="CV110" s="711"/>
      <c r="CW110" s="711"/>
      <c r="CX110" s="711"/>
      <c r="CY110" s="711"/>
      <c r="CZ110" s="711"/>
      <c r="DA110" s="711"/>
      <c r="DB110" s="711"/>
      <c r="DC110" s="711"/>
      <c r="DD110" s="711"/>
      <c r="DE110" s="711"/>
      <c r="DF110" s="711"/>
      <c r="DG110" s="711"/>
      <c r="DH110" s="711"/>
      <c r="DI110" s="711"/>
      <c r="DJ110" s="711"/>
      <c r="DK110" s="711"/>
      <c r="DL110" s="711"/>
      <c r="DM110" s="711"/>
      <c r="DN110" s="711"/>
      <c r="DO110" s="711"/>
      <c r="DP110" s="711"/>
      <c r="DQ110" s="711"/>
      <c r="DR110" s="711"/>
      <c r="DS110" s="711"/>
      <c r="DT110" s="711"/>
      <c r="DU110" s="711"/>
      <c r="DV110" s="711"/>
      <c r="DW110" s="711"/>
      <c r="DX110" s="711"/>
      <c r="DY110" s="711"/>
      <c r="DZ110" s="711"/>
      <c r="EA110" s="711"/>
      <c r="EB110" s="711"/>
      <c r="EC110" s="711"/>
      <c r="ED110" s="711"/>
      <c r="EE110" s="711"/>
      <c r="EF110" s="711"/>
      <c r="EG110" s="711"/>
      <c r="EH110" s="711"/>
      <c r="EI110" s="711"/>
      <c r="EJ110" s="711"/>
      <c r="EK110" s="711"/>
      <c r="EL110" s="711"/>
      <c r="EM110" s="711"/>
      <c r="EN110" s="711"/>
      <c r="EO110" s="711"/>
      <c r="EP110" s="711"/>
      <c r="EQ110" s="711"/>
      <c r="ER110" s="711"/>
      <c r="ES110" s="711"/>
      <c r="ET110" s="711"/>
      <c r="EU110" s="711"/>
      <c r="EV110" s="711"/>
      <c r="EW110" s="711"/>
      <c r="EX110" s="711"/>
      <c r="EY110" s="711"/>
      <c r="EZ110" s="711"/>
      <c r="FA110" s="711"/>
      <c r="FB110" s="711"/>
      <c r="FC110" s="711"/>
      <c r="FD110" s="711"/>
      <c r="FE110" s="711"/>
      <c r="FF110" s="711"/>
      <c r="FG110" s="711"/>
      <c r="FH110" s="711"/>
      <c r="FI110" s="711"/>
      <c r="FJ110" s="711"/>
      <c r="FK110" s="711"/>
      <c r="FL110" s="711"/>
      <c r="FM110" s="711"/>
      <c r="FN110" s="711"/>
      <c r="FO110" s="711"/>
      <c r="FP110" s="711"/>
      <c r="FQ110" s="711"/>
      <c r="FR110" s="711"/>
      <c r="FS110" s="711"/>
      <c r="FT110" s="711"/>
      <c r="FU110" s="711"/>
      <c r="FV110" s="711"/>
      <c r="FW110" s="711"/>
      <c r="FX110" s="711"/>
      <c r="FY110" s="711"/>
      <c r="FZ110" s="711"/>
      <c r="GA110" s="711"/>
      <c r="GB110" s="711"/>
      <c r="GC110" s="711"/>
      <c r="GD110" s="711"/>
      <c r="GE110" s="711"/>
      <c r="GF110" s="711"/>
      <c r="GG110" s="711"/>
      <c r="GH110" s="711"/>
      <c r="GI110" s="711"/>
      <c r="GJ110" s="711"/>
      <c r="GK110" s="711"/>
      <c r="GL110" s="711"/>
      <c r="GM110" s="711"/>
      <c r="GN110" s="711"/>
      <c r="GO110" s="711"/>
      <c r="GP110" s="711"/>
      <c r="GQ110" s="711"/>
      <c r="GR110" s="711"/>
      <c r="GS110" s="711"/>
      <c r="GT110" s="711"/>
      <c r="GU110" s="711"/>
      <c r="GV110" s="711"/>
      <c r="GW110" s="711"/>
      <c r="GX110" s="711"/>
      <c r="GY110" s="711"/>
      <c r="GZ110" s="711"/>
      <c r="HA110" s="711"/>
      <c r="HB110" s="711"/>
      <c r="HC110" s="711"/>
      <c r="HD110" s="711"/>
      <c r="HE110" s="711"/>
      <c r="HF110" s="711"/>
      <c r="HG110" s="711"/>
      <c r="HH110" s="711"/>
      <c r="HI110" s="711"/>
      <c r="HJ110" s="711"/>
      <c r="HK110" s="711"/>
      <c r="HL110" s="711"/>
      <c r="HM110" s="711"/>
      <c r="HN110" s="711"/>
      <c r="HO110" s="711"/>
      <c r="HP110" s="711"/>
      <c r="HQ110" s="711"/>
      <c r="HR110" s="711"/>
      <c r="HS110" s="711"/>
      <c r="HT110" s="711"/>
      <c r="HU110" s="711"/>
      <c r="HV110" s="711"/>
      <c r="HW110" s="711"/>
      <c r="HX110" s="711"/>
      <c r="HY110" s="711"/>
      <c r="HZ110" s="711"/>
      <c r="IA110" s="711"/>
      <c r="IB110" s="711"/>
      <c r="IC110" s="711"/>
      <c r="ID110" s="711"/>
      <c r="IE110" s="711"/>
      <c r="IF110" s="711"/>
      <c r="IG110" s="711"/>
      <c r="IH110" s="711"/>
      <c r="II110" s="711"/>
      <c r="IJ110" s="711"/>
      <c r="IK110" s="711"/>
      <c r="IL110" s="711"/>
      <c r="IM110" s="711"/>
      <c r="IN110" s="711"/>
      <c r="IO110" s="711"/>
      <c r="IP110" s="711"/>
      <c r="IQ110" s="711"/>
      <c r="IR110" s="711"/>
      <c r="IS110" s="711"/>
      <c r="IT110" s="711"/>
      <c r="IU110" s="711"/>
      <c r="IV110" s="711"/>
    </row>
    <row r="111" spans="1:256" ht="12.75" hidden="1" customHeight="1">
      <c r="A111" s="708" t="s">
        <v>343</v>
      </c>
      <c r="B111" s="707">
        <v>774694.5</v>
      </c>
      <c r="C111" s="708">
        <v>762586</v>
      </c>
      <c r="D111" s="691"/>
      <c r="E111" s="708">
        <f>B111-C111</f>
        <v>12108.5</v>
      </c>
      <c r="F111" s="708">
        <v>-119669.7</v>
      </c>
      <c r="G111" s="708">
        <v>107561.2</v>
      </c>
      <c r="H111" s="708">
        <f t="shared" si="13"/>
        <v>-12108.5</v>
      </c>
      <c r="I111" s="695"/>
      <c r="J111" s="708">
        <v>0</v>
      </c>
      <c r="K111" s="708">
        <f>J111+H111</f>
        <v>-12108.5</v>
      </c>
      <c r="L111" s="693"/>
      <c r="M111" s="711"/>
      <c r="N111" s="711"/>
      <c r="O111" s="711"/>
      <c r="P111" s="711"/>
      <c r="Q111" s="711"/>
      <c r="R111" s="711"/>
      <c r="S111" s="711"/>
      <c r="T111" s="711"/>
      <c r="U111" s="711"/>
      <c r="V111" s="711"/>
      <c r="W111" s="711"/>
      <c r="X111" s="711"/>
      <c r="Y111" s="711"/>
      <c r="Z111" s="711"/>
      <c r="AA111" s="711"/>
      <c r="AB111" s="711"/>
      <c r="AC111" s="711"/>
      <c r="AD111" s="711"/>
      <c r="AE111" s="711"/>
      <c r="AF111" s="711"/>
      <c r="AG111" s="711"/>
      <c r="AH111" s="711"/>
      <c r="AI111" s="711"/>
      <c r="AJ111" s="711"/>
      <c r="AK111" s="711"/>
      <c r="AL111" s="711"/>
      <c r="AM111" s="711"/>
      <c r="AN111" s="711"/>
      <c r="AO111" s="711"/>
      <c r="AP111" s="711"/>
      <c r="AQ111" s="711"/>
      <c r="AR111" s="711"/>
      <c r="AS111" s="711"/>
      <c r="AT111" s="711"/>
      <c r="AU111" s="711"/>
      <c r="AV111" s="711"/>
      <c r="AW111" s="711"/>
      <c r="AX111" s="711"/>
      <c r="AY111" s="711"/>
      <c r="AZ111" s="711"/>
      <c r="BA111" s="711"/>
      <c r="BB111" s="711"/>
      <c r="BC111" s="711"/>
      <c r="BD111" s="711"/>
      <c r="BE111" s="711"/>
      <c r="BF111" s="711"/>
      <c r="BG111" s="711"/>
      <c r="BH111" s="711"/>
      <c r="BI111" s="711"/>
      <c r="BJ111" s="711"/>
      <c r="BK111" s="711"/>
      <c r="BL111" s="711"/>
      <c r="BM111" s="711"/>
      <c r="BN111" s="711"/>
      <c r="BO111" s="711"/>
      <c r="BP111" s="711"/>
      <c r="BQ111" s="711"/>
      <c r="BR111" s="711"/>
      <c r="BS111" s="711"/>
      <c r="BT111" s="711"/>
      <c r="BU111" s="711"/>
      <c r="BV111" s="711"/>
      <c r="BW111" s="711"/>
      <c r="BX111" s="711"/>
      <c r="BY111" s="711"/>
      <c r="BZ111" s="711"/>
      <c r="CA111" s="711"/>
      <c r="CB111" s="711"/>
      <c r="CC111" s="711"/>
      <c r="CD111" s="711"/>
      <c r="CE111" s="711"/>
      <c r="CF111" s="711"/>
      <c r="CG111" s="711"/>
      <c r="CH111" s="711"/>
      <c r="CI111" s="711"/>
      <c r="CJ111" s="711"/>
      <c r="CK111" s="711"/>
      <c r="CL111" s="711"/>
      <c r="CM111" s="711"/>
      <c r="CN111" s="711"/>
      <c r="CO111" s="711"/>
      <c r="CP111" s="711"/>
      <c r="CQ111" s="711"/>
      <c r="CR111" s="711"/>
      <c r="CS111" s="711"/>
      <c r="CT111" s="711"/>
      <c r="CU111" s="711"/>
      <c r="CV111" s="711"/>
      <c r="CW111" s="711"/>
      <c r="CX111" s="711"/>
      <c r="CY111" s="711"/>
      <c r="CZ111" s="711"/>
      <c r="DA111" s="711"/>
      <c r="DB111" s="711"/>
      <c r="DC111" s="711"/>
      <c r="DD111" s="711"/>
      <c r="DE111" s="711"/>
      <c r="DF111" s="711"/>
      <c r="DG111" s="711"/>
      <c r="DH111" s="711"/>
      <c r="DI111" s="711"/>
      <c r="DJ111" s="711"/>
      <c r="DK111" s="711"/>
      <c r="DL111" s="711"/>
      <c r="DM111" s="711"/>
      <c r="DN111" s="711"/>
      <c r="DO111" s="711"/>
      <c r="DP111" s="711"/>
      <c r="DQ111" s="711"/>
      <c r="DR111" s="711"/>
      <c r="DS111" s="711"/>
      <c r="DT111" s="711"/>
      <c r="DU111" s="711"/>
      <c r="DV111" s="711"/>
      <c r="DW111" s="711"/>
      <c r="DX111" s="711"/>
      <c r="DY111" s="711"/>
      <c r="DZ111" s="711"/>
      <c r="EA111" s="711"/>
      <c r="EB111" s="711"/>
      <c r="EC111" s="711"/>
      <c r="ED111" s="711"/>
      <c r="EE111" s="711"/>
      <c r="EF111" s="711"/>
      <c r="EG111" s="711"/>
      <c r="EH111" s="711"/>
      <c r="EI111" s="711"/>
      <c r="EJ111" s="711"/>
      <c r="EK111" s="711"/>
      <c r="EL111" s="711"/>
      <c r="EM111" s="711"/>
      <c r="EN111" s="711"/>
      <c r="EO111" s="711"/>
      <c r="EP111" s="711"/>
      <c r="EQ111" s="711"/>
      <c r="ER111" s="711"/>
      <c r="ES111" s="711"/>
      <c r="ET111" s="711"/>
      <c r="EU111" s="711"/>
      <c r="EV111" s="711"/>
      <c r="EW111" s="711"/>
      <c r="EX111" s="711"/>
      <c r="EY111" s="711"/>
      <c r="EZ111" s="711"/>
      <c r="FA111" s="711"/>
      <c r="FB111" s="711"/>
      <c r="FC111" s="711"/>
      <c r="FD111" s="711"/>
      <c r="FE111" s="711"/>
      <c r="FF111" s="711"/>
      <c r="FG111" s="711"/>
      <c r="FH111" s="711"/>
      <c r="FI111" s="711"/>
      <c r="FJ111" s="711"/>
      <c r="FK111" s="711"/>
      <c r="FL111" s="711"/>
      <c r="FM111" s="711"/>
      <c r="FN111" s="711"/>
      <c r="FO111" s="711"/>
      <c r="FP111" s="711"/>
      <c r="FQ111" s="711"/>
      <c r="FR111" s="711"/>
      <c r="FS111" s="711"/>
      <c r="FT111" s="711"/>
      <c r="FU111" s="711"/>
      <c r="FV111" s="711"/>
      <c r="FW111" s="711"/>
      <c r="FX111" s="711"/>
      <c r="FY111" s="711"/>
      <c r="FZ111" s="711"/>
      <c r="GA111" s="711"/>
      <c r="GB111" s="711"/>
      <c r="GC111" s="711"/>
      <c r="GD111" s="711"/>
      <c r="GE111" s="711"/>
      <c r="GF111" s="711"/>
      <c r="GG111" s="711"/>
      <c r="GH111" s="711"/>
      <c r="GI111" s="711"/>
      <c r="GJ111" s="711"/>
      <c r="GK111" s="711"/>
      <c r="GL111" s="711"/>
      <c r="GM111" s="711"/>
      <c r="GN111" s="711"/>
      <c r="GO111" s="711"/>
      <c r="GP111" s="711"/>
      <c r="GQ111" s="711"/>
      <c r="GR111" s="711"/>
      <c r="GS111" s="711"/>
      <c r="GT111" s="711"/>
      <c r="GU111" s="711"/>
      <c r="GV111" s="711"/>
      <c r="GW111" s="711"/>
      <c r="GX111" s="711"/>
      <c r="GY111" s="711"/>
      <c r="GZ111" s="711"/>
      <c r="HA111" s="711"/>
      <c r="HB111" s="711"/>
      <c r="HC111" s="711"/>
      <c r="HD111" s="711"/>
      <c r="HE111" s="711"/>
      <c r="HF111" s="711"/>
      <c r="HG111" s="711"/>
      <c r="HH111" s="711"/>
      <c r="HI111" s="711"/>
      <c r="HJ111" s="711"/>
      <c r="HK111" s="711"/>
      <c r="HL111" s="711"/>
      <c r="HM111" s="711"/>
      <c r="HN111" s="711"/>
      <c r="HO111" s="711"/>
      <c r="HP111" s="711"/>
      <c r="HQ111" s="711"/>
      <c r="HR111" s="711"/>
      <c r="HS111" s="711"/>
      <c r="HT111" s="711"/>
      <c r="HU111" s="711"/>
      <c r="HV111" s="711"/>
      <c r="HW111" s="711"/>
      <c r="HX111" s="711"/>
      <c r="HY111" s="711"/>
      <c r="HZ111" s="711"/>
      <c r="IA111" s="711"/>
      <c r="IB111" s="711"/>
      <c r="IC111" s="711"/>
      <c r="ID111" s="711"/>
      <c r="IE111" s="711"/>
      <c r="IF111" s="711"/>
      <c r="IG111" s="711"/>
      <c r="IH111" s="711"/>
      <c r="II111" s="711"/>
      <c r="IJ111" s="711"/>
      <c r="IK111" s="711"/>
      <c r="IL111" s="711"/>
      <c r="IM111" s="711"/>
      <c r="IN111" s="711"/>
      <c r="IO111" s="711"/>
      <c r="IP111" s="711"/>
      <c r="IQ111" s="711"/>
      <c r="IR111" s="711"/>
      <c r="IS111" s="711"/>
      <c r="IT111" s="711"/>
      <c r="IU111" s="711"/>
      <c r="IV111" s="711"/>
    </row>
    <row r="112" spans="1:256" ht="12.75" hidden="1" customHeight="1">
      <c r="A112" s="708" t="s">
        <v>344</v>
      </c>
      <c r="B112" s="707">
        <v>1186025.2</v>
      </c>
      <c r="C112" s="708">
        <v>1252677.2</v>
      </c>
      <c r="D112" s="691"/>
      <c r="E112" s="708">
        <f>B112-C112</f>
        <v>-66652</v>
      </c>
      <c r="F112" s="708">
        <v>190753.2</v>
      </c>
      <c r="G112" s="708">
        <v>-128436.4</v>
      </c>
      <c r="H112" s="708">
        <f t="shared" si="13"/>
        <v>62316.800000000017</v>
      </c>
      <c r="I112" s="695"/>
      <c r="J112" s="708">
        <v>0</v>
      </c>
      <c r="K112" s="708">
        <f>J112+H112</f>
        <v>62316.800000000017</v>
      </c>
      <c r="L112" s="693"/>
      <c r="M112" s="711"/>
      <c r="N112" s="711"/>
      <c r="O112" s="711"/>
      <c r="P112" s="711"/>
      <c r="Q112" s="711"/>
      <c r="R112" s="711"/>
      <c r="S112" s="711"/>
      <c r="T112" s="711"/>
      <c r="U112" s="711"/>
      <c r="V112" s="711"/>
      <c r="W112" s="711"/>
      <c r="X112" s="711"/>
      <c r="Y112" s="711"/>
      <c r="Z112" s="711"/>
      <c r="AA112" s="711"/>
      <c r="AB112" s="711"/>
      <c r="AC112" s="711"/>
      <c r="AD112" s="711"/>
      <c r="AE112" s="711"/>
      <c r="AF112" s="711"/>
      <c r="AG112" s="711"/>
      <c r="AH112" s="711"/>
      <c r="AI112" s="711"/>
      <c r="AJ112" s="711"/>
      <c r="AK112" s="711"/>
      <c r="AL112" s="711"/>
      <c r="AM112" s="711"/>
      <c r="AN112" s="711"/>
      <c r="AO112" s="711"/>
      <c r="AP112" s="711"/>
      <c r="AQ112" s="711"/>
      <c r="AR112" s="711"/>
      <c r="AS112" s="711"/>
      <c r="AT112" s="711"/>
      <c r="AU112" s="711"/>
      <c r="AV112" s="711"/>
      <c r="AW112" s="711"/>
      <c r="AX112" s="711"/>
      <c r="AY112" s="711"/>
      <c r="AZ112" s="711"/>
      <c r="BA112" s="711"/>
      <c r="BB112" s="711"/>
      <c r="BC112" s="711"/>
      <c r="BD112" s="711"/>
      <c r="BE112" s="711"/>
      <c r="BF112" s="711"/>
      <c r="BG112" s="711"/>
      <c r="BH112" s="711"/>
      <c r="BI112" s="711"/>
      <c r="BJ112" s="711"/>
      <c r="BK112" s="711"/>
      <c r="BL112" s="711"/>
      <c r="BM112" s="711"/>
      <c r="BN112" s="711"/>
      <c r="BO112" s="711"/>
      <c r="BP112" s="711"/>
      <c r="BQ112" s="711"/>
      <c r="BR112" s="711"/>
      <c r="BS112" s="711"/>
      <c r="BT112" s="711"/>
      <c r="BU112" s="711"/>
      <c r="BV112" s="711"/>
      <c r="BW112" s="711"/>
      <c r="BX112" s="711"/>
      <c r="BY112" s="711"/>
      <c r="BZ112" s="711"/>
      <c r="CA112" s="711"/>
      <c r="CB112" s="711"/>
      <c r="CC112" s="711"/>
      <c r="CD112" s="711"/>
      <c r="CE112" s="711"/>
      <c r="CF112" s="711"/>
      <c r="CG112" s="711"/>
      <c r="CH112" s="711"/>
      <c r="CI112" s="711"/>
      <c r="CJ112" s="711"/>
      <c r="CK112" s="711"/>
      <c r="CL112" s="711"/>
      <c r="CM112" s="711"/>
      <c r="CN112" s="711"/>
      <c r="CO112" s="711"/>
      <c r="CP112" s="711"/>
      <c r="CQ112" s="711"/>
      <c r="CR112" s="711"/>
      <c r="CS112" s="711"/>
      <c r="CT112" s="711"/>
      <c r="CU112" s="711"/>
      <c r="CV112" s="711"/>
      <c r="CW112" s="711"/>
      <c r="CX112" s="711"/>
      <c r="CY112" s="711"/>
      <c r="CZ112" s="711"/>
      <c r="DA112" s="711"/>
      <c r="DB112" s="711"/>
      <c r="DC112" s="711"/>
      <c r="DD112" s="711"/>
      <c r="DE112" s="711"/>
      <c r="DF112" s="711"/>
      <c r="DG112" s="711"/>
      <c r="DH112" s="711"/>
      <c r="DI112" s="711"/>
      <c r="DJ112" s="711"/>
      <c r="DK112" s="711"/>
      <c r="DL112" s="711"/>
      <c r="DM112" s="711"/>
      <c r="DN112" s="711"/>
      <c r="DO112" s="711"/>
      <c r="DP112" s="711"/>
      <c r="DQ112" s="711"/>
      <c r="DR112" s="711"/>
      <c r="DS112" s="711"/>
      <c r="DT112" s="711"/>
      <c r="DU112" s="711"/>
      <c r="DV112" s="711"/>
      <c r="DW112" s="711"/>
      <c r="DX112" s="711"/>
      <c r="DY112" s="711"/>
      <c r="DZ112" s="711"/>
      <c r="EA112" s="711"/>
      <c r="EB112" s="711"/>
      <c r="EC112" s="711"/>
      <c r="ED112" s="711"/>
      <c r="EE112" s="711"/>
      <c r="EF112" s="711"/>
      <c r="EG112" s="711"/>
      <c r="EH112" s="711"/>
      <c r="EI112" s="711"/>
      <c r="EJ112" s="711"/>
      <c r="EK112" s="711"/>
      <c r="EL112" s="711"/>
      <c r="EM112" s="711"/>
      <c r="EN112" s="711"/>
      <c r="EO112" s="711"/>
      <c r="EP112" s="711"/>
      <c r="EQ112" s="711"/>
      <c r="ER112" s="711"/>
      <c r="ES112" s="711"/>
      <c r="ET112" s="711"/>
      <c r="EU112" s="711"/>
      <c r="EV112" s="711"/>
      <c r="EW112" s="711"/>
      <c r="EX112" s="711"/>
      <c r="EY112" s="711"/>
      <c r="EZ112" s="711"/>
      <c r="FA112" s="711"/>
      <c r="FB112" s="711"/>
      <c r="FC112" s="711"/>
      <c r="FD112" s="711"/>
      <c r="FE112" s="711"/>
      <c r="FF112" s="711"/>
      <c r="FG112" s="711"/>
      <c r="FH112" s="711"/>
      <c r="FI112" s="711"/>
      <c r="FJ112" s="711"/>
      <c r="FK112" s="711"/>
      <c r="FL112" s="711"/>
      <c r="FM112" s="711"/>
      <c r="FN112" s="711"/>
      <c r="FO112" s="711"/>
      <c r="FP112" s="711"/>
      <c r="FQ112" s="711"/>
      <c r="FR112" s="711"/>
      <c r="FS112" s="711"/>
      <c r="FT112" s="711"/>
      <c r="FU112" s="711"/>
      <c r="FV112" s="711"/>
      <c r="FW112" s="711"/>
      <c r="FX112" s="711"/>
      <c r="FY112" s="711"/>
      <c r="FZ112" s="711"/>
      <c r="GA112" s="711"/>
      <c r="GB112" s="711"/>
      <c r="GC112" s="711"/>
      <c r="GD112" s="711"/>
      <c r="GE112" s="711"/>
      <c r="GF112" s="711"/>
      <c r="GG112" s="711"/>
      <c r="GH112" s="711"/>
      <c r="GI112" s="711"/>
      <c r="GJ112" s="711"/>
      <c r="GK112" s="711"/>
      <c r="GL112" s="711"/>
      <c r="GM112" s="711"/>
      <c r="GN112" s="711"/>
      <c r="GO112" s="711"/>
      <c r="GP112" s="711"/>
      <c r="GQ112" s="711"/>
      <c r="GR112" s="711"/>
      <c r="GS112" s="711"/>
      <c r="GT112" s="711"/>
      <c r="GU112" s="711"/>
      <c r="GV112" s="711"/>
      <c r="GW112" s="711"/>
      <c r="GX112" s="711"/>
      <c r="GY112" s="711"/>
      <c r="GZ112" s="711"/>
      <c r="HA112" s="711"/>
      <c r="HB112" s="711"/>
      <c r="HC112" s="711"/>
      <c r="HD112" s="711"/>
      <c r="HE112" s="711"/>
      <c r="HF112" s="711"/>
      <c r="HG112" s="711"/>
      <c r="HH112" s="711"/>
      <c r="HI112" s="711"/>
      <c r="HJ112" s="711"/>
      <c r="HK112" s="711"/>
      <c r="HL112" s="711"/>
      <c r="HM112" s="711"/>
      <c r="HN112" s="711"/>
      <c r="HO112" s="711"/>
      <c r="HP112" s="711"/>
      <c r="HQ112" s="711"/>
      <c r="HR112" s="711"/>
      <c r="HS112" s="711"/>
      <c r="HT112" s="711"/>
      <c r="HU112" s="711"/>
      <c r="HV112" s="711"/>
      <c r="HW112" s="711"/>
      <c r="HX112" s="711"/>
      <c r="HY112" s="711"/>
      <c r="HZ112" s="711"/>
      <c r="IA112" s="711"/>
      <c r="IB112" s="711"/>
      <c r="IC112" s="711"/>
      <c r="ID112" s="711"/>
      <c r="IE112" s="711"/>
      <c r="IF112" s="711"/>
      <c r="IG112" s="711"/>
      <c r="IH112" s="711"/>
      <c r="II112" s="711"/>
      <c r="IJ112" s="711"/>
      <c r="IK112" s="711"/>
      <c r="IL112" s="711"/>
      <c r="IM112" s="711"/>
      <c r="IN112" s="711"/>
      <c r="IO112" s="711"/>
      <c r="IP112" s="711"/>
      <c r="IQ112" s="711"/>
      <c r="IR112" s="711"/>
      <c r="IS112" s="711"/>
      <c r="IT112" s="711"/>
      <c r="IU112" s="711"/>
      <c r="IV112" s="711"/>
    </row>
    <row r="113" spans="1:256" ht="12.75" hidden="1" customHeight="1">
      <c r="A113" s="708"/>
      <c r="B113" s="707"/>
      <c r="C113" s="708"/>
      <c r="D113" s="691"/>
      <c r="E113" s="708"/>
      <c r="F113" s="708"/>
      <c r="G113" s="708"/>
      <c r="H113" s="708"/>
      <c r="I113" s="695"/>
      <c r="J113" s="708"/>
      <c r="K113" s="708"/>
      <c r="L113" s="693"/>
      <c r="M113" s="711"/>
      <c r="N113" s="711"/>
      <c r="O113" s="711"/>
      <c r="P113" s="711"/>
      <c r="Q113" s="711"/>
      <c r="R113" s="711"/>
      <c r="S113" s="711"/>
      <c r="T113" s="711"/>
      <c r="U113" s="711"/>
      <c r="V113" s="711"/>
      <c r="W113" s="711"/>
      <c r="X113" s="711"/>
      <c r="Y113" s="711"/>
      <c r="Z113" s="711"/>
      <c r="AA113" s="711"/>
      <c r="AB113" s="711"/>
      <c r="AC113" s="711"/>
      <c r="AD113" s="711"/>
      <c r="AE113" s="711"/>
      <c r="AF113" s="711"/>
      <c r="AG113" s="711"/>
      <c r="AH113" s="711"/>
      <c r="AI113" s="711"/>
      <c r="AJ113" s="711"/>
      <c r="AK113" s="711"/>
      <c r="AL113" s="711"/>
      <c r="AM113" s="711"/>
      <c r="AN113" s="711"/>
      <c r="AO113" s="711"/>
      <c r="AP113" s="711"/>
      <c r="AQ113" s="711"/>
      <c r="AR113" s="711"/>
      <c r="AS113" s="711"/>
      <c r="AT113" s="711"/>
      <c r="AU113" s="711"/>
      <c r="AV113" s="711"/>
      <c r="AW113" s="711"/>
      <c r="AX113" s="711"/>
      <c r="AY113" s="711"/>
      <c r="AZ113" s="711"/>
      <c r="BA113" s="711"/>
      <c r="BB113" s="711"/>
      <c r="BC113" s="711"/>
      <c r="BD113" s="711"/>
      <c r="BE113" s="711"/>
      <c r="BF113" s="711"/>
      <c r="BG113" s="711"/>
      <c r="BH113" s="711"/>
      <c r="BI113" s="711"/>
      <c r="BJ113" s="711"/>
      <c r="BK113" s="711"/>
      <c r="BL113" s="711"/>
      <c r="BM113" s="711"/>
      <c r="BN113" s="711"/>
      <c r="BO113" s="711"/>
      <c r="BP113" s="711"/>
      <c r="BQ113" s="711"/>
      <c r="BR113" s="711"/>
      <c r="BS113" s="711"/>
      <c r="BT113" s="711"/>
      <c r="BU113" s="711"/>
      <c r="BV113" s="711"/>
      <c r="BW113" s="711"/>
      <c r="BX113" s="711"/>
      <c r="BY113" s="711"/>
      <c r="BZ113" s="711"/>
      <c r="CA113" s="711"/>
      <c r="CB113" s="711"/>
      <c r="CC113" s="711"/>
      <c r="CD113" s="711"/>
      <c r="CE113" s="711"/>
      <c r="CF113" s="711"/>
      <c r="CG113" s="711"/>
      <c r="CH113" s="711"/>
      <c r="CI113" s="711"/>
      <c r="CJ113" s="711"/>
      <c r="CK113" s="711"/>
      <c r="CL113" s="711"/>
      <c r="CM113" s="711"/>
      <c r="CN113" s="711"/>
      <c r="CO113" s="711"/>
      <c r="CP113" s="711"/>
      <c r="CQ113" s="711"/>
      <c r="CR113" s="711"/>
      <c r="CS113" s="711"/>
      <c r="CT113" s="711"/>
      <c r="CU113" s="711"/>
      <c r="CV113" s="711"/>
      <c r="CW113" s="711"/>
      <c r="CX113" s="711"/>
      <c r="CY113" s="711"/>
      <c r="CZ113" s="711"/>
      <c r="DA113" s="711"/>
      <c r="DB113" s="711"/>
      <c r="DC113" s="711"/>
      <c r="DD113" s="711"/>
      <c r="DE113" s="711"/>
      <c r="DF113" s="711"/>
      <c r="DG113" s="711"/>
      <c r="DH113" s="711"/>
      <c r="DI113" s="711"/>
      <c r="DJ113" s="711"/>
      <c r="DK113" s="711"/>
      <c r="DL113" s="711"/>
      <c r="DM113" s="711"/>
      <c r="DN113" s="711"/>
      <c r="DO113" s="711"/>
      <c r="DP113" s="711"/>
      <c r="DQ113" s="711"/>
      <c r="DR113" s="711"/>
      <c r="DS113" s="711"/>
      <c r="DT113" s="711"/>
      <c r="DU113" s="711"/>
      <c r="DV113" s="711"/>
      <c r="DW113" s="711"/>
      <c r="DX113" s="711"/>
      <c r="DY113" s="711"/>
      <c r="DZ113" s="711"/>
      <c r="EA113" s="711"/>
      <c r="EB113" s="711"/>
      <c r="EC113" s="711"/>
      <c r="ED113" s="711"/>
      <c r="EE113" s="711"/>
      <c r="EF113" s="711"/>
      <c r="EG113" s="711"/>
      <c r="EH113" s="711"/>
      <c r="EI113" s="711"/>
      <c r="EJ113" s="711"/>
      <c r="EK113" s="711"/>
      <c r="EL113" s="711"/>
      <c r="EM113" s="711"/>
      <c r="EN113" s="711"/>
      <c r="EO113" s="711"/>
      <c r="EP113" s="711"/>
      <c r="EQ113" s="711"/>
      <c r="ER113" s="711"/>
      <c r="ES113" s="711"/>
      <c r="ET113" s="711"/>
      <c r="EU113" s="711"/>
      <c r="EV113" s="711"/>
      <c r="EW113" s="711"/>
      <c r="EX113" s="711"/>
      <c r="EY113" s="711"/>
      <c r="EZ113" s="711"/>
      <c r="FA113" s="711"/>
      <c r="FB113" s="711"/>
      <c r="FC113" s="711"/>
      <c r="FD113" s="711"/>
      <c r="FE113" s="711"/>
      <c r="FF113" s="711"/>
      <c r="FG113" s="711"/>
      <c r="FH113" s="711"/>
      <c r="FI113" s="711"/>
      <c r="FJ113" s="711"/>
      <c r="FK113" s="711"/>
      <c r="FL113" s="711"/>
      <c r="FM113" s="711"/>
      <c r="FN113" s="711"/>
      <c r="FO113" s="711"/>
      <c r="FP113" s="711"/>
      <c r="FQ113" s="711"/>
      <c r="FR113" s="711"/>
      <c r="FS113" s="711"/>
      <c r="FT113" s="711"/>
      <c r="FU113" s="711"/>
      <c r="FV113" s="711"/>
      <c r="FW113" s="711"/>
      <c r="FX113" s="711"/>
      <c r="FY113" s="711"/>
      <c r="FZ113" s="711"/>
      <c r="GA113" s="711"/>
      <c r="GB113" s="711"/>
      <c r="GC113" s="711"/>
      <c r="GD113" s="711"/>
      <c r="GE113" s="711"/>
      <c r="GF113" s="711"/>
      <c r="GG113" s="711"/>
      <c r="GH113" s="711"/>
      <c r="GI113" s="711"/>
      <c r="GJ113" s="711"/>
      <c r="GK113" s="711"/>
      <c r="GL113" s="711"/>
      <c r="GM113" s="711"/>
      <c r="GN113" s="711"/>
      <c r="GO113" s="711"/>
      <c r="GP113" s="711"/>
      <c r="GQ113" s="711"/>
      <c r="GR113" s="711"/>
      <c r="GS113" s="711"/>
      <c r="GT113" s="711"/>
      <c r="GU113" s="711"/>
      <c r="GV113" s="711"/>
      <c r="GW113" s="711"/>
      <c r="GX113" s="711"/>
      <c r="GY113" s="711"/>
      <c r="GZ113" s="711"/>
      <c r="HA113" s="711"/>
      <c r="HB113" s="711"/>
      <c r="HC113" s="711"/>
      <c r="HD113" s="711"/>
      <c r="HE113" s="711"/>
      <c r="HF113" s="711"/>
      <c r="HG113" s="711"/>
      <c r="HH113" s="711"/>
      <c r="HI113" s="711"/>
      <c r="HJ113" s="711"/>
      <c r="HK113" s="711"/>
      <c r="HL113" s="711"/>
      <c r="HM113" s="711"/>
      <c r="HN113" s="711"/>
      <c r="HO113" s="711"/>
      <c r="HP113" s="711"/>
      <c r="HQ113" s="711"/>
      <c r="HR113" s="711"/>
      <c r="HS113" s="711"/>
      <c r="HT113" s="711"/>
      <c r="HU113" s="711"/>
      <c r="HV113" s="711"/>
      <c r="HW113" s="711"/>
      <c r="HX113" s="711"/>
      <c r="HY113" s="711"/>
      <c r="HZ113" s="711"/>
      <c r="IA113" s="711"/>
      <c r="IB113" s="711"/>
      <c r="IC113" s="711"/>
      <c r="ID113" s="711"/>
      <c r="IE113" s="711"/>
      <c r="IF113" s="711"/>
      <c r="IG113" s="711"/>
      <c r="IH113" s="711"/>
      <c r="II113" s="711"/>
      <c r="IJ113" s="711"/>
      <c r="IK113" s="711"/>
      <c r="IL113" s="711"/>
      <c r="IM113" s="711"/>
      <c r="IN113" s="711"/>
      <c r="IO113" s="711"/>
      <c r="IP113" s="711"/>
      <c r="IQ113" s="711"/>
      <c r="IR113" s="711"/>
      <c r="IS113" s="711"/>
      <c r="IT113" s="711"/>
      <c r="IU113" s="711"/>
      <c r="IV113" s="711"/>
    </row>
    <row r="114" spans="1:256" ht="12.75" hidden="1" customHeight="1">
      <c r="A114" s="710">
        <v>2005</v>
      </c>
      <c r="B114" s="707"/>
      <c r="C114" s="708"/>
      <c r="D114" s="691"/>
      <c r="E114" s="708"/>
      <c r="F114" s="708"/>
      <c r="G114" s="708"/>
      <c r="H114" s="708"/>
      <c r="I114" s="695"/>
      <c r="J114" s="708"/>
      <c r="K114" s="708"/>
      <c r="L114" s="693"/>
      <c r="M114" s="711"/>
      <c r="N114" s="711"/>
      <c r="O114" s="711"/>
      <c r="P114" s="711"/>
      <c r="Q114" s="711"/>
      <c r="R114" s="711"/>
      <c r="S114" s="711"/>
      <c r="T114" s="711"/>
      <c r="U114" s="711"/>
      <c r="V114" s="711"/>
      <c r="W114" s="711"/>
      <c r="X114" s="711"/>
      <c r="Y114" s="711"/>
      <c r="Z114" s="711"/>
      <c r="AA114" s="711"/>
      <c r="AB114" s="711"/>
      <c r="AC114" s="711"/>
      <c r="AD114" s="711"/>
      <c r="AE114" s="711"/>
      <c r="AF114" s="711"/>
      <c r="AG114" s="711"/>
      <c r="AH114" s="711"/>
      <c r="AI114" s="711"/>
      <c r="AJ114" s="711"/>
      <c r="AK114" s="711"/>
      <c r="AL114" s="711"/>
      <c r="AM114" s="711"/>
      <c r="AN114" s="711"/>
      <c r="AO114" s="711"/>
      <c r="AP114" s="711"/>
      <c r="AQ114" s="711"/>
      <c r="AR114" s="711"/>
      <c r="AS114" s="711"/>
      <c r="AT114" s="711"/>
      <c r="AU114" s="711"/>
      <c r="AV114" s="711"/>
      <c r="AW114" s="711"/>
      <c r="AX114" s="711"/>
      <c r="AY114" s="711"/>
      <c r="AZ114" s="711"/>
      <c r="BA114" s="711"/>
      <c r="BB114" s="711"/>
      <c r="BC114" s="711"/>
      <c r="BD114" s="711"/>
      <c r="BE114" s="711"/>
      <c r="BF114" s="711"/>
      <c r="BG114" s="711"/>
      <c r="BH114" s="711"/>
      <c r="BI114" s="711"/>
      <c r="BJ114" s="711"/>
      <c r="BK114" s="711"/>
      <c r="BL114" s="711"/>
      <c r="BM114" s="711"/>
      <c r="BN114" s="711"/>
      <c r="BO114" s="711"/>
      <c r="BP114" s="711"/>
      <c r="BQ114" s="711"/>
      <c r="BR114" s="711"/>
      <c r="BS114" s="711"/>
      <c r="BT114" s="711"/>
      <c r="BU114" s="711"/>
      <c r="BV114" s="711"/>
      <c r="BW114" s="711"/>
      <c r="BX114" s="711"/>
      <c r="BY114" s="711"/>
      <c r="BZ114" s="711"/>
      <c r="CA114" s="711"/>
      <c r="CB114" s="711"/>
      <c r="CC114" s="711"/>
      <c r="CD114" s="711"/>
      <c r="CE114" s="711"/>
      <c r="CF114" s="711"/>
      <c r="CG114" s="711"/>
      <c r="CH114" s="711"/>
      <c r="CI114" s="711"/>
      <c r="CJ114" s="711"/>
      <c r="CK114" s="711"/>
      <c r="CL114" s="711"/>
      <c r="CM114" s="711"/>
      <c r="CN114" s="711"/>
      <c r="CO114" s="711"/>
      <c r="CP114" s="711"/>
      <c r="CQ114" s="711"/>
      <c r="CR114" s="711"/>
      <c r="CS114" s="711"/>
      <c r="CT114" s="711"/>
      <c r="CU114" s="711"/>
      <c r="CV114" s="711"/>
      <c r="CW114" s="711"/>
      <c r="CX114" s="711"/>
      <c r="CY114" s="711"/>
      <c r="CZ114" s="711"/>
      <c r="DA114" s="711"/>
      <c r="DB114" s="711"/>
      <c r="DC114" s="711"/>
      <c r="DD114" s="711"/>
      <c r="DE114" s="711"/>
      <c r="DF114" s="711"/>
      <c r="DG114" s="711"/>
      <c r="DH114" s="711"/>
      <c r="DI114" s="711"/>
      <c r="DJ114" s="711"/>
      <c r="DK114" s="711"/>
      <c r="DL114" s="711"/>
      <c r="DM114" s="711"/>
      <c r="DN114" s="711"/>
      <c r="DO114" s="711"/>
      <c r="DP114" s="711"/>
      <c r="DQ114" s="711"/>
      <c r="DR114" s="711"/>
      <c r="DS114" s="711"/>
      <c r="DT114" s="711"/>
      <c r="DU114" s="711"/>
      <c r="DV114" s="711"/>
      <c r="DW114" s="711"/>
      <c r="DX114" s="711"/>
      <c r="DY114" s="711"/>
      <c r="DZ114" s="711"/>
      <c r="EA114" s="711"/>
      <c r="EB114" s="711"/>
      <c r="EC114" s="711"/>
      <c r="ED114" s="711"/>
      <c r="EE114" s="711"/>
      <c r="EF114" s="711"/>
      <c r="EG114" s="711"/>
      <c r="EH114" s="711"/>
      <c r="EI114" s="711"/>
      <c r="EJ114" s="711"/>
      <c r="EK114" s="711"/>
      <c r="EL114" s="711"/>
      <c r="EM114" s="711"/>
      <c r="EN114" s="711"/>
      <c r="EO114" s="711"/>
      <c r="EP114" s="711"/>
      <c r="EQ114" s="711"/>
      <c r="ER114" s="711"/>
      <c r="ES114" s="711"/>
      <c r="ET114" s="711"/>
      <c r="EU114" s="711"/>
      <c r="EV114" s="711"/>
      <c r="EW114" s="711"/>
      <c r="EX114" s="711"/>
      <c r="EY114" s="711"/>
      <c r="EZ114" s="711"/>
      <c r="FA114" s="711"/>
      <c r="FB114" s="711"/>
      <c r="FC114" s="711"/>
      <c r="FD114" s="711"/>
      <c r="FE114" s="711"/>
      <c r="FF114" s="711"/>
      <c r="FG114" s="711"/>
      <c r="FH114" s="711"/>
      <c r="FI114" s="711"/>
      <c r="FJ114" s="711"/>
      <c r="FK114" s="711"/>
      <c r="FL114" s="711"/>
      <c r="FM114" s="711"/>
      <c r="FN114" s="711"/>
      <c r="FO114" s="711"/>
      <c r="FP114" s="711"/>
      <c r="FQ114" s="711"/>
      <c r="FR114" s="711"/>
      <c r="FS114" s="711"/>
      <c r="FT114" s="711"/>
      <c r="FU114" s="711"/>
      <c r="FV114" s="711"/>
      <c r="FW114" s="711"/>
      <c r="FX114" s="711"/>
      <c r="FY114" s="711"/>
      <c r="FZ114" s="711"/>
      <c r="GA114" s="711"/>
      <c r="GB114" s="711"/>
      <c r="GC114" s="711"/>
      <c r="GD114" s="711"/>
      <c r="GE114" s="711"/>
      <c r="GF114" s="711"/>
      <c r="GG114" s="711"/>
      <c r="GH114" s="711"/>
      <c r="GI114" s="711"/>
      <c r="GJ114" s="711"/>
      <c r="GK114" s="711"/>
      <c r="GL114" s="711"/>
      <c r="GM114" s="711"/>
      <c r="GN114" s="711"/>
      <c r="GO114" s="711"/>
      <c r="GP114" s="711"/>
      <c r="GQ114" s="711"/>
      <c r="GR114" s="711"/>
      <c r="GS114" s="711"/>
      <c r="GT114" s="711"/>
      <c r="GU114" s="711"/>
      <c r="GV114" s="711"/>
      <c r="GW114" s="711"/>
      <c r="GX114" s="711"/>
      <c r="GY114" s="711"/>
      <c r="GZ114" s="711"/>
      <c r="HA114" s="711"/>
      <c r="HB114" s="711"/>
      <c r="HC114" s="711"/>
      <c r="HD114" s="711"/>
      <c r="HE114" s="711"/>
      <c r="HF114" s="711"/>
      <c r="HG114" s="711"/>
      <c r="HH114" s="711"/>
      <c r="HI114" s="711"/>
      <c r="HJ114" s="711"/>
      <c r="HK114" s="711"/>
      <c r="HL114" s="711"/>
      <c r="HM114" s="711"/>
      <c r="HN114" s="711"/>
      <c r="HO114" s="711"/>
      <c r="HP114" s="711"/>
      <c r="HQ114" s="711"/>
      <c r="HR114" s="711"/>
      <c r="HS114" s="711"/>
      <c r="HT114" s="711"/>
      <c r="HU114" s="711"/>
      <c r="HV114" s="711"/>
      <c r="HW114" s="711"/>
      <c r="HX114" s="711"/>
      <c r="HY114" s="711"/>
      <c r="HZ114" s="711"/>
      <c r="IA114" s="711"/>
      <c r="IB114" s="711"/>
      <c r="IC114" s="711"/>
      <c r="ID114" s="711"/>
      <c r="IE114" s="711"/>
      <c r="IF114" s="711"/>
      <c r="IG114" s="711"/>
      <c r="IH114" s="711"/>
      <c r="II114" s="711"/>
      <c r="IJ114" s="711"/>
      <c r="IK114" s="711"/>
      <c r="IL114" s="711"/>
      <c r="IM114" s="711"/>
      <c r="IN114" s="711"/>
      <c r="IO114" s="711"/>
      <c r="IP114" s="711"/>
      <c r="IQ114" s="711"/>
      <c r="IR114" s="711"/>
      <c r="IS114" s="711"/>
      <c r="IT114" s="711"/>
      <c r="IU114" s="711"/>
      <c r="IV114" s="711"/>
    </row>
    <row r="115" spans="1:256" ht="12.75" hidden="1" customHeight="1">
      <c r="A115" s="708"/>
      <c r="B115" s="707"/>
      <c r="C115" s="708"/>
      <c r="D115" s="691"/>
      <c r="E115" s="708"/>
      <c r="F115" s="708"/>
      <c r="G115" s="708"/>
      <c r="H115" s="708"/>
      <c r="I115" s="695"/>
      <c r="J115" s="708"/>
      <c r="K115" s="708"/>
      <c r="L115" s="693"/>
      <c r="M115" s="711"/>
      <c r="N115" s="711"/>
      <c r="O115" s="711"/>
      <c r="P115" s="711"/>
      <c r="Q115" s="711"/>
      <c r="R115" s="711"/>
      <c r="S115" s="711"/>
      <c r="T115" s="711"/>
      <c r="U115" s="711"/>
      <c r="V115" s="711"/>
      <c r="W115" s="711"/>
      <c r="X115" s="711"/>
      <c r="Y115" s="711"/>
      <c r="Z115" s="711"/>
      <c r="AA115" s="711"/>
      <c r="AB115" s="711"/>
      <c r="AC115" s="711"/>
      <c r="AD115" s="711"/>
      <c r="AE115" s="711"/>
      <c r="AF115" s="711"/>
      <c r="AG115" s="711"/>
      <c r="AH115" s="711"/>
      <c r="AI115" s="711"/>
      <c r="AJ115" s="711"/>
      <c r="AK115" s="711"/>
      <c r="AL115" s="711"/>
      <c r="AM115" s="711"/>
      <c r="AN115" s="711"/>
      <c r="AO115" s="711"/>
      <c r="AP115" s="711"/>
      <c r="AQ115" s="711"/>
      <c r="AR115" s="711"/>
      <c r="AS115" s="711"/>
      <c r="AT115" s="711"/>
      <c r="AU115" s="711"/>
      <c r="AV115" s="711"/>
      <c r="AW115" s="711"/>
      <c r="AX115" s="711"/>
      <c r="AY115" s="711"/>
      <c r="AZ115" s="711"/>
      <c r="BA115" s="711"/>
      <c r="BB115" s="711"/>
      <c r="BC115" s="711"/>
      <c r="BD115" s="711"/>
      <c r="BE115" s="711"/>
      <c r="BF115" s="711"/>
      <c r="BG115" s="711"/>
      <c r="BH115" s="711"/>
      <c r="BI115" s="711"/>
      <c r="BJ115" s="711"/>
      <c r="BK115" s="711"/>
      <c r="BL115" s="711"/>
      <c r="BM115" s="711"/>
      <c r="BN115" s="711"/>
      <c r="BO115" s="711"/>
      <c r="BP115" s="711"/>
      <c r="BQ115" s="711"/>
      <c r="BR115" s="711"/>
      <c r="BS115" s="711"/>
      <c r="BT115" s="711"/>
      <c r="BU115" s="711"/>
      <c r="BV115" s="711"/>
      <c r="BW115" s="711"/>
      <c r="BX115" s="711"/>
      <c r="BY115" s="711"/>
      <c r="BZ115" s="711"/>
      <c r="CA115" s="711"/>
      <c r="CB115" s="711"/>
      <c r="CC115" s="711"/>
      <c r="CD115" s="711"/>
      <c r="CE115" s="711"/>
      <c r="CF115" s="711"/>
      <c r="CG115" s="711"/>
      <c r="CH115" s="711"/>
      <c r="CI115" s="711"/>
      <c r="CJ115" s="711"/>
      <c r="CK115" s="711"/>
      <c r="CL115" s="711"/>
      <c r="CM115" s="711"/>
      <c r="CN115" s="711"/>
      <c r="CO115" s="711"/>
      <c r="CP115" s="711"/>
      <c r="CQ115" s="711"/>
      <c r="CR115" s="711"/>
      <c r="CS115" s="711"/>
      <c r="CT115" s="711"/>
      <c r="CU115" s="711"/>
      <c r="CV115" s="711"/>
      <c r="CW115" s="711"/>
      <c r="CX115" s="711"/>
      <c r="CY115" s="711"/>
      <c r="CZ115" s="711"/>
      <c r="DA115" s="711"/>
      <c r="DB115" s="711"/>
      <c r="DC115" s="711"/>
      <c r="DD115" s="711"/>
      <c r="DE115" s="711"/>
      <c r="DF115" s="711"/>
      <c r="DG115" s="711"/>
      <c r="DH115" s="711"/>
      <c r="DI115" s="711"/>
      <c r="DJ115" s="711"/>
      <c r="DK115" s="711"/>
      <c r="DL115" s="711"/>
      <c r="DM115" s="711"/>
      <c r="DN115" s="711"/>
      <c r="DO115" s="711"/>
      <c r="DP115" s="711"/>
      <c r="DQ115" s="711"/>
      <c r="DR115" s="711"/>
      <c r="DS115" s="711"/>
      <c r="DT115" s="711"/>
      <c r="DU115" s="711"/>
      <c r="DV115" s="711"/>
      <c r="DW115" s="711"/>
      <c r="DX115" s="711"/>
      <c r="DY115" s="711"/>
      <c r="DZ115" s="711"/>
      <c r="EA115" s="711"/>
      <c r="EB115" s="711"/>
      <c r="EC115" s="711"/>
      <c r="ED115" s="711"/>
      <c r="EE115" s="711"/>
      <c r="EF115" s="711"/>
      <c r="EG115" s="711"/>
      <c r="EH115" s="711"/>
      <c r="EI115" s="711"/>
      <c r="EJ115" s="711"/>
      <c r="EK115" s="711"/>
      <c r="EL115" s="711"/>
      <c r="EM115" s="711"/>
      <c r="EN115" s="711"/>
      <c r="EO115" s="711"/>
      <c r="EP115" s="711"/>
      <c r="EQ115" s="711"/>
      <c r="ER115" s="711"/>
      <c r="ES115" s="711"/>
      <c r="ET115" s="711"/>
      <c r="EU115" s="711"/>
      <c r="EV115" s="711"/>
      <c r="EW115" s="711"/>
      <c r="EX115" s="711"/>
      <c r="EY115" s="711"/>
      <c r="EZ115" s="711"/>
      <c r="FA115" s="711"/>
      <c r="FB115" s="711"/>
      <c r="FC115" s="711"/>
      <c r="FD115" s="711"/>
      <c r="FE115" s="711"/>
      <c r="FF115" s="711"/>
      <c r="FG115" s="711"/>
      <c r="FH115" s="711"/>
      <c r="FI115" s="711"/>
      <c r="FJ115" s="711"/>
      <c r="FK115" s="711"/>
      <c r="FL115" s="711"/>
      <c r="FM115" s="711"/>
      <c r="FN115" s="711"/>
      <c r="FO115" s="711"/>
      <c r="FP115" s="711"/>
      <c r="FQ115" s="711"/>
      <c r="FR115" s="711"/>
      <c r="FS115" s="711"/>
      <c r="FT115" s="711"/>
      <c r="FU115" s="711"/>
      <c r="FV115" s="711"/>
      <c r="FW115" s="711"/>
      <c r="FX115" s="711"/>
      <c r="FY115" s="711"/>
      <c r="FZ115" s="711"/>
      <c r="GA115" s="711"/>
      <c r="GB115" s="711"/>
      <c r="GC115" s="711"/>
      <c r="GD115" s="711"/>
      <c r="GE115" s="711"/>
      <c r="GF115" s="711"/>
      <c r="GG115" s="711"/>
      <c r="GH115" s="711"/>
      <c r="GI115" s="711"/>
      <c r="GJ115" s="711"/>
      <c r="GK115" s="711"/>
      <c r="GL115" s="711"/>
      <c r="GM115" s="711"/>
      <c r="GN115" s="711"/>
      <c r="GO115" s="711"/>
      <c r="GP115" s="711"/>
      <c r="GQ115" s="711"/>
      <c r="GR115" s="711"/>
      <c r="GS115" s="711"/>
      <c r="GT115" s="711"/>
      <c r="GU115" s="711"/>
      <c r="GV115" s="711"/>
      <c r="GW115" s="711"/>
      <c r="GX115" s="711"/>
      <c r="GY115" s="711"/>
      <c r="GZ115" s="711"/>
      <c r="HA115" s="711"/>
      <c r="HB115" s="711"/>
      <c r="HC115" s="711"/>
      <c r="HD115" s="711"/>
      <c r="HE115" s="711"/>
      <c r="HF115" s="711"/>
      <c r="HG115" s="711"/>
      <c r="HH115" s="711"/>
      <c r="HI115" s="711"/>
      <c r="HJ115" s="711"/>
      <c r="HK115" s="711"/>
      <c r="HL115" s="711"/>
      <c r="HM115" s="711"/>
      <c r="HN115" s="711"/>
      <c r="HO115" s="711"/>
      <c r="HP115" s="711"/>
      <c r="HQ115" s="711"/>
      <c r="HR115" s="711"/>
      <c r="HS115" s="711"/>
      <c r="HT115" s="711"/>
      <c r="HU115" s="711"/>
      <c r="HV115" s="711"/>
      <c r="HW115" s="711"/>
      <c r="HX115" s="711"/>
      <c r="HY115" s="711"/>
      <c r="HZ115" s="711"/>
      <c r="IA115" s="711"/>
      <c r="IB115" s="711"/>
      <c r="IC115" s="711"/>
      <c r="ID115" s="711"/>
      <c r="IE115" s="711"/>
      <c r="IF115" s="711"/>
      <c r="IG115" s="711"/>
      <c r="IH115" s="711"/>
      <c r="II115" s="711"/>
      <c r="IJ115" s="711"/>
      <c r="IK115" s="711"/>
      <c r="IL115" s="711"/>
      <c r="IM115" s="711"/>
      <c r="IN115" s="711"/>
      <c r="IO115" s="711"/>
      <c r="IP115" s="711"/>
      <c r="IQ115" s="711"/>
      <c r="IR115" s="711"/>
      <c r="IS115" s="711"/>
      <c r="IT115" s="711"/>
      <c r="IU115" s="711"/>
      <c r="IV115" s="711"/>
    </row>
    <row r="116" spans="1:256" ht="12.75" hidden="1" customHeight="1">
      <c r="A116" s="708" t="s">
        <v>345</v>
      </c>
      <c r="B116" s="707">
        <v>728660.7</v>
      </c>
      <c r="C116" s="708">
        <v>1536520.2</v>
      </c>
      <c r="D116" s="691"/>
      <c r="E116" s="708">
        <f t="shared" ref="E116:E127" si="15">B116-C116</f>
        <v>-807859.5</v>
      </c>
      <c r="F116" s="708">
        <v>673559.8</v>
      </c>
      <c r="G116" s="708">
        <v>134259.5</v>
      </c>
      <c r="H116" s="708">
        <f t="shared" ref="H116:H127" si="16">G116+F116</f>
        <v>807819.3</v>
      </c>
      <c r="I116" s="695"/>
      <c r="J116" s="708">
        <v>0</v>
      </c>
      <c r="K116" s="708">
        <f t="shared" ref="K116:K127" si="17">J116+H116</f>
        <v>807819.3</v>
      </c>
      <c r="L116" s="693"/>
      <c r="M116" s="711"/>
      <c r="N116" s="711"/>
      <c r="O116" s="711"/>
      <c r="P116" s="711"/>
      <c r="Q116" s="711"/>
      <c r="R116" s="711"/>
      <c r="S116" s="711"/>
      <c r="T116" s="711"/>
      <c r="U116" s="711"/>
      <c r="V116" s="711"/>
      <c r="W116" s="711"/>
      <c r="X116" s="711"/>
      <c r="Y116" s="711"/>
      <c r="Z116" s="711"/>
      <c r="AA116" s="711"/>
      <c r="AB116" s="711"/>
      <c r="AC116" s="711"/>
      <c r="AD116" s="711"/>
      <c r="AE116" s="711"/>
      <c r="AF116" s="711"/>
      <c r="AG116" s="711"/>
      <c r="AH116" s="711"/>
      <c r="AI116" s="711"/>
      <c r="AJ116" s="711"/>
      <c r="AK116" s="711"/>
      <c r="AL116" s="711"/>
      <c r="AM116" s="711"/>
      <c r="AN116" s="711"/>
      <c r="AO116" s="711"/>
      <c r="AP116" s="711"/>
      <c r="AQ116" s="711"/>
      <c r="AR116" s="711"/>
      <c r="AS116" s="711"/>
      <c r="AT116" s="711"/>
      <c r="AU116" s="711"/>
      <c r="AV116" s="711"/>
      <c r="AW116" s="711"/>
      <c r="AX116" s="711"/>
      <c r="AY116" s="711"/>
      <c r="AZ116" s="711"/>
      <c r="BA116" s="711"/>
      <c r="BB116" s="711"/>
      <c r="BC116" s="711"/>
      <c r="BD116" s="711"/>
      <c r="BE116" s="711"/>
      <c r="BF116" s="711"/>
      <c r="BG116" s="711"/>
      <c r="BH116" s="711"/>
      <c r="BI116" s="711"/>
      <c r="BJ116" s="711"/>
      <c r="BK116" s="711"/>
      <c r="BL116" s="711"/>
      <c r="BM116" s="711"/>
      <c r="BN116" s="711"/>
      <c r="BO116" s="711"/>
      <c r="BP116" s="711"/>
      <c r="BQ116" s="711"/>
      <c r="BR116" s="711"/>
      <c r="BS116" s="711"/>
      <c r="BT116" s="711"/>
      <c r="BU116" s="711"/>
      <c r="BV116" s="711"/>
      <c r="BW116" s="711"/>
      <c r="BX116" s="711"/>
      <c r="BY116" s="711"/>
      <c r="BZ116" s="711"/>
      <c r="CA116" s="711"/>
      <c r="CB116" s="711"/>
      <c r="CC116" s="711"/>
      <c r="CD116" s="711"/>
      <c r="CE116" s="711"/>
      <c r="CF116" s="711"/>
      <c r="CG116" s="711"/>
      <c r="CH116" s="711"/>
      <c r="CI116" s="711"/>
      <c r="CJ116" s="711"/>
      <c r="CK116" s="711"/>
      <c r="CL116" s="711"/>
      <c r="CM116" s="711"/>
      <c r="CN116" s="711"/>
      <c r="CO116" s="711"/>
      <c r="CP116" s="711"/>
      <c r="CQ116" s="711"/>
      <c r="CR116" s="711"/>
      <c r="CS116" s="711"/>
      <c r="CT116" s="711"/>
      <c r="CU116" s="711"/>
      <c r="CV116" s="711"/>
      <c r="CW116" s="711"/>
      <c r="CX116" s="711"/>
      <c r="CY116" s="711"/>
      <c r="CZ116" s="711"/>
      <c r="DA116" s="711"/>
      <c r="DB116" s="711"/>
      <c r="DC116" s="711"/>
      <c r="DD116" s="711"/>
      <c r="DE116" s="711"/>
      <c r="DF116" s="711"/>
      <c r="DG116" s="711"/>
      <c r="DH116" s="711"/>
      <c r="DI116" s="711"/>
      <c r="DJ116" s="711"/>
      <c r="DK116" s="711"/>
      <c r="DL116" s="711"/>
      <c r="DM116" s="711"/>
      <c r="DN116" s="711"/>
      <c r="DO116" s="711"/>
      <c r="DP116" s="711"/>
      <c r="DQ116" s="711"/>
      <c r="DR116" s="711"/>
      <c r="DS116" s="711"/>
      <c r="DT116" s="711"/>
      <c r="DU116" s="711"/>
      <c r="DV116" s="711"/>
      <c r="DW116" s="711"/>
      <c r="DX116" s="711"/>
      <c r="DY116" s="711"/>
      <c r="DZ116" s="711"/>
      <c r="EA116" s="711"/>
      <c r="EB116" s="711"/>
      <c r="EC116" s="711"/>
      <c r="ED116" s="711"/>
      <c r="EE116" s="711"/>
      <c r="EF116" s="711"/>
      <c r="EG116" s="711"/>
      <c r="EH116" s="711"/>
      <c r="EI116" s="711"/>
      <c r="EJ116" s="711"/>
      <c r="EK116" s="711"/>
      <c r="EL116" s="711"/>
      <c r="EM116" s="711"/>
      <c r="EN116" s="711"/>
      <c r="EO116" s="711"/>
      <c r="EP116" s="711"/>
      <c r="EQ116" s="711"/>
      <c r="ER116" s="711"/>
      <c r="ES116" s="711"/>
      <c r="ET116" s="711"/>
      <c r="EU116" s="711"/>
      <c r="EV116" s="711"/>
      <c r="EW116" s="711"/>
      <c r="EX116" s="711"/>
      <c r="EY116" s="711"/>
      <c r="EZ116" s="711"/>
      <c r="FA116" s="711"/>
      <c r="FB116" s="711"/>
      <c r="FC116" s="711"/>
      <c r="FD116" s="711"/>
      <c r="FE116" s="711"/>
      <c r="FF116" s="711"/>
      <c r="FG116" s="711"/>
      <c r="FH116" s="711"/>
      <c r="FI116" s="711"/>
      <c r="FJ116" s="711"/>
      <c r="FK116" s="711"/>
      <c r="FL116" s="711"/>
      <c r="FM116" s="711"/>
      <c r="FN116" s="711"/>
      <c r="FO116" s="711"/>
      <c r="FP116" s="711"/>
      <c r="FQ116" s="711"/>
      <c r="FR116" s="711"/>
      <c r="FS116" s="711"/>
      <c r="FT116" s="711"/>
      <c r="FU116" s="711"/>
      <c r="FV116" s="711"/>
      <c r="FW116" s="711"/>
      <c r="FX116" s="711"/>
      <c r="FY116" s="711"/>
      <c r="FZ116" s="711"/>
      <c r="GA116" s="711"/>
      <c r="GB116" s="711"/>
      <c r="GC116" s="711"/>
      <c r="GD116" s="711"/>
      <c r="GE116" s="711"/>
      <c r="GF116" s="711"/>
      <c r="GG116" s="711"/>
      <c r="GH116" s="711"/>
      <c r="GI116" s="711"/>
      <c r="GJ116" s="711"/>
      <c r="GK116" s="711"/>
      <c r="GL116" s="711"/>
      <c r="GM116" s="711"/>
      <c r="GN116" s="711"/>
      <c r="GO116" s="711"/>
      <c r="GP116" s="711"/>
      <c r="GQ116" s="711"/>
      <c r="GR116" s="711"/>
      <c r="GS116" s="711"/>
      <c r="GT116" s="711"/>
      <c r="GU116" s="711"/>
      <c r="GV116" s="711"/>
      <c r="GW116" s="711"/>
      <c r="GX116" s="711"/>
      <c r="GY116" s="711"/>
      <c r="GZ116" s="711"/>
      <c r="HA116" s="711"/>
      <c r="HB116" s="711"/>
      <c r="HC116" s="711"/>
      <c r="HD116" s="711"/>
      <c r="HE116" s="711"/>
      <c r="HF116" s="711"/>
      <c r="HG116" s="711"/>
      <c r="HH116" s="711"/>
      <c r="HI116" s="711"/>
      <c r="HJ116" s="711"/>
      <c r="HK116" s="711"/>
      <c r="HL116" s="711"/>
      <c r="HM116" s="711"/>
      <c r="HN116" s="711"/>
      <c r="HO116" s="711"/>
      <c r="HP116" s="711"/>
      <c r="HQ116" s="711"/>
      <c r="HR116" s="711"/>
      <c r="HS116" s="711"/>
      <c r="HT116" s="711"/>
      <c r="HU116" s="711"/>
      <c r="HV116" s="711"/>
      <c r="HW116" s="711"/>
      <c r="HX116" s="711"/>
      <c r="HY116" s="711"/>
      <c r="HZ116" s="711"/>
      <c r="IA116" s="711"/>
      <c r="IB116" s="711"/>
      <c r="IC116" s="711"/>
      <c r="ID116" s="711"/>
      <c r="IE116" s="711"/>
      <c r="IF116" s="711"/>
      <c r="IG116" s="711"/>
      <c r="IH116" s="711"/>
      <c r="II116" s="711"/>
      <c r="IJ116" s="711"/>
      <c r="IK116" s="711"/>
      <c r="IL116" s="711"/>
      <c r="IM116" s="711"/>
      <c r="IN116" s="711"/>
      <c r="IO116" s="711"/>
      <c r="IP116" s="711"/>
      <c r="IQ116" s="711"/>
      <c r="IR116" s="711"/>
      <c r="IS116" s="711"/>
      <c r="IT116" s="711"/>
      <c r="IU116" s="711"/>
      <c r="IV116" s="711"/>
    </row>
    <row r="117" spans="1:256" ht="12.75" hidden="1" customHeight="1">
      <c r="A117" s="708" t="s">
        <v>334</v>
      </c>
      <c r="B117" s="707">
        <v>1248407.1000000001</v>
      </c>
      <c r="C117" s="708">
        <v>2063500.4</v>
      </c>
      <c r="D117" s="691"/>
      <c r="E117" s="708">
        <f t="shared" si="15"/>
        <v>-815093.29999999981</v>
      </c>
      <c r="F117" s="708">
        <v>870575.3</v>
      </c>
      <c r="G117" s="708">
        <v>-55482</v>
      </c>
      <c r="H117" s="708">
        <f t="shared" si="16"/>
        <v>815093.3</v>
      </c>
      <c r="I117" s="695"/>
      <c r="J117" s="708">
        <v>0</v>
      </c>
      <c r="K117" s="708">
        <f t="shared" si="17"/>
        <v>815093.3</v>
      </c>
      <c r="L117" s="693"/>
      <c r="M117" s="711"/>
      <c r="N117" s="711"/>
      <c r="O117" s="711"/>
      <c r="P117" s="711"/>
      <c r="Q117" s="711"/>
      <c r="R117" s="711"/>
      <c r="S117" s="711"/>
      <c r="T117" s="711"/>
      <c r="U117" s="711"/>
      <c r="V117" s="711"/>
      <c r="W117" s="711"/>
      <c r="X117" s="711"/>
      <c r="Y117" s="711"/>
      <c r="Z117" s="711"/>
      <c r="AA117" s="711"/>
      <c r="AB117" s="711"/>
      <c r="AC117" s="711"/>
      <c r="AD117" s="711"/>
      <c r="AE117" s="711"/>
      <c r="AF117" s="711"/>
      <c r="AG117" s="711"/>
      <c r="AH117" s="711"/>
      <c r="AI117" s="711"/>
      <c r="AJ117" s="711"/>
      <c r="AK117" s="711"/>
      <c r="AL117" s="711"/>
      <c r="AM117" s="711"/>
      <c r="AN117" s="711"/>
      <c r="AO117" s="711"/>
      <c r="AP117" s="711"/>
      <c r="AQ117" s="711"/>
      <c r="AR117" s="711"/>
      <c r="AS117" s="711"/>
      <c r="AT117" s="711"/>
      <c r="AU117" s="711"/>
      <c r="AV117" s="711"/>
      <c r="AW117" s="711"/>
      <c r="AX117" s="711"/>
      <c r="AY117" s="711"/>
      <c r="AZ117" s="711"/>
      <c r="BA117" s="711"/>
      <c r="BB117" s="711"/>
      <c r="BC117" s="711"/>
      <c r="BD117" s="711"/>
      <c r="BE117" s="711"/>
      <c r="BF117" s="711"/>
      <c r="BG117" s="711"/>
      <c r="BH117" s="711"/>
      <c r="BI117" s="711"/>
      <c r="BJ117" s="711"/>
      <c r="BK117" s="711"/>
      <c r="BL117" s="711"/>
      <c r="BM117" s="711"/>
      <c r="BN117" s="711"/>
      <c r="BO117" s="711"/>
      <c r="BP117" s="711"/>
      <c r="BQ117" s="711"/>
      <c r="BR117" s="711"/>
      <c r="BS117" s="711"/>
      <c r="BT117" s="711"/>
      <c r="BU117" s="711"/>
      <c r="BV117" s="711"/>
      <c r="BW117" s="711"/>
      <c r="BX117" s="711"/>
      <c r="BY117" s="711"/>
      <c r="BZ117" s="711"/>
      <c r="CA117" s="711"/>
      <c r="CB117" s="711"/>
      <c r="CC117" s="711"/>
      <c r="CD117" s="711"/>
      <c r="CE117" s="711"/>
      <c r="CF117" s="711"/>
      <c r="CG117" s="711"/>
      <c r="CH117" s="711"/>
      <c r="CI117" s="711"/>
      <c r="CJ117" s="711"/>
      <c r="CK117" s="711"/>
      <c r="CL117" s="711"/>
      <c r="CM117" s="711"/>
      <c r="CN117" s="711"/>
      <c r="CO117" s="711"/>
      <c r="CP117" s="711"/>
      <c r="CQ117" s="711"/>
      <c r="CR117" s="711"/>
      <c r="CS117" s="711"/>
      <c r="CT117" s="711"/>
      <c r="CU117" s="711"/>
      <c r="CV117" s="711"/>
      <c r="CW117" s="711"/>
      <c r="CX117" s="711"/>
      <c r="CY117" s="711"/>
      <c r="CZ117" s="711"/>
      <c r="DA117" s="711"/>
      <c r="DB117" s="711"/>
      <c r="DC117" s="711"/>
      <c r="DD117" s="711"/>
      <c r="DE117" s="711"/>
      <c r="DF117" s="711"/>
      <c r="DG117" s="711"/>
      <c r="DH117" s="711"/>
      <c r="DI117" s="711"/>
      <c r="DJ117" s="711"/>
      <c r="DK117" s="711"/>
      <c r="DL117" s="711"/>
      <c r="DM117" s="711"/>
      <c r="DN117" s="711"/>
      <c r="DO117" s="711"/>
      <c r="DP117" s="711"/>
      <c r="DQ117" s="711"/>
      <c r="DR117" s="711"/>
      <c r="DS117" s="711"/>
      <c r="DT117" s="711"/>
      <c r="DU117" s="711"/>
      <c r="DV117" s="711"/>
      <c r="DW117" s="711"/>
      <c r="DX117" s="711"/>
      <c r="DY117" s="711"/>
      <c r="DZ117" s="711"/>
      <c r="EA117" s="711"/>
      <c r="EB117" s="711"/>
      <c r="EC117" s="711"/>
      <c r="ED117" s="711"/>
      <c r="EE117" s="711"/>
      <c r="EF117" s="711"/>
      <c r="EG117" s="711"/>
      <c r="EH117" s="711"/>
      <c r="EI117" s="711"/>
      <c r="EJ117" s="711"/>
      <c r="EK117" s="711"/>
      <c r="EL117" s="711"/>
      <c r="EM117" s="711"/>
      <c r="EN117" s="711"/>
      <c r="EO117" s="711"/>
      <c r="EP117" s="711"/>
      <c r="EQ117" s="711"/>
      <c r="ER117" s="711"/>
      <c r="ES117" s="711"/>
      <c r="ET117" s="711"/>
      <c r="EU117" s="711"/>
      <c r="EV117" s="711"/>
      <c r="EW117" s="711"/>
      <c r="EX117" s="711"/>
      <c r="EY117" s="711"/>
      <c r="EZ117" s="711"/>
      <c r="FA117" s="711"/>
      <c r="FB117" s="711"/>
      <c r="FC117" s="711"/>
      <c r="FD117" s="711"/>
      <c r="FE117" s="711"/>
      <c r="FF117" s="711"/>
      <c r="FG117" s="711"/>
      <c r="FH117" s="711"/>
      <c r="FI117" s="711"/>
      <c r="FJ117" s="711"/>
      <c r="FK117" s="711"/>
      <c r="FL117" s="711"/>
      <c r="FM117" s="711"/>
      <c r="FN117" s="711"/>
      <c r="FO117" s="711"/>
      <c r="FP117" s="711"/>
      <c r="FQ117" s="711"/>
      <c r="FR117" s="711"/>
      <c r="FS117" s="711"/>
      <c r="FT117" s="711"/>
      <c r="FU117" s="711"/>
      <c r="FV117" s="711"/>
      <c r="FW117" s="711"/>
      <c r="FX117" s="711"/>
      <c r="FY117" s="711"/>
      <c r="FZ117" s="711"/>
      <c r="GA117" s="711"/>
      <c r="GB117" s="711"/>
      <c r="GC117" s="711"/>
      <c r="GD117" s="711"/>
      <c r="GE117" s="711"/>
      <c r="GF117" s="711"/>
      <c r="GG117" s="711"/>
      <c r="GH117" s="711"/>
      <c r="GI117" s="711"/>
      <c r="GJ117" s="711"/>
      <c r="GK117" s="711"/>
      <c r="GL117" s="711"/>
      <c r="GM117" s="711"/>
      <c r="GN117" s="711"/>
      <c r="GO117" s="711"/>
      <c r="GP117" s="711"/>
      <c r="GQ117" s="711"/>
      <c r="GR117" s="711"/>
      <c r="GS117" s="711"/>
      <c r="GT117" s="711"/>
      <c r="GU117" s="711"/>
      <c r="GV117" s="711"/>
      <c r="GW117" s="711"/>
      <c r="GX117" s="711"/>
      <c r="GY117" s="711"/>
      <c r="GZ117" s="711"/>
      <c r="HA117" s="711"/>
      <c r="HB117" s="711"/>
      <c r="HC117" s="711"/>
      <c r="HD117" s="711"/>
      <c r="HE117" s="711"/>
      <c r="HF117" s="711"/>
      <c r="HG117" s="711"/>
      <c r="HH117" s="711"/>
      <c r="HI117" s="711"/>
      <c r="HJ117" s="711"/>
      <c r="HK117" s="711"/>
      <c r="HL117" s="711"/>
      <c r="HM117" s="711"/>
      <c r="HN117" s="711"/>
      <c r="HO117" s="711"/>
      <c r="HP117" s="711"/>
      <c r="HQ117" s="711"/>
      <c r="HR117" s="711"/>
      <c r="HS117" s="711"/>
      <c r="HT117" s="711"/>
      <c r="HU117" s="711"/>
      <c r="HV117" s="711"/>
      <c r="HW117" s="711"/>
      <c r="HX117" s="711"/>
      <c r="HY117" s="711"/>
      <c r="HZ117" s="711"/>
      <c r="IA117" s="711"/>
      <c r="IB117" s="711"/>
      <c r="IC117" s="711"/>
      <c r="ID117" s="711"/>
      <c r="IE117" s="711"/>
      <c r="IF117" s="711"/>
      <c r="IG117" s="711"/>
      <c r="IH117" s="711"/>
      <c r="II117" s="711"/>
      <c r="IJ117" s="711"/>
      <c r="IK117" s="711"/>
      <c r="IL117" s="711"/>
      <c r="IM117" s="711"/>
      <c r="IN117" s="711"/>
      <c r="IO117" s="711"/>
      <c r="IP117" s="711"/>
      <c r="IQ117" s="711"/>
      <c r="IR117" s="711"/>
      <c r="IS117" s="711"/>
      <c r="IT117" s="711"/>
      <c r="IU117" s="711"/>
      <c r="IV117" s="711"/>
    </row>
    <row r="118" spans="1:256" ht="12.75" hidden="1" customHeight="1">
      <c r="A118" s="708" t="s">
        <v>335</v>
      </c>
      <c r="B118" s="707">
        <v>2039201.2</v>
      </c>
      <c r="C118" s="708">
        <v>2423412.6</v>
      </c>
      <c r="D118" s="691"/>
      <c r="E118" s="708">
        <f t="shared" si="15"/>
        <v>-384211.40000000014</v>
      </c>
      <c r="F118" s="708">
        <v>622275.1</v>
      </c>
      <c r="G118" s="708">
        <v>-238063.7</v>
      </c>
      <c r="H118" s="708">
        <f t="shared" si="16"/>
        <v>384211.39999999997</v>
      </c>
      <c r="I118" s="695"/>
      <c r="J118" s="708">
        <v>0</v>
      </c>
      <c r="K118" s="708">
        <f t="shared" si="17"/>
        <v>384211.39999999997</v>
      </c>
      <c r="L118" s="693"/>
      <c r="M118" s="711"/>
      <c r="N118" s="711"/>
      <c r="O118" s="711"/>
      <c r="P118" s="711"/>
      <c r="Q118" s="711"/>
      <c r="R118" s="711"/>
      <c r="S118" s="711"/>
      <c r="T118" s="711"/>
      <c r="U118" s="711"/>
      <c r="V118" s="711"/>
      <c r="W118" s="711"/>
      <c r="X118" s="711"/>
      <c r="Y118" s="711"/>
      <c r="Z118" s="711"/>
      <c r="AA118" s="711"/>
      <c r="AB118" s="711"/>
      <c r="AC118" s="711"/>
      <c r="AD118" s="711"/>
      <c r="AE118" s="711"/>
      <c r="AF118" s="711"/>
      <c r="AG118" s="711"/>
      <c r="AH118" s="711"/>
      <c r="AI118" s="711"/>
      <c r="AJ118" s="711"/>
      <c r="AK118" s="711"/>
      <c r="AL118" s="711"/>
      <c r="AM118" s="711"/>
      <c r="AN118" s="711"/>
      <c r="AO118" s="711"/>
      <c r="AP118" s="711"/>
      <c r="AQ118" s="711"/>
      <c r="AR118" s="711"/>
      <c r="AS118" s="711"/>
      <c r="AT118" s="711"/>
      <c r="AU118" s="711"/>
      <c r="AV118" s="711"/>
      <c r="AW118" s="711"/>
      <c r="AX118" s="711"/>
      <c r="AY118" s="711"/>
      <c r="AZ118" s="711"/>
      <c r="BA118" s="711"/>
      <c r="BB118" s="711"/>
      <c r="BC118" s="711"/>
      <c r="BD118" s="711"/>
      <c r="BE118" s="711"/>
      <c r="BF118" s="711"/>
      <c r="BG118" s="711"/>
      <c r="BH118" s="711"/>
      <c r="BI118" s="711"/>
      <c r="BJ118" s="711"/>
      <c r="BK118" s="711"/>
      <c r="BL118" s="711"/>
      <c r="BM118" s="711"/>
      <c r="BN118" s="711"/>
      <c r="BO118" s="711"/>
      <c r="BP118" s="711"/>
      <c r="BQ118" s="711"/>
      <c r="BR118" s="711"/>
      <c r="BS118" s="711"/>
      <c r="BT118" s="711"/>
      <c r="BU118" s="711"/>
      <c r="BV118" s="711"/>
      <c r="BW118" s="711"/>
      <c r="BX118" s="711"/>
      <c r="BY118" s="711"/>
      <c r="BZ118" s="711"/>
      <c r="CA118" s="711"/>
      <c r="CB118" s="711"/>
      <c r="CC118" s="711"/>
      <c r="CD118" s="711"/>
      <c r="CE118" s="711"/>
      <c r="CF118" s="711"/>
      <c r="CG118" s="711"/>
      <c r="CH118" s="711"/>
      <c r="CI118" s="711"/>
      <c r="CJ118" s="711"/>
      <c r="CK118" s="711"/>
      <c r="CL118" s="711"/>
      <c r="CM118" s="711"/>
      <c r="CN118" s="711"/>
      <c r="CO118" s="711"/>
      <c r="CP118" s="711"/>
      <c r="CQ118" s="711"/>
      <c r="CR118" s="711"/>
      <c r="CS118" s="711"/>
      <c r="CT118" s="711"/>
      <c r="CU118" s="711"/>
      <c r="CV118" s="711"/>
      <c r="CW118" s="711"/>
      <c r="CX118" s="711"/>
      <c r="CY118" s="711"/>
      <c r="CZ118" s="711"/>
      <c r="DA118" s="711"/>
      <c r="DB118" s="711"/>
      <c r="DC118" s="711"/>
      <c r="DD118" s="711"/>
      <c r="DE118" s="711"/>
      <c r="DF118" s="711"/>
      <c r="DG118" s="711"/>
      <c r="DH118" s="711"/>
      <c r="DI118" s="711"/>
      <c r="DJ118" s="711"/>
      <c r="DK118" s="711"/>
      <c r="DL118" s="711"/>
      <c r="DM118" s="711"/>
      <c r="DN118" s="711"/>
      <c r="DO118" s="711"/>
      <c r="DP118" s="711"/>
      <c r="DQ118" s="711"/>
      <c r="DR118" s="711"/>
      <c r="DS118" s="711"/>
      <c r="DT118" s="711"/>
      <c r="DU118" s="711"/>
      <c r="DV118" s="711"/>
      <c r="DW118" s="711"/>
      <c r="DX118" s="711"/>
      <c r="DY118" s="711"/>
      <c r="DZ118" s="711"/>
      <c r="EA118" s="711"/>
      <c r="EB118" s="711"/>
      <c r="EC118" s="711"/>
      <c r="ED118" s="711"/>
      <c r="EE118" s="711"/>
      <c r="EF118" s="711"/>
      <c r="EG118" s="711"/>
      <c r="EH118" s="711"/>
      <c r="EI118" s="711"/>
      <c r="EJ118" s="711"/>
      <c r="EK118" s="711"/>
      <c r="EL118" s="711"/>
      <c r="EM118" s="711"/>
      <c r="EN118" s="711"/>
      <c r="EO118" s="711"/>
      <c r="EP118" s="711"/>
      <c r="EQ118" s="711"/>
      <c r="ER118" s="711"/>
      <c r="ES118" s="711"/>
      <c r="ET118" s="711"/>
      <c r="EU118" s="711"/>
      <c r="EV118" s="711"/>
      <c r="EW118" s="711"/>
      <c r="EX118" s="711"/>
      <c r="EY118" s="711"/>
      <c r="EZ118" s="711"/>
      <c r="FA118" s="711"/>
      <c r="FB118" s="711"/>
      <c r="FC118" s="711"/>
      <c r="FD118" s="711"/>
      <c r="FE118" s="711"/>
      <c r="FF118" s="711"/>
      <c r="FG118" s="711"/>
      <c r="FH118" s="711"/>
      <c r="FI118" s="711"/>
      <c r="FJ118" s="711"/>
      <c r="FK118" s="711"/>
      <c r="FL118" s="711"/>
      <c r="FM118" s="711"/>
      <c r="FN118" s="711"/>
      <c r="FO118" s="711"/>
      <c r="FP118" s="711"/>
      <c r="FQ118" s="711"/>
      <c r="FR118" s="711"/>
      <c r="FS118" s="711"/>
      <c r="FT118" s="711"/>
      <c r="FU118" s="711"/>
      <c r="FV118" s="711"/>
      <c r="FW118" s="711"/>
      <c r="FX118" s="711"/>
      <c r="FY118" s="711"/>
      <c r="FZ118" s="711"/>
      <c r="GA118" s="711"/>
      <c r="GB118" s="711"/>
      <c r="GC118" s="711"/>
      <c r="GD118" s="711"/>
      <c r="GE118" s="711"/>
      <c r="GF118" s="711"/>
      <c r="GG118" s="711"/>
      <c r="GH118" s="711"/>
      <c r="GI118" s="711"/>
      <c r="GJ118" s="711"/>
      <c r="GK118" s="711"/>
      <c r="GL118" s="711"/>
      <c r="GM118" s="711"/>
      <c r="GN118" s="711"/>
      <c r="GO118" s="711"/>
      <c r="GP118" s="711"/>
      <c r="GQ118" s="711"/>
      <c r="GR118" s="711"/>
      <c r="GS118" s="711"/>
      <c r="GT118" s="711"/>
      <c r="GU118" s="711"/>
      <c r="GV118" s="711"/>
      <c r="GW118" s="711"/>
      <c r="GX118" s="711"/>
      <c r="GY118" s="711"/>
      <c r="GZ118" s="711"/>
      <c r="HA118" s="711"/>
      <c r="HB118" s="711"/>
      <c r="HC118" s="711"/>
      <c r="HD118" s="711"/>
      <c r="HE118" s="711"/>
      <c r="HF118" s="711"/>
      <c r="HG118" s="711"/>
      <c r="HH118" s="711"/>
      <c r="HI118" s="711"/>
      <c r="HJ118" s="711"/>
      <c r="HK118" s="711"/>
      <c r="HL118" s="711"/>
      <c r="HM118" s="711"/>
      <c r="HN118" s="711"/>
      <c r="HO118" s="711"/>
      <c r="HP118" s="711"/>
      <c r="HQ118" s="711"/>
      <c r="HR118" s="711"/>
      <c r="HS118" s="711"/>
      <c r="HT118" s="711"/>
      <c r="HU118" s="711"/>
      <c r="HV118" s="711"/>
      <c r="HW118" s="711"/>
      <c r="HX118" s="711"/>
      <c r="HY118" s="711"/>
      <c r="HZ118" s="711"/>
      <c r="IA118" s="711"/>
      <c r="IB118" s="711"/>
      <c r="IC118" s="711"/>
      <c r="ID118" s="711"/>
      <c r="IE118" s="711"/>
      <c r="IF118" s="711"/>
      <c r="IG118" s="711"/>
      <c r="IH118" s="711"/>
      <c r="II118" s="711"/>
      <c r="IJ118" s="711"/>
      <c r="IK118" s="711"/>
      <c r="IL118" s="711"/>
      <c r="IM118" s="711"/>
      <c r="IN118" s="711"/>
      <c r="IO118" s="711"/>
      <c r="IP118" s="711"/>
      <c r="IQ118" s="711"/>
      <c r="IR118" s="711"/>
      <c r="IS118" s="711"/>
      <c r="IT118" s="711"/>
      <c r="IU118" s="711"/>
      <c r="IV118" s="711"/>
    </row>
    <row r="119" spans="1:256" ht="12.75" hidden="1" customHeight="1">
      <c r="A119" s="708" t="s">
        <v>336</v>
      </c>
      <c r="B119" s="707">
        <v>1462273.5</v>
      </c>
      <c r="C119" s="708">
        <v>2524051.7000000002</v>
      </c>
      <c r="D119" s="691"/>
      <c r="E119" s="708">
        <f t="shared" si="15"/>
        <v>-1061778.2000000002</v>
      </c>
      <c r="F119" s="708">
        <v>1256881.1000000001</v>
      </c>
      <c r="G119" s="708">
        <v>-195103.2</v>
      </c>
      <c r="H119" s="708">
        <f t="shared" si="16"/>
        <v>1061777.9000000001</v>
      </c>
      <c r="I119" s="695"/>
      <c r="J119" s="708">
        <v>0</v>
      </c>
      <c r="K119" s="708">
        <f t="shared" si="17"/>
        <v>1061777.9000000001</v>
      </c>
      <c r="L119" s="693"/>
      <c r="M119" s="711"/>
      <c r="N119" s="711"/>
      <c r="O119" s="711"/>
      <c r="P119" s="711"/>
      <c r="Q119" s="711"/>
      <c r="R119" s="711"/>
      <c r="S119" s="711"/>
      <c r="T119" s="711"/>
      <c r="U119" s="711"/>
      <c r="V119" s="711"/>
      <c r="W119" s="711"/>
      <c r="X119" s="711"/>
      <c r="Y119" s="711"/>
      <c r="Z119" s="711"/>
      <c r="AA119" s="711"/>
      <c r="AB119" s="711"/>
      <c r="AC119" s="711"/>
      <c r="AD119" s="711"/>
      <c r="AE119" s="711"/>
      <c r="AF119" s="711"/>
      <c r="AG119" s="711"/>
      <c r="AH119" s="711"/>
      <c r="AI119" s="711"/>
      <c r="AJ119" s="711"/>
      <c r="AK119" s="711"/>
      <c r="AL119" s="711"/>
      <c r="AM119" s="711"/>
      <c r="AN119" s="711"/>
      <c r="AO119" s="711"/>
      <c r="AP119" s="711"/>
      <c r="AQ119" s="711"/>
      <c r="AR119" s="711"/>
      <c r="AS119" s="711"/>
      <c r="AT119" s="711"/>
      <c r="AU119" s="711"/>
      <c r="AV119" s="711"/>
      <c r="AW119" s="711"/>
      <c r="AX119" s="711"/>
      <c r="AY119" s="711"/>
      <c r="AZ119" s="711"/>
      <c r="BA119" s="711"/>
      <c r="BB119" s="711"/>
      <c r="BC119" s="711"/>
      <c r="BD119" s="711"/>
      <c r="BE119" s="711"/>
      <c r="BF119" s="711"/>
      <c r="BG119" s="711"/>
      <c r="BH119" s="711"/>
      <c r="BI119" s="711"/>
      <c r="BJ119" s="711"/>
      <c r="BK119" s="711"/>
      <c r="BL119" s="711"/>
      <c r="BM119" s="711"/>
      <c r="BN119" s="711"/>
      <c r="BO119" s="711"/>
      <c r="BP119" s="711"/>
      <c r="BQ119" s="711"/>
      <c r="BR119" s="711"/>
      <c r="BS119" s="711"/>
      <c r="BT119" s="711"/>
      <c r="BU119" s="711"/>
      <c r="BV119" s="711"/>
      <c r="BW119" s="711"/>
      <c r="BX119" s="711"/>
      <c r="BY119" s="711"/>
      <c r="BZ119" s="711"/>
      <c r="CA119" s="711"/>
      <c r="CB119" s="711"/>
      <c r="CC119" s="711"/>
      <c r="CD119" s="711"/>
      <c r="CE119" s="711"/>
      <c r="CF119" s="711"/>
      <c r="CG119" s="711"/>
      <c r="CH119" s="711"/>
      <c r="CI119" s="711"/>
      <c r="CJ119" s="711"/>
      <c r="CK119" s="711"/>
      <c r="CL119" s="711"/>
      <c r="CM119" s="711"/>
      <c r="CN119" s="711"/>
      <c r="CO119" s="711"/>
      <c r="CP119" s="711"/>
      <c r="CQ119" s="711"/>
      <c r="CR119" s="711"/>
      <c r="CS119" s="711"/>
      <c r="CT119" s="711"/>
      <c r="CU119" s="711"/>
      <c r="CV119" s="711"/>
      <c r="CW119" s="711"/>
      <c r="CX119" s="711"/>
      <c r="CY119" s="711"/>
      <c r="CZ119" s="711"/>
      <c r="DA119" s="711"/>
      <c r="DB119" s="711"/>
      <c r="DC119" s="711"/>
      <c r="DD119" s="711"/>
      <c r="DE119" s="711"/>
      <c r="DF119" s="711"/>
      <c r="DG119" s="711"/>
      <c r="DH119" s="711"/>
      <c r="DI119" s="711"/>
      <c r="DJ119" s="711"/>
      <c r="DK119" s="711"/>
      <c r="DL119" s="711"/>
      <c r="DM119" s="711"/>
      <c r="DN119" s="711"/>
      <c r="DO119" s="711"/>
      <c r="DP119" s="711"/>
      <c r="DQ119" s="711"/>
      <c r="DR119" s="711"/>
      <c r="DS119" s="711"/>
      <c r="DT119" s="711"/>
      <c r="DU119" s="711"/>
      <c r="DV119" s="711"/>
      <c r="DW119" s="711"/>
      <c r="DX119" s="711"/>
      <c r="DY119" s="711"/>
      <c r="DZ119" s="711"/>
      <c r="EA119" s="711"/>
      <c r="EB119" s="711"/>
      <c r="EC119" s="711"/>
      <c r="ED119" s="711"/>
      <c r="EE119" s="711"/>
      <c r="EF119" s="711"/>
      <c r="EG119" s="711"/>
      <c r="EH119" s="711"/>
      <c r="EI119" s="711"/>
      <c r="EJ119" s="711"/>
      <c r="EK119" s="711"/>
      <c r="EL119" s="711"/>
      <c r="EM119" s="711"/>
      <c r="EN119" s="711"/>
      <c r="EO119" s="711"/>
      <c r="EP119" s="711"/>
      <c r="EQ119" s="711"/>
      <c r="ER119" s="711"/>
      <c r="ES119" s="711"/>
      <c r="ET119" s="711"/>
      <c r="EU119" s="711"/>
      <c r="EV119" s="711"/>
      <c r="EW119" s="711"/>
      <c r="EX119" s="711"/>
      <c r="EY119" s="711"/>
      <c r="EZ119" s="711"/>
      <c r="FA119" s="711"/>
      <c r="FB119" s="711"/>
      <c r="FC119" s="711"/>
      <c r="FD119" s="711"/>
      <c r="FE119" s="711"/>
      <c r="FF119" s="711"/>
      <c r="FG119" s="711"/>
      <c r="FH119" s="711"/>
      <c r="FI119" s="711"/>
      <c r="FJ119" s="711"/>
      <c r="FK119" s="711"/>
      <c r="FL119" s="711"/>
      <c r="FM119" s="711"/>
      <c r="FN119" s="711"/>
      <c r="FO119" s="711"/>
      <c r="FP119" s="711"/>
      <c r="FQ119" s="711"/>
      <c r="FR119" s="711"/>
      <c r="FS119" s="711"/>
      <c r="FT119" s="711"/>
      <c r="FU119" s="711"/>
      <c r="FV119" s="711"/>
      <c r="FW119" s="711"/>
      <c r="FX119" s="711"/>
      <c r="FY119" s="711"/>
      <c r="FZ119" s="711"/>
      <c r="GA119" s="711"/>
      <c r="GB119" s="711"/>
      <c r="GC119" s="711"/>
      <c r="GD119" s="711"/>
      <c r="GE119" s="711"/>
      <c r="GF119" s="711"/>
      <c r="GG119" s="711"/>
      <c r="GH119" s="711"/>
      <c r="GI119" s="711"/>
      <c r="GJ119" s="711"/>
      <c r="GK119" s="711"/>
      <c r="GL119" s="711"/>
      <c r="GM119" s="711"/>
      <c r="GN119" s="711"/>
      <c r="GO119" s="711"/>
      <c r="GP119" s="711"/>
      <c r="GQ119" s="711"/>
      <c r="GR119" s="711"/>
      <c r="GS119" s="711"/>
      <c r="GT119" s="711"/>
      <c r="GU119" s="711"/>
      <c r="GV119" s="711"/>
      <c r="GW119" s="711"/>
      <c r="GX119" s="711"/>
      <c r="GY119" s="711"/>
      <c r="GZ119" s="711"/>
      <c r="HA119" s="711"/>
      <c r="HB119" s="711"/>
      <c r="HC119" s="711"/>
      <c r="HD119" s="711"/>
      <c r="HE119" s="711"/>
      <c r="HF119" s="711"/>
      <c r="HG119" s="711"/>
      <c r="HH119" s="711"/>
      <c r="HI119" s="711"/>
      <c r="HJ119" s="711"/>
      <c r="HK119" s="711"/>
      <c r="HL119" s="711"/>
      <c r="HM119" s="711"/>
      <c r="HN119" s="711"/>
      <c r="HO119" s="711"/>
      <c r="HP119" s="711"/>
      <c r="HQ119" s="711"/>
      <c r="HR119" s="711"/>
      <c r="HS119" s="711"/>
      <c r="HT119" s="711"/>
      <c r="HU119" s="711"/>
      <c r="HV119" s="711"/>
      <c r="HW119" s="711"/>
      <c r="HX119" s="711"/>
      <c r="HY119" s="711"/>
      <c r="HZ119" s="711"/>
      <c r="IA119" s="711"/>
      <c r="IB119" s="711"/>
      <c r="IC119" s="711"/>
      <c r="ID119" s="711"/>
      <c r="IE119" s="711"/>
      <c r="IF119" s="711"/>
      <c r="IG119" s="711"/>
      <c r="IH119" s="711"/>
      <c r="II119" s="711"/>
      <c r="IJ119" s="711"/>
      <c r="IK119" s="711"/>
      <c r="IL119" s="711"/>
      <c r="IM119" s="711"/>
      <c r="IN119" s="711"/>
      <c r="IO119" s="711"/>
      <c r="IP119" s="711"/>
      <c r="IQ119" s="711"/>
      <c r="IR119" s="711"/>
      <c r="IS119" s="711"/>
      <c r="IT119" s="711"/>
      <c r="IU119" s="711"/>
      <c r="IV119" s="711"/>
    </row>
    <row r="120" spans="1:256" ht="12.75" hidden="1" customHeight="1">
      <c r="A120" s="708" t="s">
        <v>337</v>
      </c>
      <c r="B120" s="707">
        <v>1133473.2</v>
      </c>
      <c r="C120" s="708">
        <v>2220402.2000000002</v>
      </c>
      <c r="D120" s="691"/>
      <c r="E120" s="708">
        <f t="shared" si="15"/>
        <v>-1086929.0000000002</v>
      </c>
      <c r="F120" s="708">
        <v>1066095.8999999999</v>
      </c>
      <c r="G120" s="708">
        <v>21435.5</v>
      </c>
      <c r="H120" s="708">
        <f t="shared" si="16"/>
        <v>1087531.3999999999</v>
      </c>
      <c r="I120" s="695"/>
      <c r="J120" s="708">
        <v>-602.20000000000005</v>
      </c>
      <c r="K120" s="708">
        <f t="shared" si="17"/>
        <v>1086929.2</v>
      </c>
      <c r="L120" s="693"/>
      <c r="M120" s="711"/>
      <c r="N120" s="711"/>
      <c r="O120" s="711"/>
      <c r="P120" s="711"/>
      <c r="Q120" s="711"/>
      <c r="R120" s="711"/>
      <c r="S120" s="711"/>
      <c r="T120" s="711"/>
      <c r="U120" s="711"/>
      <c r="V120" s="711"/>
      <c r="W120" s="711"/>
      <c r="X120" s="711"/>
      <c r="Y120" s="711"/>
      <c r="Z120" s="711"/>
      <c r="AA120" s="711"/>
      <c r="AB120" s="711"/>
      <c r="AC120" s="711"/>
      <c r="AD120" s="711"/>
      <c r="AE120" s="711"/>
      <c r="AF120" s="711"/>
      <c r="AG120" s="711"/>
      <c r="AH120" s="711"/>
      <c r="AI120" s="711"/>
      <c r="AJ120" s="711"/>
      <c r="AK120" s="711"/>
      <c r="AL120" s="711"/>
      <c r="AM120" s="711"/>
      <c r="AN120" s="711"/>
      <c r="AO120" s="711"/>
      <c r="AP120" s="711"/>
      <c r="AQ120" s="711"/>
      <c r="AR120" s="711"/>
      <c r="AS120" s="711"/>
      <c r="AT120" s="711"/>
      <c r="AU120" s="711"/>
      <c r="AV120" s="711"/>
      <c r="AW120" s="711"/>
      <c r="AX120" s="711"/>
      <c r="AY120" s="711"/>
      <c r="AZ120" s="711"/>
      <c r="BA120" s="711"/>
      <c r="BB120" s="711"/>
      <c r="BC120" s="711"/>
      <c r="BD120" s="711"/>
      <c r="BE120" s="711"/>
      <c r="BF120" s="711"/>
      <c r="BG120" s="711"/>
      <c r="BH120" s="711"/>
      <c r="BI120" s="711"/>
      <c r="BJ120" s="711"/>
      <c r="BK120" s="711"/>
      <c r="BL120" s="711"/>
      <c r="BM120" s="711"/>
      <c r="BN120" s="711"/>
      <c r="BO120" s="711"/>
      <c r="BP120" s="711"/>
      <c r="BQ120" s="711"/>
      <c r="BR120" s="711"/>
      <c r="BS120" s="711"/>
      <c r="BT120" s="711"/>
      <c r="BU120" s="711"/>
      <c r="BV120" s="711"/>
      <c r="BW120" s="711"/>
      <c r="BX120" s="711"/>
      <c r="BY120" s="711"/>
      <c r="BZ120" s="711"/>
      <c r="CA120" s="711"/>
      <c r="CB120" s="711"/>
      <c r="CC120" s="711"/>
      <c r="CD120" s="711"/>
      <c r="CE120" s="711"/>
      <c r="CF120" s="711"/>
      <c r="CG120" s="711"/>
      <c r="CH120" s="711"/>
      <c r="CI120" s="711"/>
      <c r="CJ120" s="711"/>
      <c r="CK120" s="711"/>
      <c r="CL120" s="711"/>
      <c r="CM120" s="711"/>
      <c r="CN120" s="711"/>
      <c r="CO120" s="711"/>
      <c r="CP120" s="711"/>
      <c r="CQ120" s="711"/>
      <c r="CR120" s="711"/>
      <c r="CS120" s="711"/>
      <c r="CT120" s="711"/>
      <c r="CU120" s="711"/>
      <c r="CV120" s="711"/>
      <c r="CW120" s="711"/>
      <c r="CX120" s="711"/>
      <c r="CY120" s="711"/>
      <c r="CZ120" s="711"/>
      <c r="DA120" s="711"/>
      <c r="DB120" s="711"/>
      <c r="DC120" s="711"/>
      <c r="DD120" s="711"/>
      <c r="DE120" s="711"/>
      <c r="DF120" s="711"/>
      <c r="DG120" s="711"/>
      <c r="DH120" s="711"/>
      <c r="DI120" s="711"/>
      <c r="DJ120" s="711"/>
      <c r="DK120" s="711"/>
      <c r="DL120" s="711"/>
      <c r="DM120" s="711"/>
      <c r="DN120" s="711"/>
      <c r="DO120" s="711"/>
      <c r="DP120" s="711"/>
      <c r="DQ120" s="711"/>
      <c r="DR120" s="711"/>
      <c r="DS120" s="711"/>
      <c r="DT120" s="711"/>
      <c r="DU120" s="711"/>
      <c r="DV120" s="711"/>
      <c r="DW120" s="711"/>
      <c r="DX120" s="711"/>
      <c r="DY120" s="711"/>
      <c r="DZ120" s="711"/>
      <c r="EA120" s="711"/>
      <c r="EB120" s="711"/>
      <c r="EC120" s="711"/>
      <c r="ED120" s="711"/>
      <c r="EE120" s="711"/>
      <c r="EF120" s="711"/>
      <c r="EG120" s="711"/>
      <c r="EH120" s="711"/>
      <c r="EI120" s="711"/>
      <c r="EJ120" s="711"/>
      <c r="EK120" s="711"/>
      <c r="EL120" s="711"/>
      <c r="EM120" s="711"/>
      <c r="EN120" s="711"/>
      <c r="EO120" s="711"/>
      <c r="EP120" s="711"/>
      <c r="EQ120" s="711"/>
      <c r="ER120" s="711"/>
      <c r="ES120" s="711"/>
      <c r="ET120" s="711"/>
      <c r="EU120" s="711"/>
      <c r="EV120" s="711"/>
      <c r="EW120" s="711"/>
      <c r="EX120" s="711"/>
      <c r="EY120" s="711"/>
      <c r="EZ120" s="711"/>
      <c r="FA120" s="711"/>
      <c r="FB120" s="711"/>
      <c r="FC120" s="711"/>
      <c r="FD120" s="711"/>
      <c r="FE120" s="711"/>
      <c r="FF120" s="711"/>
      <c r="FG120" s="711"/>
      <c r="FH120" s="711"/>
      <c r="FI120" s="711"/>
      <c r="FJ120" s="711"/>
      <c r="FK120" s="711"/>
      <c r="FL120" s="711"/>
      <c r="FM120" s="711"/>
      <c r="FN120" s="711"/>
      <c r="FO120" s="711"/>
      <c r="FP120" s="711"/>
      <c r="FQ120" s="711"/>
      <c r="FR120" s="711"/>
      <c r="FS120" s="711"/>
      <c r="FT120" s="711"/>
      <c r="FU120" s="711"/>
      <c r="FV120" s="711"/>
      <c r="FW120" s="711"/>
      <c r="FX120" s="711"/>
      <c r="FY120" s="711"/>
      <c r="FZ120" s="711"/>
      <c r="GA120" s="711"/>
      <c r="GB120" s="711"/>
      <c r="GC120" s="711"/>
      <c r="GD120" s="711"/>
      <c r="GE120" s="711"/>
      <c r="GF120" s="711"/>
      <c r="GG120" s="711"/>
      <c r="GH120" s="711"/>
      <c r="GI120" s="711"/>
      <c r="GJ120" s="711"/>
      <c r="GK120" s="711"/>
      <c r="GL120" s="711"/>
      <c r="GM120" s="711"/>
      <c r="GN120" s="711"/>
      <c r="GO120" s="711"/>
      <c r="GP120" s="711"/>
      <c r="GQ120" s="711"/>
      <c r="GR120" s="711"/>
      <c r="GS120" s="711"/>
      <c r="GT120" s="711"/>
      <c r="GU120" s="711"/>
      <c r="GV120" s="711"/>
      <c r="GW120" s="711"/>
      <c r="GX120" s="711"/>
      <c r="GY120" s="711"/>
      <c r="GZ120" s="711"/>
      <c r="HA120" s="711"/>
      <c r="HB120" s="711"/>
      <c r="HC120" s="711"/>
      <c r="HD120" s="711"/>
      <c r="HE120" s="711"/>
      <c r="HF120" s="711"/>
      <c r="HG120" s="711"/>
      <c r="HH120" s="711"/>
      <c r="HI120" s="711"/>
      <c r="HJ120" s="711"/>
      <c r="HK120" s="711"/>
      <c r="HL120" s="711"/>
      <c r="HM120" s="711"/>
      <c r="HN120" s="711"/>
      <c r="HO120" s="711"/>
      <c r="HP120" s="711"/>
      <c r="HQ120" s="711"/>
      <c r="HR120" s="711"/>
      <c r="HS120" s="711"/>
      <c r="HT120" s="711"/>
      <c r="HU120" s="711"/>
      <c r="HV120" s="711"/>
      <c r="HW120" s="711"/>
      <c r="HX120" s="711"/>
      <c r="HY120" s="711"/>
      <c r="HZ120" s="711"/>
      <c r="IA120" s="711"/>
      <c r="IB120" s="711"/>
      <c r="IC120" s="711"/>
      <c r="ID120" s="711"/>
      <c r="IE120" s="711"/>
      <c r="IF120" s="711"/>
      <c r="IG120" s="711"/>
      <c r="IH120" s="711"/>
      <c r="II120" s="711"/>
      <c r="IJ120" s="711"/>
      <c r="IK120" s="711"/>
      <c r="IL120" s="711"/>
      <c r="IM120" s="711"/>
      <c r="IN120" s="711"/>
      <c r="IO120" s="711"/>
      <c r="IP120" s="711"/>
      <c r="IQ120" s="711"/>
      <c r="IR120" s="711"/>
      <c r="IS120" s="711"/>
      <c r="IT120" s="711"/>
      <c r="IU120" s="711"/>
      <c r="IV120" s="711"/>
    </row>
    <row r="121" spans="1:256" ht="12.75" hidden="1" customHeight="1">
      <c r="A121" s="708" t="s">
        <v>338</v>
      </c>
      <c r="B121" s="707">
        <v>2114380</v>
      </c>
      <c r="C121" s="708">
        <v>2422673.7000000002</v>
      </c>
      <c r="D121" s="691"/>
      <c r="E121" s="708">
        <f t="shared" si="15"/>
        <v>-308293.70000000019</v>
      </c>
      <c r="F121" s="708">
        <v>406189.3</v>
      </c>
      <c r="G121" s="708">
        <v>-97639</v>
      </c>
      <c r="H121" s="708">
        <f t="shared" si="16"/>
        <v>308550.3</v>
      </c>
      <c r="I121" s="695"/>
      <c r="J121" s="708">
        <v>-256.3</v>
      </c>
      <c r="K121" s="708">
        <f t="shared" si="17"/>
        <v>308294</v>
      </c>
      <c r="L121" s="693"/>
      <c r="M121" s="711"/>
      <c r="N121" s="711"/>
      <c r="O121" s="711"/>
      <c r="P121" s="711"/>
      <c r="Q121" s="711"/>
      <c r="R121" s="711"/>
      <c r="S121" s="711"/>
      <c r="T121" s="711"/>
      <c r="U121" s="711"/>
      <c r="V121" s="711"/>
      <c r="W121" s="711"/>
      <c r="X121" s="711"/>
      <c r="Y121" s="711"/>
      <c r="Z121" s="711"/>
      <c r="AA121" s="711"/>
      <c r="AB121" s="711"/>
      <c r="AC121" s="711"/>
      <c r="AD121" s="711"/>
      <c r="AE121" s="711"/>
      <c r="AF121" s="711"/>
      <c r="AG121" s="711"/>
      <c r="AH121" s="711"/>
      <c r="AI121" s="711"/>
      <c r="AJ121" s="711"/>
      <c r="AK121" s="711"/>
      <c r="AL121" s="711"/>
      <c r="AM121" s="711"/>
      <c r="AN121" s="711"/>
      <c r="AO121" s="711"/>
      <c r="AP121" s="711"/>
      <c r="AQ121" s="711"/>
      <c r="AR121" s="711"/>
      <c r="AS121" s="711"/>
      <c r="AT121" s="711"/>
      <c r="AU121" s="711"/>
      <c r="AV121" s="711"/>
      <c r="AW121" s="711"/>
      <c r="AX121" s="711"/>
      <c r="AY121" s="711"/>
      <c r="AZ121" s="711"/>
      <c r="BA121" s="711"/>
      <c r="BB121" s="711"/>
      <c r="BC121" s="711"/>
      <c r="BD121" s="711"/>
      <c r="BE121" s="711"/>
      <c r="BF121" s="711"/>
      <c r="BG121" s="711"/>
      <c r="BH121" s="711"/>
      <c r="BI121" s="711"/>
      <c r="BJ121" s="711"/>
      <c r="BK121" s="711"/>
      <c r="BL121" s="711"/>
      <c r="BM121" s="711"/>
      <c r="BN121" s="711"/>
      <c r="BO121" s="711"/>
      <c r="BP121" s="711"/>
      <c r="BQ121" s="711"/>
      <c r="BR121" s="711"/>
      <c r="BS121" s="711"/>
      <c r="BT121" s="711"/>
      <c r="BU121" s="711"/>
      <c r="BV121" s="711"/>
      <c r="BW121" s="711"/>
      <c r="BX121" s="711"/>
      <c r="BY121" s="711"/>
      <c r="BZ121" s="711"/>
      <c r="CA121" s="711"/>
      <c r="CB121" s="711"/>
      <c r="CC121" s="711"/>
      <c r="CD121" s="711"/>
      <c r="CE121" s="711"/>
      <c r="CF121" s="711"/>
      <c r="CG121" s="711"/>
      <c r="CH121" s="711"/>
      <c r="CI121" s="711"/>
      <c r="CJ121" s="711"/>
      <c r="CK121" s="711"/>
      <c r="CL121" s="711"/>
      <c r="CM121" s="711"/>
      <c r="CN121" s="711"/>
      <c r="CO121" s="711"/>
      <c r="CP121" s="711"/>
      <c r="CQ121" s="711"/>
      <c r="CR121" s="711"/>
      <c r="CS121" s="711"/>
      <c r="CT121" s="711"/>
      <c r="CU121" s="711"/>
      <c r="CV121" s="711"/>
      <c r="CW121" s="711"/>
      <c r="CX121" s="711"/>
      <c r="CY121" s="711"/>
      <c r="CZ121" s="711"/>
      <c r="DA121" s="711"/>
      <c r="DB121" s="711"/>
      <c r="DC121" s="711"/>
      <c r="DD121" s="711"/>
      <c r="DE121" s="711"/>
      <c r="DF121" s="711"/>
      <c r="DG121" s="711"/>
      <c r="DH121" s="711"/>
      <c r="DI121" s="711"/>
      <c r="DJ121" s="711"/>
      <c r="DK121" s="711"/>
      <c r="DL121" s="711"/>
      <c r="DM121" s="711"/>
      <c r="DN121" s="711"/>
      <c r="DO121" s="711"/>
      <c r="DP121" s="711"/>
      <c r="DQ121" s="711"/>
      <c r="DR121" s="711"/>
      <c r="DS121" s="711"/>
      <c r="DT121" s="711"/>
      <c r="DU121" s="711"/>
      <c r="DV121" s="711"/>
      <c r="DW121" s="711"/>
      <c r="DX121" s="711"/>
      <c r="DY121" s="711"/>
      <c r="DZ121" s="711"/>
      <c r="EA121" s="711"/>
      <c r="EB121" s="711"/>
      <c r="EC121" s="711"/>
      <c r="ED121" s="711"/>
      <c r="EE121" s="711"/>
      <c r="EF121" s="711"/>
      <c r="EG121" s="711"/>
      <c r="EH121" s="711"/>
      <c r="EI121" s="711"/>
      <c r="EJ121" s="711"/>
      <c r="EK121" s="711"/>
      <c r="EL121" s="711"/>
      <c r="EM121" s="711"/>
      <c r="EN121" s="711"/>
      <c r="EO121" s="711"/>
      <c r="EP121" s="711"/>
      <c r="EQ121" s="711"/>
      <c r="ER121" s="711"/>
      <c r="ES121" s="711"/>
      <c r="ET121" s="711"/>
      <c r="EU121" s="711"/>
      <c r="EV121" s="711"/>
      <c r="EW121" s="711"/>
      <c r="EX121" s="711"/>
      <c r="EY121" s="711"/>
      <c r="EZ121" s="711"/>
      <c r="FA121" s="711"/>
      <c r="FB121" s="711"/>
      <c r="FC121" s="711"/>
      <c r="FD121" s="711"/>
      <c r="FE121" s="711"/>
      <c r="FF121" s="711"/>
      <c r="FG121" s="711"/>
      <c r="FH121" s="711"/>
      <c r="FI121" s="711"/>
      <c r="FJ121" s="711"/>
      <c r="FK121" s="711"/>
      <c r="FL121" s="711"/>
      <c r="FM121" s="711"/>
      <c r="FN121" s="711"/>
      <c r="FO121" s="711"/>
      <c r="FP121" s="711"/>
      <c r="FQ121" s="711"/>
      <c r="FR121" s="711"/>
      <c r="FS121" s="711"/>
      <c r="FT121" s="711"/>
      <c r="FU121" s="711"/>
      <c r="FV121" s="711"/>
      <c r="FW121" s="711"/>
      <c r="FX121" s="711"/>
      <c r="FY121" s="711"/>
      <c r="FZ121" s="711"/>
      <c r="GA121" s="711"/>
      <c r="GB121" s="711"/>
      <c r="GC121" s="711"/>
      <c r="GD121" s="711"/>
      <c r="GE121" s="711"/>
      <c r="GF121" s="711"/>
      <c r="GG121" s="711"/>
      <c r="GH121" s="711"/>
      <c r="GI121" s="711"/>
      <c r="GJ121" s="711"/>
      <c r="GK121" s="711"/>
      <c r="GL121" s="711"/>
      <c r="GM121" s="711"/>
      <c r="GN121" s="711"/>
      <c r="GO121" s="711"/>
      <c r="GP121" s="711"/>
      <c r="GQ121" s="711"/>
      <c r="GR121" s="711"/>
      <c r="GS121" s="711"/>
      <c r="GT121" s="711"/>
      <c r="GU121" s="711"/>
      <c r="GV121" s="711"/>
      <c r="GW121" s="711"/>
      <c r="GX121" s="711"/>
      <c r="GY121" s="711"/>
      <c r="GZ121" s="711"/>
      <c r="HA121" s="711"/>
      <c r="HB121" s="711"/>
      <c r="HC121" s="711"/>
      <c r="HD121" s="711"/>
      <c r="HE121" s="711"/>
      <c r="HF121" s="711"/>
      <c r="HG121" s="711"/>
      <c r="HH121" s="711"/>
      <c r="HI121" s="711"/>
      <c r="HJ121" s="711"/>
      <c r="HK121" s="711"/>
      <c r="HL121" s="711"/>
      <c r="HM121" s="711"/>
      <c r="HN121" s="711"/>
      <c r="HO121" s="711"/>
      <c r="HP121" s="711"/>
      <c r="HQ121" s="711"/>
      <c r="HR121" s="711"/>
      <c r="HS121" s="711"/>
      <c r="HT121" s="711"/>
      <c r="HU121" s="711"/>
      <c r="HV121" s="711"/>
      <c r="HW121" s="711"/>
      <c r="HX121" s="711"/>
      <c r="HY121" s="711"/>
      <c r="HZ121" s="711"/>
      <c r="IA121" s="711"/>
      <c r="IB121" s="711"/>
      <c r="IC121" s="711"/>
      <c r="ID121" s="711"/>
      <c r="IE121" s="711"/>
      <c r="IF121" s="711"/>
      <c r="IG121" s="711"/>
      <c r="IH121" s="711"/>
      <c r="II121" s="711"/>
      <c r="IJ121" s="711"/>
      <c r="IK121" s="711"/>
      <c r="IL121" s="711"/>
      <c r="IM121" s="711"/>
      <c r="IN121" s="711"/>
      <c r="IO121" s="711"/>
      <c r="IP121" s="711"/>
      <c r="IQ121" s="711"/>
      <c r="IR121" s="711"/>
      <c r="IS121" s="711"/>
      <c r="IT121" s="711"/>
      <c r="IU121" s="711"/>
      <c r="IV121" s="711"/>
    </row>
    <row r="122" spans="1:256" ht="12.75" hidden="1" customHeight="1">
      <c r="A122" s="708" t="s">
        <v>339</v>
      </c>
      <c r="B122" s="707">
        <f>2204383.2-12891.8</f>
        <v>2191491.4000000004</v>
      </c>
      <c r="C122" s="708">
        <v>2837363.9</v>
      </c>
      <c r="D122" s="691"/>
      <c r="E122" s="708">
        <f t="shared" si="15"/>
        <v>-645872.49999999953</v>
      </c>
      <c r="F122" s="708">
        <v>604900.4</v>
      </c>
      <c r="G122" s="708">
        <v>40972.1</v>
      </c>
      <c r="H122" s="708">
        <f t="shared" si="16"/>
        <v>645872.5</v>
      </c>
      <c r="I122" s="695"/>
      <c r="J122" s="708">
        <v>0</v>
      </c>
      <c r="K122" s="708">
        <f t="shared" si="17"/>
        <v>645872.5</v>
      </c>
      <c r="L122" s="693"/>
      <c r="M122" s="711"/>
      <c r="N122" s="711"/>
      <c r="O122" s="711"/>
      <c r="P122" s="711"/>
      <c r="Q122" s="711"/>
      <c r="R122" s="711"/>
      <c r="S122" s="711"/>
      <c r="T122" s="711"/>
      <c r="U122" s="711"/>
      <c r="V122" s="711"/>
      <c r="W122" s="711"/>
      <c r="X122" s="711"/>
      <c r="Y122" s="711"/>
      <c r="Z122" s="711"/>
      <c r="AA122" s="711"/>
      <c r="AB122" s="711"/>
      <c r="AC122" s="711"/>
      <c r="AD122" s="711"/>
      <c r="AE122" s="711"/>
      <c r="AF122" s="711"/>
      <c r="AG122" s="711"/>
      <c r="AH122" s="711"/>
      <c r="AI122" s="711"/>
      <c r="AJ122" s="711"/>
      <c r="AK122" s="711"/>
      <c r="AL122" s="711"/>
      <c r="AM122" s="711"/>
      <c r="AN122" s="711"/>
      <c r="AO122" s="711"/>
      <c r="AP122" s="711"/>
      <c r="AQ122" s="711"/>
      <c r="AR122" s="711"/>
      <c r="AS122" s="711"/>
      <c r="AT122" s="711"/>
      <c r="AU122" s="711"/>
      <c r="AV122" s="711"/>
      <c r="AW122" s="711"/>
      <c r="AX122" s="711"/>
      <c r="AY122" s="711"/>
      <c r="AZ122" s="711"/>
      <c r="BA122" s="711"/>
      <c r="BB122" s="711"/>
      <c r="BC122" s="711"/>
      <c r="BD122" s="711"/>
      <c r="BE122" s="711"/>
      <c r="BF122" s="711"/>
      <c r="BG122" s="711"/>
      <c r="BH122" s="711"/>
      <c r="BI122" s="711"/>
      <c r="BJ122" s="711"/>
      <c r="BK122" s="711"/>
      <c r="BL122" s="711"/>
      <c r="BM122" s="711"/>
      <c r="BN122" s="711"/>
      <c r="BO122" s="711"/>
      <c r="BP122" s="711"/>
      <c r="BQ122" s="711"/>
      <c r="BR122" s="711"/>
      <c r="BS122" s="711"/>
      <c r="BT122" s="711"/>
      <c r="BU122" s="711"/>
      <c r="BV122" s="711"/>
      <c r="BW122" s="711"/>
      <c r="BX122" s="711"/>
      <c r="BY122" s="711"/>
      <c r="BZ122" s="711"/>
      <c r="CA122" s="711"/>
      <c r="CB122" s="711"/>
      <c r="CC122" s="711"/>
      <c r="CD122" s="711"/>
      <c r="CE122" s="711"/>
      <c r="CF122" s="711"/>
      <c r="CG122" s="711"/>
      <c r="CH122" s="711"/>
      <c r="CI122" s="711"/>
      <c r="CJ122" s="711"/>
      <c r="CK122" s="711"/>
      <c r="CL122" s="711"/>
      <c r="CM122" s="711"/>
      <c r="CN122" s="711"/>
      <c r="CO122" s="711"/>
      <c r="CP122" s="711"/>
      <c r="CQ122" s="711"/>
      <c r="CR122" s="711"/>
      <c r="CS122" s="711"/>
      <c r="CT122" s="711"/>
      <c r="CU122" s="711"/>
      <c r="CV122" s="711"/>
      <c r="CW122" s="711"/>
      <c r="CX122" s="711"/>
      <c r="CY122" s="711"/>
      <c r="CZ122" s="711"/>
      <c r="DA122" s="711"/>
      <c r="DB122" s="711"/>
      <c r="DC122" s="711"/>
      <c r="DD122" s="711"/>
      <c r="DE122" s="711"/>
      <c r="DF122" s="711"/>
      <c r="DG122" s="711"/>
      <c r="DH122" s="711"/>
      <c r="DI122" s="711"/>
      <c r="DJ122" s="711"/>
      <c r="DK122" s="711"/>
      <c r="DL122" s="711"/>
      <c r="DM122" s="711"/>
      <c r="DN122" s="711"/>
      <c r="DO122" s="711"/>
      <c r="DP122" s="711"/>
      <c r="DQ122" s="711"/>
      <c r="DR122" s="711"/>
      <c r="DS122" s="711"/>
      <c r="DT122" s="711"/>
      <c r="DU122" s="711"/>
      <c r="DV122" s="711"/>
      <c r="DW122" s="711"/>
      <c r="DX122" s="711"/>
      <c r="DY122" s="711"/>
      <c r="DZ122" s="711"/>
      <c r="EA122" s="711"/>
      <c r="EB122" s="711"/>
      <c r="EC122" s="711"/>
      <c r="ED122" s="711"/>
      <c r="EE122" s="711"/>
      <c r="EF122" s="711"/>
      <c r="EG122" s="711"/>
      <c r="EH122" s="711"/>
      <c r="EI122" s="711"/>
      <c r="EJ122" s="711"/>
      <c r="EK122" s="711"/>
      <c r="EL122" s="711"/>
      <c r="EM122" s="711"/>
      <c r="EN122" s="711"/>
      <c r="EO122" s="711"/>
      <c r="EP122" s="711"/>
      <c r="EQ122" s="711"/>
      <c r="ER122" s="711"/>
      <c r="ES122" s="711"/>
      <c r="ET122" s="711"/>
      <c r="EU122" s="711"/>
      <c r="EV122" s="711"/>
      <c r="EW122" s="711"/>
      <c r="EX122" s="711"/>
      <c r="EY122" s="711"/>
      <c r="EZ122" s="711"/>
      <c r="FA122" s="711"/>
      <c r="FB122" s="711"/>
      <c r="FC122" s="711"/>
      <c r="FD122" s="711"/>
      <c r="FE122" s="711"/>
      <c r="FF122" s="711"/>
      <c r="FG122" s="711"/>
      <c r="FH122" s="711"/>
      <c r="FI122" s="711"/>
      <c r="FJ122" s="711"/>
      <c r="FK122" s="711"/>
      <c r="FL122" s="711"/>
      <c r="FM122" s="711"/>
      <c r="FN122" s="711"/>
      <c r="FO122" s="711"/>
      <c r="FP122" s="711"/>
      <c r="FQ122" s="711"/>
      <c r="FR122" s="711"/>
      <c r="FS122" s="711"/>
      <c r="FT122" s="711"/>
      <c r="FU122" s="711"/>
      <c r="FV122" s="711"/>
      <c r="FW122" s="711"/>
      <c r="FX122" s="711"/>
      <c r="FY122" s="711"/>
      <c r="FZ122" s="711"/>
      <c r="GA122" s="711"/>
      <c r="GB122" s="711"/>
      <c r="GC122" s="711"/>
      <c r="GD122" s="711"/>
      <c r="GE122" s="711"/>
      <c r="GF122" s="711"/>
      <c r="GG122" s="711"/>
      <c r="GH122" s="711"/>
      <c r="GI122" s="711"/>
      <c r="GJ122" s="711"/>
      <c r="GK122" s="711"/>
      <c r="GL122" s="711"/>
      <c r="GM122" s="711"/>
      <c r="GN122" s="711"/>
      <c r="GO122" s="711"/>
      <c r="GP122" s="711"/>
      <c r="GQ122" s="711"/>
      <c r="GR122" s="711"/>
      <c r="GS122" s="711"/>
      <c r="GT122" s="711"/>
      <c r="GU122" s="711"/>
      <c r="GV122" s="711"/>
      <c r="GW122" s="711"/>
      <c r="GX122" s="711"/>
      <c r="GY122" s="711"/>
      <c r="GZ122" s="711"/>
      <c r="HA122" s="711"/>
      <c r="HB122" s="711"/>
      <c r="HC122" s="711"/>
      <c r="HD122" s="711"/>
      <c r="HE122" s="711"/>
      <c r="HF122" s="711"/>
      <c r="HG122" s="711"/>
      <c r="HH122" s="711"/>
      <c r="HI122" s="711"/>
      <c r="HJ122" s="711"/>
      <c r="HK122" s="711"/>
      <c r="HL122" s="711"/>
      <c r="HM122" s="711"/>
      <c r="HN122" s="711"/>
      <c r="HO122" s="711"/>
      <c r="HP122" s="711"/>
      <c r="HQ122" s="711"/>
      <c r="HR122" s="711"/>
      <c r="HS122" s="711"/>
      <c r="HT122" s="711"/>
      <c r="HU122" s="711"/>
      <c r="HV122" s="711"/>
      <c r="HW122" s="711"/>
      <c r="HX122" s="711"/>
      <c r="HY122" s="711"/>
      <c r="HZ122" s="711"/>
      <c r="IA122" s="711"/>
      <c r="IB122" s="711"/>
      <c r="IC122" s="711"/>
      <c r="ID122" s="711"/>
      <c r="IE122" s="711"/>
      <c r="IF122" s="711"/>
      <c r="IG122" s="711"/>
      <c r="IH122" s="711"/>
      <c r="II122" s="711"/>
      <c r="IJ122" s="711"/>
      <c r="IK122" s="711"/>
      <c r="IL122" s="711"/>
      <c r="IM122" s="711"/>
      <c r="IN122" s="711"/>
      <c r="IO122" s="711"/>
      <c r="IP122" s="711"/>
      <c r="IQ122" s="711"/>
      <c r="IR122" s="711"/>
      <c r="IS122" s="711"/>
      <c r="IT122" s="711"/>
      <c r="IU122" s="711"/>
      <c r="IV122" s="711"/>
    </row>
    <row r="123" spans="1:256" ht="12.75" hidden="1" customHeight="1">
      <c r="A123" s="708" t="s">
        <v>340</v>
      </c>
      <c r="B123" s="707">
        <v>2094383.7</v>
      </c>
      <c r="C123" s="708">
        <v>2693332.4</v>
      </c>
      <c r="D123" s="691"/>
      <c r="E123" s="708">
        <f t="shared" si="15"/>
        <v>-598948.69999999995</v>
      </c>
      <c r="F123" s="708">
        <v>638139.30000000005</v>
      </c>
      <c r="G123" s="708">
        <v>-39180.9</v>
      </c>
      <c r="H123" s="708">
        <f t="shared" si="16"/>
        <v>598958.4</v>
      </c>
      <c r="I123" s="695"/>
      <c r="J123" s="708">
        <v>-9.9</v>
      </c>
      <c r="K123" s="708">
        <f t="shared" si="17"/>
        <v>598948.5</v>
      </c>
      <c r="L123" s="693"/>
      <c r="M123" s="711"/>
      <c r="N123" s="711"/>
      <c r="O123" s="711"/>
      <c r="P123" s="711"/>
      <c r="Q123" s="711"/>
      <c r="R123" s="711"/>
      <c r="S123" s="711"/>
      <c r="T123" s="711"/>
      <c r="U123" s="711"/>
      <c r="V123" s="711"/>
      <c r="W123" s="711"/>
      <c r="X123" s="711"/>
      <c r="Y123" s="711"/>
      <c r="Z123" s="711"/>
      <c r="AA123" s="711"/>
      <c r="AB123" s="711"/>
      <c r="AC123" s="711"/>
      <c r="AD123" s="711"/>
      <c r="AE123" s="711"/>
      <c r="AF123" s="711"/>
      <c r="AG123" s="711"/>
      <c r="AH123" s="711"/>
      <c r="AI123" s="711"/>
      <c r="AJ123" s="711"/>
      <c r="AK123" s="711"/>
      <c r="AL123" s="711"/>
      <c r="AM123" s="711"/>
      <c r="AN123" s="711"/>
      <c r="AO123" s="711"/>
      <c r="AP123" s="711"/>
      <c r="AQ123" s="711"/>
      <c r="AR123" s="711"/>
      <c r="AS123" s="711"/>
      <c r="AT123" s="711"/>
      <c r="AU123" s="711"/>
      <c r="AV123" s="711"/>
      <c r="AW123" s="711"/>
      <c r="AX123" s="711"/>
      <c r="AY123" s="711"/>
      <c r="AZ123" s="711"/>
      <c r="BA123" s="711"/>
      <c r="BB123" s="711"/>
      <c r="BC123" s="711"/>
      <c r="BD123" s="711"/>
      <c r="BE123" s="711"/>
      <c r="BF123" s="711"/>
      <c r="BG123" s="711"/>
      <c r="BH123" s="711"/>
      <c r="BI123" s="711"/>
      <c r="BJ123" s="711"/>
      <c r="BK123" s="711"/>
      <c r="BL123" s="711"/>
      <c r="BM123" s="711"/>
      <c r="BN123" s="711"/>
      <c r="BO123" s="711"/>
      <c r="BP123" s="711"/>
      <c r="BQ123" s="711"/>
      <c r="BR123" s="711"/>
      <c r="BS123" s="711"/>
      <c r="BT123" s="711"/>
      <c r="BU123" s="711"/>
      <c r="BV123" s="711"/>
      <c r="BW123" s="711"/>
      <c r="BX123" s="711"/>
      <c r="BY123" s="711"/>
      <c r="BZ123" s="711"/>
      <c r="CA123" s="711"/>
      <c r="CB123" s="711"/>
      <c r="CC123" s="711"/>
      <c r="CD123" s="711"/>
      <c r="CE123" s="711"/>
      <c r="CF123" s="711"/>
      <c r="CG123" s="711"/>
      <c r="CH123" s="711"/>
      <c r="CI123" s="711"/>
      <c r="CJ123" s="711"/>
      <c r="CK123" s="711"/>
      <c r="CL123" s="711"/>
      <c r="CM123" s="711"/>
      <c r="CN123" s="711"/>
      <c r="CO123" s="711"/>
      <c r="CP123" s="711"/>
      <c r="CQ123" s="711"/>
      <c r="CR123" s="711"/>
      <c r="CS123" s="711"/>
      <c r="CT123" s="711"/>
      <c r="CU123" s="711"/>
      <c r="CV123" s="711"/>
      <c r="CW123" s="711"/>
      <c r="CX123" s="711"/>
      <c r="CY123" s="711"/>
      <c r="CZ123" s="711"/>
      <c r="DA123" s="711"/>
      <c r="DB123" s="711"/>
      <c r="DC123" s="711"/>
      <c r="DD123" s="711"/>
      <c r="DE123" s="711"/>
      <c r="DF123" s="711"/>
      <c r="DG123" s="711"/>
      <c r="DH123" s="711"/>
      <c r="DI123" s="711"/>
      <c r="DJ123" s="711"/>
      <c r="DK123" s="711"/>
      <c r="DL123" s="711"/>
      <c r="DM123" s="711"/>
      <c r="DN123" s="711"/>
      <c r="DO123" s="711"/>
      <c r="DP123" s="711"/>
      <c r="DQ123" s="711"/>
      <c r="DR123" s="711"/>
      <c r="DS123" s="711"/>
      <c r="DT123" s="711"/>
      <c r="DU123" s="711"/>
      <c r="DV123" s="711"/>
      <c r="DW123" s="711"/>
      <c r="DX123" s="711"/>
      <c r="DY123" s="711"/>
      <c r="DZ123" s="711"/>
      <c r="EA123" s="711"/>
      <c r="EB123" s="711"/>
      <c r="EC123" s="711"/>
      <c r="ED123" s="711"/>
      <c r="EE123" s="711"/>
      <c r="EF123" s="711"/>
      <c r="EG123" s="711"/>
      <c r="EH123" s="711"/>
      <c r="EI123" s="711"/>
      <c r="EJ123" s="711"/>
      <c r="EK123" s="711"/>
      <c r="EL123" s="711"/>
      <c r="EM123" s="711"/>
      <c r="EN123" s="711"/>
      <c r="EO123" s="711"/>
      <c r="EP123" s="711"/>
      <c r="EQ123" s="711"/>
      <c r="ER123" s="711"/>
      <c r="ES123" s="711"/>
      <c r="ET123" s="711"/>
      <c r="EU123" s="711"/>
      <c r="EV123" s="711"/>
      <c r="EW123" s="711"/>
      <c r="EX123" s="711"/>
      <c r="EY123" s="711"/>
      <c r="EZ123" s="711"/>
      <c r="FA123" s="711"/>
      <c r="FB123" s="711"/>
      <c r="FC123" s="711"/>
      <c r="FD123" s="711"/>
      <c r="FE123" s="711"/>
      <c r="FF123" s="711"/>
      <c r="FG123" s="711"/>
      <c r="FH123" s="711"/>
      <c r="FI123" s="711"/>
      <c r="FJ123" s="711"/>
      <c r="FK123" s="711"/>
      <c r="FL123" s="711"/>
      <c r="FM123" s="711"/>
      <c r="FN123" s="711"/>
      <c r="FO123" s="711"/>
      <c r="FP123" s="711"/>
      <c r="FQ123" s="711"/>
      <c r="FR123" s="711"/>
      <c r="FS123" s="711"/>
      <c r="FT123" s="711"/>
      <c r="FU123" s="711"/>
      <c r="FV123" s="711"/>
      <c r="FW123" s="711"/>
      <c r="FX123" s="711"/>
      <c r="FY123" s="711"/>
      <c r="FZ123" s="711"/>
      <c r="GA123" s="711"/>
      <c r="GB123" s="711"/>
      <c r="GC123" s="711"/>
      <c r="GD123" s="711"/>
      <c r="GE123" s="711"/>
      <c r="GF123" s="711"/>
      <c r="GG123" s="711"/>
      <c r="GH123" s="711"/>
      <c r="GI123" s="711"/>
      <c r="GJ123" s="711"/>
      <c r="GK123" s="711"/>
      <c r="GL123" s="711"/>
      <c r="GM123" s="711"/>
      <c r="GN123" s="711"/>
      <c r="GO123" s="711"/>
      <c r="GP123" s="711"/>
      <c r="GQ123" s="711"/>
      <c r="GR123" s="711"/>
      <c r="GS123" s="711"/>
      <c r="GT123" s="711"/>
      <c r="GU123" s="711"/>
      <c r="GV123" s="711"/>
      <c r="GW123" s="711"/>
      <c r="GX123" s="711"/>
      <c r="GY123" s="711"/>
      <c r="GZ123" s="711"/>
      <c r="HA123" s="711"/>
      <c r="HB123" s="711"/>
      <c r="HC123" s="711"/>
      <c r="HD123" s="711"/>
      <c r="HE123" s="711"/>
      <c r="HF123" s="711"/>
      <c r="HG123" s="711"/>
      <c r="HH123" s="711"/>
      <c r="HI123" s="711"/>
      <c r="HJ123" s="711"/>
      <c r="HK123" s="711"/>
      <c r="HL123" s="711"/>
      <c r="HM123" s="711"/>
      <c r="HN123" s="711"/>
      <c r="HO123" s="711"/>
      <c r="HP123" s="711"/>
      <c r="HQ123" s="711"/>
      <c r="HR123" s="711"/>
      <c r="HS123" s="711"/>
      <c r="HT123" s="711"/>
      <c r="HU123" s="711"/>
      <c r="HV123" s="711"/>
      <c r="HW123" s="711"/>
      <c r="HX123" s="711"/>
      <c r="HY123" s="711"/>
      <c r="HZ123" s="711"/>
      <c r="IA123" s="711"/>
      <c r="IB123" s="711"/>
      <c r="IC123" s="711"/>
      <c r="ID123" s="711"/>
      <c r="IE123" s="711"/>
      <c r="IF123" s="711"/>
      <c r="IG123" s="711"/>
      <c r="IH123" s="711"/>
      <c r="II123" s="711"/>
      <c r="IJ123" s="711"/>
      <c r="IK123" s="711"/>
      <c r="IL123" s="711"/>
      <c r="IM123" s="711"/>
      <c r="IN123" s="711"/>
      <c r="IO123" s="711"/>
      <c r="IP123" s="711"/>
      <c r="IQ123" s="711"/>
      <c r="IR123" s="711"/>
      <c r="IS123" s="711"/>
      <c r="IT123" s="711"/>
      <c r="IU123" s="711"/>
      <c r="IV123" s="711"/>
    </row>
    <row r="124" spans="1:256" ht="12.75" hidden="1" customHeight="1">
      <c r="A124" s="708" t="s">
        <v>341</v>
      </c>
      <c r="B124" s="707">
        <f>3192031.8+1243.2</f>
        <v>3193275</v>
      </c>
      <c r="C124" s="708">
        <v>3377112.5</v>
      </c>
      <c r="D124" s="691"/>
      <c r="E124" s="708">
        <f t="shared" si="15"/>
        <v>-183837.5</v>
      </c>
      <c r="F124" s="708">
        <v>-159287.79999999999</v>
      </c>
      <c r="G124" s="708">
        <v>344753.9</v>
      </c>
      <c r="H124" s="708">
        <f t="shared" si="16"/>
        <v>185466.10000000003</v>
      </c>
      <c r="I124" s="695"/>
      <c r="J124" s="708">
        <v>-1633.3</v>
      </c>
      <c r="K124" s="708">
        <f t="shared" si="17"/>
        <v>183832.80000000005</v>
      </c>
      <c r="L124" s="693"/>
      <c r="M124" s="711"/>
      <c r="N124" s="711"/>
      <c r="O124" s="711"/>
      <c r="P124" s="711"/>
      <c r="Q124" s="711"/>
      <c r="R124" s="711"/>
      <c r="S124" s="711"/>
      <c r="T124" s="711"/>
      <c r="U124" s="711"/>
      <c r="V124" s="711"/>
      <c r="W124" s="711"/>
      <c r="X124" s="711"/>
      <c r="Y124" s="711"/>
      <c r="Z124" s="711"/>
      <c r="AA124" s="711"/>
      <c r="AB124" s="711"/>
      <c r="AC124" s="711"/>
      <c r="AD124" s="711"/>
      <c r="AE124" s="711"/>
      <c r="AF124" s="711"/>
      <c r="AG124" s="711"/>
      <c r="AH124" s="711"/>
      <c r="AI124" s="711"/>
      <c r="AJ124" s="711"/>
      <c r="AK124" s="711"/>
      <c r="AL124" s="711"/>
      <c r="AM124" s="711"/>
      <c r="AN124" s="711"/>
      <c r="AO124" s="711"/>
      <c r="AP124" s="711"/>
      <c r="AQ124" s="711"/>
      <c r="AR124" s="711"/>
      <c r="AS124" s="711"/>
      <c r="AT124" s="711"/>
      <c r="AU124" s="711"/>
      <c r="AV124" s="711"/>
      <c r="AW124" s="711"/>
      <c r="AX124" s="711"/>
      <c r="AY124" s="711"/>
      <c r="AZ124" s="711"/>
      <c r="BA124" s="711"/>
      <c r="BB124" s="711"/>
      <c r="BC124" s="711"/>
      <c r="BD124" s="711"/>
      <c r="BE124" s="711"/>
      <c r="BF124" s="711"/>
      <c r="BG124" s="711"/>
      <c r="BH124" s="711"/>
      <c r="BI124" s="711"/>
      <c r="BJ124" s="711"/>
      <c r="BK124" s="711"/>
      <c r="BL124" s="711"/>
      <c r="BM124" s="711"/>
      <c r="BN124" s="711"/>
      <c r="BO124" s="711"/>
      <c r="BP124" s="711"/>
      <c r="BQ124" s="711"/>
      <c r="BR124" s="711"/>
      <c r="BS124" s="711"/>
      <c r="BT124" s="711"/>
      <c r="BU124" s="711"/>
      <c r="BV124" s="711"/>
      <c r="BW124" s="711"/>
      <c r="BX124" s="711"/>
      <c r="BY124" s="711"/>
      <c r="BZ124" s="711"/>
      <c r="CA124" s="711"/>
      <c r="CB124" s="711"/>
      <c r="CC124" s="711"/>
      <c r="CD124" s="711"/>
      <c r="CE124" s="711"/>
      <c r="CF124" s="711"/>
      <c r="CG124" s="711"/>
      <c r="CH124" s="711"/>
      <c r="CI124" s="711"/>
      <c r="CJ124" s="711"/>
      <c r="CK124" s="711"/>
      <c r="CL124" s="711"/>
      <c r="CM124" s="711"/>
      <c r="CN124" s="711"/>
      <c r="CO124" s="711"/>
      <c r="CP124" s="711"/>
      <c r="CQ124" s="711"/>
      <c r="CR124" s="711"/>
      <c r="CS124" s="711"/>
      <c r="CT124" s="711"/>
      <c r="CU124" s="711"/>
      <c r="CV124" s="711"/>
      <c r="CW124" s="711"/>
      <c r="CX124" s="711"/>
      <c r="CY124" s="711"/>
      <c r="CZ124" s="711"/>
      <c r="DA124" s="711"/>
      <c r="DB124" s="711"/>
      <c r="DC124" s="711"/>
      <c r="DD124" s="711"/>
      <c r="DE124" s="711"/>
      <c r="DF124" s="711"/>
      <c r="DG124" s="711"/>
      <c r="DH124" s="711"/>
      <c r="DI124" s="711"/>
      <c r="DJ124" s="711"/>
      <c r="DK124" s="711"/>
      <c r="DL124" s="711"/>
      <c r="DM124" s="711"/>
      <c r="DN124" s="711"/>
      <c r="DO124" s="711"/>
      <c r="DP124" s="711"/>
      <c r="DQ124" s="711"/>
      <c r="DR124" s="711"/>
      <c r="DS124" s="711"/>
      <c r="DT124" s="711"/>
      <c r="DU124" s="711"/>
      <c r="DV124" s="711"/>
      <c r="DW124" s="711"/>
      <c r="DX124" s="711"/>
      <c r="DY124" s="711"/>
      <c r="DZ124" s="711"/>
      <c r="EA124" s="711"/>
      <c r="EB124" s="711"/>
      <c r="EC124" s="711"/>
      <c r="ED124" s="711"/>
      <c r="EE124" s="711"/>
      <c r="EF124" s="711"/>
      <c r="EG124" s="711"/>
      <c r="EH124" s="711"/>
      <c r="EI124" s="711"/>
      <c r="EJ124" s="711"/>
      <c r="EK124" s="711"/>
      <c r="EL124" s="711"/>
      <c r="EM124" s="711"/>
      <c r="EN124" s="711"/>
      <c r="EO124" s="711"/>
      <c r="EP124" s="711"/>
      <c r="EQ124" s="711"/>
      <c r="ER124" s="711"/>
      <c r="ES124" s="711"/>
      <c r="ET124" s="711"/>
      <c r="EU124" s="711"/>
      <c r="EV124" s="711"/>
      <c r="EW124" s="711"/>
      <c r="EX124" s="711"/>
      <c r="EY124" s="711"/>
      <c r="EZ124" s="711"/>
      <c r="FA124" s="711"/>
      <c r="FB124" s="711"/>
      <c r="FC124" s="711"/>
      <c r="FD124" s="711"/>
      <c r="FE124" s="711"/>
      <c r="FF124" s="711"/>
      <c r="FG124" s="711"/>
      <c r="FH124" s="711"/>
      <c r="FI124" s="711"/>
      <c r="FJ124" s="711"/>
      <c r="FK124" s="711"/>
      <c r="FL124" s="711"/>
      <c r="FM124" s="711"/>
      <c r="FN124" s="711"/>
      <c r="FO124" s="711"/>
      <c r="FP124" s="711"/>
      <c r="FQ124" s="711"/>
      <c r="FR124" s="711"/>
      <c r="FS124" s="711"/>
      <c r="FT124" s="711"/>
      <c r="FU124" s="711"/>
      <c r="FV124" s="711"/>
      <c r="FW124" s="711"/>
      <c r="FX124" s="711"/>
      <c r="FY124" s="711"/>
      <c r="FZ124" s="711"/>
      <c r="GA124" s="711"/>
      <c r="GB124" s="711"/>
      <c r="GC124" s="711"/>
      <c r="GD124" s="711"/>
      <c r="GE124" s="711"/>
      <c r="GF124" s="711"/>
      <c r="GG124" s="711"/>
      <c r="GH124" s="711"/>
      <c r="GI124" s="711"/>
      <c r="GJ124" s="711"/>
      <c r="GK124" s="711"/>
      <c r="GL124" s="711"/>
      <c r="GM124" s="711"/>
      <c r="GN124" s="711"/>
      <c r="GO124" s="711"/>
      <c r="GP124" s="711"/>
      <c r="GQ124" s="711"/>
      <c r="GR124" s="711"/>
      <c r="GS124" s="711"/>
      <c r="GT124" s="711"/>
      <c r="GU124" s="711"/>
      <c r="GV124" s="711"/>
      <c r="GW124" s="711"/>
      <c r="GX124" s="711"/>
      <c r="GY124" s="711"/>
      <c r="GZ124" s="711"/>
      <c r="HA124" s="711"/>
      <c r="HB124" s="711"/>
      <c r="HC124" s="711"/>
      <c r="HD124" s="711"/>
      <c r="HE124" s="711"/>
      <c r="HF124" s="711"/>
      <c r="HG124" s="711"/>
      <c r="HH124" s="711"/>
      <c r="HI124" s="711"/>
      <c r="HJ124" s="711"/>
      <c r="HK124" s="711"/>
      <c r="HL124" s="711"/>
      <c r="HM124" s="711"/>
      <c r="HN124" s="711"/>
      <c r="HO124" s="711"/>
      <c r="HP124" s="711"/>
      <c r="HQ124" s="711"/>
      <c r="HR124" s="711"/>
      <c r="HS124" s="711"/>
      <c r="HT124" s="711"/>
      <c r="HU124" s="711"/>
      <c r="HV124" s="711"/>
      <c r="HW124" s="711"/>
      <c r="HX124" s="711"/>
      <c r="HY124" s="711"/>
      <c r="HZ124" s="711"/>
      <c r="IA124" s="711"/>
      <c r="IB124" s="711"/>
      <c r="IC124" s="711"/>
      <c r="ID124" s="711"/>
      <c r="IE124" s="711"/>
      <c r="IF124" s="711"/>
      <c r="IG124" s="711"/>
      <c r="IH124" s="711"/>
      <c r="II124" s="711"/>
      <c r="IJ124" s="711"/>
      <c r="IK124" s="711"/>
      <c r="IL124" s="711"/>
      <c r="IM124" s="711"/>
      <c r="IN124" s="711"/>
      <c r="IO124" s="711"/>
      <c r="IP124" s="711"/>
      <c r="IQ124" s="711"/>
      <c r="IR124" s="711"/>
      <c r="IS124" s="711"/>
      <c r="IT124" s="711"/>
      <c r="IU124" s="711"/>
      <c r="IV124" s="711"/>
    </row>
    <row r="125" spans="1:256" ht="12.75" hidden="1" customHeight="1">
      <c r="A125" s="708" t="s">
        <v>342</v>
      </c>
      <c r="B125" s="707">
        <v>3568298.5</v>
      </c>
      <c r="C125" s="708">
        <v>3328017.4</v>
      </c>
      <c r="D125" s="691"/>
      <c r="E125" s="708">
        <f t="shared" si="15"/>
        <v>240281.10000000009</v>
      </c>
      <c r="F125" s="708">
        <v>-267347.09999999998</v>
      </c>
      <c r="G125" s="708">
        <v>27066.5</v>
      </c>
      <c r="H125" s="708">
        <f t="shared" si="16"/>
        <v>-240280.59999999998</v>
      </c>
      <c r="I125" s="695"/>
      <c r="J125" s="708">
        <v>-1.3</v>
      </c>
      <c r="K125" s="708">
        <f t="shared" si="17"/>
        <v>-240281.89999999997</v>
      </c>
      <c r="L125" s="693"/>
      <c r="M125" s="711"/>
      <c r="N125" s="711"/>
      <c r="O125" s="711"/>
      <c r="P125" s="711"/>
      <c r="Q125" s="711"/>
      <c r="R125" s="711"/>
      <c r="S125" s="711"/>
      <c r="T125" s="711"/>
      <c r="U125" s="711"/>
      <c r="V125" s="711"/>
      <c r="W125" s="711"/>
      <c r="X125" s="711"/>
      <c r="Y125" s="711"/>
      <c r="Z125" s="711"/>
      <c r="AA125" s="711"/>
      <c r="AB125" s="711"/>
      <c r="AC125" s="711"/>
      <c r="AD125" s="711"/>
      <c r="AE125" s="711"/>
      <c r="AF125" s="711"/>
      <c r="AG125" s="711"/>
      <c r="AH125" s="711"/>
      <c r="AI125" s="711"/>
      <c r="AJ125" s="711"/>
      <c r="AK125" s="711"/>
      <c r="AL125" s="711"/>
      <c r="AM125" s="711"/>
      <c r="AN125" s="711"/>
      <c r="AO125" s="711"/>
      <c r="AP125" s="711"/>
      <c r="AQ125" s="711"/>
      <c r="AR125" s="711"/>
      <c r="AS125" s="711"/>
      <c r="AT125" s="711"/>
      <c r="AU125" s="711"/>
      <c r="AV125" s="711"/>
      <c r="AW125" s="711"/>
      <c r="AX125" s="711"/>
      <c r="AY125" s="711"/>
      <c r="AZ125" s="711"/>
      <c r="BA125" s="711"/>
      <c r="BB125" s="711"/>
      <c r="BC125" s="711"/>
      <c r="BD125" s="711"/>
      <c r="BE125" s="711"/>
      <c r="BF125" s="711"/>
      <c r="BG125" s="711"/>
      <c r="BH125" s="711"/>
      <c r="BI125" s="711"/>
      <c r="BJ125" s="711"/>
      <c r="BK125" s="711"/>
      <c r="BL125" s="711"/>
      <c r="BM125" s="711"/>
      <c r="BN125" s="711"/>
      <c r="BO125" s="711"/>
      <c r="BP125" s="711"/>
      <c r="BQ125" s="711"/>
      <c r="BR125" s="711"/>
      <c r="BS125" s="711"/>
      <c r="BT125" s="711"/>
      <c r="BU125" s="711"/>
      <c r="BV125" s="711"/>
      <c r="BW125" s="711"/>
      <c r="BX125" s="711"/>
      <c r="BY125" s="711"/>
      <c r="BZ125" s="711"/>
      <c r="CA125" s="711"/>
      <c r="CB125" s="711"/>
      <c r="CC125" s="711"/>
      <c r="CD125" s="711"/>
      <c r="CE125" s="711"/>
      <c r="CF125" s="711"/>
      <c r="CG125" s="711"/>
      <c r="CH125" s="711"/>
      <c r="CI125" s="711"/>
      <c r="CJ125" s="711"/>
      <c r="CK125" s="711"/>
      <c r="CL125" s="711"/>
      <c r="CM125" s="711"/>
      <c r="CN125" s="711"/>
      <c r="CO125" s="711"/>
      <c r="CP125" s="711"/>
      <c r="CQ125" s="711"/>
      <c r="CR125" s="711"/>
      <c r="CS125" s="711"/>
      <c r="CT125" s="711"/>
      <c r="CU125" s="711"/>
      <c r="CV125" s="711"/>
      <c r="CW125" s="711"/>
      <c r="CX125" s="711"/>
      <c r="CY125" s="711"/>
      <c r="CZ125" s="711"/>
      <c r="DA125" s="711"/>
      <c r="DB125" s="711"/>
      <c r="DC125" s="711"/>
      <c r="DD125" s="711"/>
      <c r="DE125" s="711"/>
      <c r="DF125" s="711"/>
      <c r="DG125" s="711"/>
      <c r="DH125" s="711"/>
      <c r="DI125" s="711"/>
      <c r="DJ125" s="711"/>
      <c r="DK125" s="711"/>
      <c r="DL125" s="711"/>
      <c r="DM125" s="711"/>
      <c r="DN125" s="711"/>
      <c r="DO125" s="711"/>
      <c r="DP125" s="711"/>
      <c r="DQ125" s="711"/>
      <c r="DR125" s="711"/>
      <c r="DS125" s="711"/>
      <c r="DT125" s="711"/>
      <c r="DU125" s="711"/>
      <c r="DV125" s="711"/>
      <c r="DW125" s="711"/>
      <c r="DX125" s="711"/>
      <c r="DY125" s="711"/>
      <c r="DZ125" s="711"/>
      <c r="EA125" s="711"/>
      <c r="EB125" s="711"/>
      <c r="EC125" s="711"/>
      <c r="ED125" s="711"/>
      <c r="EE125" s="711"/>
      <c r="EF125" s="711"/>
      <c r="EG125" s="711"/>
      <c r="EH125" s="711"/>
      <c r="EI125" s="711"/>
      <c r="EJ125" s="711"/>
      <c r="EK125" s="711"/>
      <c r="EL125" s="711"/>
      <c r="EM125" s="711"/>
      <c r="EN125" s="711"/>
      <c r="EO125" s="711"/>
      <c r="EP125" s="711"/>
      <c r="EQ125" s="711"/>
      <c r="ER125" s="711"/>
      <c r="ES125" s="711"/>
      <c r="ET125" s="711"/>
      <c r="EU125" s="711"/>
      <c r="EV125" s="711"/>
      <c r="EW125" s="711"/>
      <c r="EX125" s="711"/>
      <c r="EY125" s="711"/>
      <c r="EZ125" s="711"/>
      <c r="FA125" s="711"/>
      <c r="FB125" s="711"/>
      <c r="FC125" s="711"/>
      <c r="FD125" s="711"/>
      <c r="FE125" s="711"/>
      <c r="FF125" s="711"/>
      <c r="FG125" s="711"/>
      <c r="FH125" s="711"/>
      <c r="FI125" s="711"/>
      <c r="FJ125" s="711"/>
      <c r="FK125" s="711"/>
      <c r="FL125" s="711"/>
      <c r="FM125" s="711"/>
      <c r="FN125" s="711"/>
      <c r="FO125" s="711"/>
      <c r="FP125" s="711"/>
      <c r="FQ125" s="711"/>
      <c r="FR125" s="711"/>
      <c r="FS125" s="711"/>
      <c r="FT125" s="711"/>
      <c r="FU125" s="711"/>
      <c r="FV125" s="711"/>
      <c r="FW125" s="711"/>
      <c r="FX125" s="711"/>
      <c r="FY125" s="711"/>
      <c r="FZ125" s="711"/>
      <c r="GA125" s="711"/>
      <c r="GB125" s="711"/>
      <c r="GC125" s="711"/>
      <c r="GD125" s="711"/>
      <c r="GE125" s="711"/>
      <c r="GF125" s="711"/>
      <c r="GG125" s="711"/>
      <c r="GH125" s="711"/>
      <c r="GI125" s="711"/>
      <c r="GJ125" s="711"/>
      <c r="GK125" s="711"/>
      <c r="GL125" s="711"/>
      <c r="GM125" s="711"/>
      <c r="GN125" s="711"/>
      <c r="GO125" s="711"/>
      <c r="GP125" s="711"/>
      <c r="GQ125" s="711"/>
      <c r="GR125" s="711"/>
      <c r="GS125" s="711"/>
      <c r="GT125" s="711"/>
      <c r="GU125" s="711"/>
      <c r="GV125" s="711"/>
      <c r="GW125" s="711"/>
      <c r="GX125" s="711"/>
      <c r="GY125" s="711"/>
      <c r="GZ125" s="711"/>
      <c r="HA125" s="711"/>
      <c r="HB125" s="711"/>
      <c r="HC125" s="711"/>
      <c r="HD125" s="711"/>
      <c r="HE125" s="711"/>
      <c r="HF125" s="711"/>
      <c r="HG125" s="711"/>
      <c r="HH125" s="711"/>
      <c r="HI125" s="711"/>
      <c r="HJ125" s="711"/>
      <c r="HK125" s="711"/>
      <c r="HL125" s="711"/>
      <c r="HM125" s="711"/>
      <c r="HN125" s="711"/>
      <c r="HO125" s="711"/>
      <c r="HP125" s="711"/>
      <c r="HQ125" s="711"/>
      <c r="HR125" s="711"/>
      <c r="HS125" s="711"/>
      <c r="HT125" s="711"/>
      <c r="HU125" s="711"/>
      <c r="HV125" s="711"/>
      <c r="HW125" s="711"/>
      <c r="HX125" s="711"/>
      <c r="HY125" s="711"/>
      <c r="HZ125" s="711"/>
      <c r="IA125" s="711"/>
      <c r="IB125" s="711"/>
      <c r="IC125" s="711"/>
      <c r="ID125" s="711"/>
      <c r="IE125" s="711"/>
      <c r="IF125" s="711"/>
      <c r="IG125" s="711"/>
      <c r="IH125" s="711"/>
      <c r="II125" s="711"/>
      <c r="IJ125" s="711"/>
      <c r="IK125" s="711"/>
      <c r="IL125" s="711"/>
      <c r="IM125" s="711"/>
      <c r="IN125" s="711"/>
      <c r="IO125" s="711"/>
      <c r="IP125" s="711"/>
      <c r="IQ125" s="711"/>
      <c r="IR125" s="711"/>
      <c r="IS125" s="711"/>
      <c r="IT125" s="711"/>
      <c r="IU125" s="711"/>
      <c r="IV125" s="711"/>
    </row>
    <row r="126" spans="1:256" ht="12.75" hidden="1" customHeight="1">
      <c r="A126" s="708" t="s">
        <v>343</v>
      </c>
      <c r="B126" s="707">
        <v>4459579.0999999996</v>
      </c>
      <c r="C126" s="708">
        <v>4215013.2</v>
      </c>
      <c r="D126" s="691"/>
      <c r="E126" s="708">
        <f t="shared" si="15"/>
        <v>244565.89999999944</v>
      </c>
      <c r="F126" s="708">
        <v>-158437.29999999999</v>
      </c>
      <c r="G126" s="708">
        <v>-86141.3</v>
      </c>
      <c r="H126" s="708">
        <f t="shared" si="16"/>
        <v>-244578.59999999998</v>
      </c>
      <c r="I126" s="695"/>
      <c r="J126" s="708">
        <v>12.1</v>
      </c>
      <c r="K126" s="708">
        <f t="shared" si="17"/>
        <v>-244566.49999999997</v>
      </c>
      <c r="L126" s="693"/>
      <c r="M126" s="711"/>
      <c r="N126" s="711"/>
      <c r="O126" s="711"/>
      <c r="P126" s="711"/>
      <c r="Q126" s="711"/>
      <c r="R126" s="711"/>
      <c r="S126" s="711"/>
      <c r="T126" s="711"/>
      <c r="U126" s="711"/>
      <c r="V126" s="711"/>
      <c r="W126" s="711"/>
      <c r="X126" s="711"/>
      <c r="Y126" s="711"/>
      <c r="Z126" s="711"/>
      <c r="AA126" s="711"/>
      <c r="AB126" s="711"/>
      <c r="AC126" s="711"/>
      <c r="AD126" s="711"/>
      <c r="AE126" s="711"/>
      <c r="AF126" s="711"/>
      <c r="AG126" s="711"/>
      <c r="AH126" s="711"/>
      <c r="AI126" s="711"/>
      <c r="AJ126" s="711"/>
      <c r="AK126" s="711"/>
      <c r="AL126" s="711"/>
      <c r="AM126" s="711"/>
      <c r="AN126" s="711"/>
      <c r="AO126" s="711"/>
      <c r="AP126" s="711"/>
      <c r="AQ126" s="711"/>
      <c r="AR126" s="711"/>
      <c r="AS126" s="711"/>
      <c r="AT126" s="711"/>
      <c r="AU126" s="711"/>
      <c r="AV126" s="711"/>
      <c r="AW126" s="711"/>
      <c r="AX126" s="711"/>
      <c r="AY126" s="711"/>
      <c r="AZ126" s="711"/>
      <c r="BA126" s="711"/>
      <c r="BB126" s="711"/>
      <c r="BC126" s="711"/>
      <c r="BD126" s="711"/>
      <c r="BE126" s="711"/>
      <c r="BF126" s="711"/>
      <c r="BG126" s="711"/>
      <c r="BH126" s="711"/>
      <c r="BI126" s="711"/>
      <c r="BJ126" s="711"/>
      <c r="BK126" s="711"/>
      <c r="BL126" s="711"/>
      <c r="BM126" s="711"/>
      <c r="BN126" s="711"/>
      <c r="BO126" s="711"/>
      <c r="BP126" s="711"/>
      <c r="BQ126" s="711"/>
      <c r="BR126" s="711"/>
      <c r="BS126" s="711"/>
      <c r="BT126" s="711"/>
      <c r="BU126" s="711"/>
      <c r="BV126" s="711"/>
      <c r="BW126" s="711"/>
      <c r="BX126" s="711"/>
      <c r="BY126" s="711"/>
      <c r="BZ126" s="711"/>
      <c r="CA126" s="711"/>
      <c r="CB126" s="711"/>
      <c r="CC126" s="711"/>
      <c r="CD126" s="711"/>
      <c r="CE126" s="711"/>
      <c r="CF126" s="711"/>
      <c r="CG126" s="711"/>
      <c r="CH126" s="711"/>
      <c r="CI126" s="711"/>
      <c r="CJ126" s="711"/>
      <c r="CK126" s="711"/>
      <c r="CL126" s="711"/>
      <c r="CM126" s="711"/>
      <c r="CN126" s="711"/>
      <c r="CO126" s="711"/>
      <c r="CP126" s="711"/>
      <c r="CQ126" s="711"/>
      <c r="CR126" s="711"/>
      <c r="CS126" s="711"/>
      <c r="CT126" s="711"/>
      <c r="CU126" s="711"/>
      <c r="CV126" s="711"/>
      <c r="CW126" s="711"/>
      <c r="CX126" s="711"/>
      <c r="CY126" s="711"/>
      <c r="CZ126" s="711"/>
      <c r="DA126" s="711"/>
      <c r="DB126" s="711"/>
      <c r="DC126" s="711"/>
      <c r="DD126" s="711"/>
      <c r="DE126" s="711"/>
      <c r="DF126" s="711"/>
      <c r="DG126" s="711"/>
      <c r="DH126" s="711"/>
      <c r="DI126" s="711"/>
      <c r="DJ126" s="711"/>
      <c r="DK126" s="711"/>
      <c r="DL126" s="711"/>
      <c r="DM126" s="711"/>
      <c r="DN126" s="711"/>
      <c r="DO126" s="711"/>
      <c r="DP126" s="711"/>
      <c r="DQ126" s="711"/>
      <c r="DR126" s="711"/>
      <c r="DS126" s="711"/>
      <c r="DT126" s="711"/>
      <c r="DU126" s="711"/>
      <c r="DV126" s="711"/>
      <c r="DW126" s="711"/>
      <c r="DX126" s="711"/>
      <c r="DY126" s="711"/>
      <c r="DZ126" s="711"/>
      <c r="EA126" s="711"/>
      <c r="EB126" s="711"/>
      <c r="EC126" s="711"/>
      <c r="ED126" s="711"/>
      <c r="EE126" s="711"/>
      <c r="EF126" s="711"/>
      <c r="EG126" s="711"/>
      <c r="EH126" s="711"/>
      <c r="EI126" s="711"/>
      <c r="EJ126" s="711"/>
      <c r="EK126" s="711"/>
      <c r="EL126" s="711"/>
      <c r="EM126" s="711"/>
      <c r="EN126" s="711"/>
      <c r="EO126" s="711"/>
      <c r="EP126" s="711"/>
      <c r="EQ126" s="711"/>
      <c r="ER126" s="711"/>
      <c r="ES126" s="711"/>
      <c r="ET126" s="711"/>
      <c r="EU126" s="711"/>
      <c r="EV126" s="711"/>
      <c r="EW126" s="711"/>
      <c r="EX126" s="711"/>
      <c r="EY126" s="711"/>
      <c r="EZ126" s="711"/>
      <c r="FA126" s="711"/>
      <c r="FB126" s="711"/>
      <c r="FC126" s="711"/>
      <c r="FD126" s="711"/>
      <c r="FE126" s="711"/>
      <c r="FF126" s="711"/>
      <c r="FG126" s="711"/>
      <c r="FH126" s="711"/>
      <c r="FI126" s="711"/>
      <c r="FJ126" s="711"/>
      <c r="FK126" s="711"/>
      <c r="FL126" s="711"/>
      <c r="FM126" s="711"/>
      <c r="FN126" s="711"/>
      <c r="FO126" s="711"/>
      <c r="FP126" s="711"/>
      <c r="FQ126" s="711"/>
      <c r="FR126" s="711"/>
      <c r="FS126" s="711"/>
      <c r="FT126" s="711"/>
      <c r="FU126" s="711"/>
      <c r="FV126" s="711"/>
      <c r="FW126" s="711"/>
      <c r="FX126" s="711"/>
      <c r="FY126" s="711"/>
      <c r="FZ126" s="711"/>
      <c r="GA126" s="711"/>
      <c r="GB126" s="711"/>
      <c r="GC126" s="711"/>
      <c r="GD126" s="711"/>
      <c r="GE126" s="711"/>
      <c r="GF126" s="711"/>
      <c r="GG126" s="711"/>
      <c r="GH126" s="711"/>
      <c r="GI126" s="711"/>
      <c r="GJ126" s="711"/>
      <c r="GK126" s="711"/>
      <c r="GL126" s="711"/>
      <c r="GM126" s="711"/>
      <c r="GN126" s="711"/>
      <c r="GO126" s="711"/>
      <c r="GP126" s="711"/>
      <c r="GQ126" s="711"/>
      <c r="GR126" s="711"/>
      <c r="GS126" s="711"/>
      <c r="GT126" s="711"/>
      <c r="GU126" s="711"/>
      <c r="GV126" s="711"/>
      <c r="GW126" s="711"/>
      <c r="GX126" s="711"/>
      <c r="GY126" s="711"/>
      <c r="GZ126" s="711"/>
      <c r="HA126" s="711"/>
      <c r="HB126" s="711"/>
      <c r="HC126" s="711"/>
      <c r="HD126" s="711"/>
      <c r="HE126" s="711"/>
      <c r="HF126" s="711"/>
      <c r="HG126" s="711"/>
      <c r="HH126" s="711"/>
      <c r="HI126" s="711"/>
      <c r="HJ126" s="711"/>
      <c r="HK126" s="711"/>
      <c r="HL126" s="711"/>
      <c r="HM126" s="711"/>
      <c r="HN126" s="711"/>
      <c r="HO126" s="711"/>
      <c r="HP126" s="711"/>
      <c r="HQ126" s="711"/>
      <c r="HR126" s="711"/>
      <c r="HS126" s="711"/>
      <c r="HT126" s="711"/>
      <c r="HU126" s="711"/>
      <c r="HV126" s="711"/>
      <c r="HW126" s="711"/>
      <c r="HX126" s="711"/>
      <c r="HY126" s="711"/>
      <c r="HZ126" s="711"/>
      <c r="IA126" s="711"/>
      <c r="IB126" s="711"/>
      <c r="IC126" s="711"/>
      <c r="ID126" s="711"/>
      <c r="IE126" s="711"/>
      <c r="IF126" s="711"/>
      <c r="IG126" s="711"/>
      <c r="IH126" s="711"/>
      <c r="II126" s="711"/>
      <c r="IJ126" s="711"/>
      <c r="IK126" s="711"/>
      <c r="IL126" s="711"/>
      <c r="IM126" s="711"/>
      <c r="IN126" s="711"/>
      <c r="IO126" s="711"/>
      <c r="IP126" s="711"/>
      <c r="IQ126" s="711"/>
      <c r="IR126" s="711"/>
      <c r="IS126" s="711"/>
      <c r="IT126" s="711"/>
      <c r="IU126" s="711"/>
      <c r="IV126" s="711"/>
    </row>
    <row r="127" spans="1:256" ht="12.75" hidden="1" customHeight="1">
      <c r="A127" s="708" t="s">
        <v>344</v>
      </c>
      <c r="B127" s="707">
        <v>8830243</v>
      </c>
      <c r="C127" s="708">
        <v>5425615.4000000004</v>
      </c>
      <c r="D127" s="691"/>
      <c r="E127" s="708">
        <f t="shared" si="15"/>
        <v>3404627.5999999996</v>
      </c>
      <c r="F127" s="708">
        <v>-3005423.4</v>
      </c>
      <c r="G127" s="708">
        <v>-351455.1</v>
      </c>
      <c r="H127" s="708">
        <f t="shared" si="16"/>
        <v>-3356878.5</v>
      </c>
      <c r="I127" s="695"/>
      <c r="J127" s="708">
        <v>0</v>
      </c>
      <c r="K127" s="708">
        <f t="shared" si="17"/>
        <v>-3356878.5</v>
      </c>
      <c r="L127" s="693"/>
      <c r="M127" s="711"/>
      <c r="N127" s="711"/>
      <c r="O127" s="711"/>
      <c r="P127" s="711"/>
      <c r="Q127" s="711"/>
      <c r="R127" s="711"/>
      <c r="S127" s="711"/>
      <c r="T127" s="711"/>
      <c r="U127" s="711"/>
      <c r="V127" s="711"/>
      <c r="W127" s="711"/>
      <c r="X127" s="711"/>
      <c r="Y127" s="711"/>
      <c r="Z127" s="711"/>
      <c r="AA127" s="711"/>
      <c r="AB127" s="711"/>
      <c r="AC127" s="711"/>
      <c r="AD127" s="711"/>
      <c r="AE127" s="711"/>
      <c r="AF127" s="711"/>
      <c r="AG127" s="711"/>
      <c r="AH127" s="711"/>
      <c r="AI127" s="711"/>
      <c r="AJ127" s="711"/>
      <c r="AK127" s="711"/>
      <c r="AL127" s="711"/>
      <c r="AM127" s="711"/>
      <c r="AN127" s="711"/>
      <c r="AO127" s="711"/>
      <c r="AP127" s="711"/>
      <c r="AQ127" s="711"/>
      <c r="AR127" s="711"/>
      <c r="AS127" s="711"/>
      <c r="AT127" s="711"/>
      <c r="AU127" s="711"/>
      <c r="AV127" s="711"/>
      <c r="AW127" s="711"/>
      <c r="AX127" s="711"/>
      <c r="AY127" s="711"/>
      <c r="AZ127" s="711"/>
      <c r="BA127" s="711"/>
      <c r="BB127" s="711"/>
      <c r="BC127" s="711"/>
      <c r="BD127" s="711"/>
      <c r="BE127" s="711"/>
      <c r="BF127" s="711"/>
      <c r="BG127" s="711"/>
      <c r="BH127" s="711"/>
      <c r="BI127" s="711"/>
      <c r="BJ127" s="711"/>
      <c r="BK127" s="711"/>
      <c r="BL127" s="711"/>
      <c r="BM127" s="711"/>
      <c r="BN127" s="711"/>
      <c r="BO127" s="711"/>
      <c r="BP127" s="711"/>
      <c r="BQ127" s="711"/>
      <c r="BR127" s="711"/>
      <c r="BS127" s="711"/>
      <c r="BT127" s="711"/>
      <c r="BU127" s="711"/>
      <c r="BV127" s="711"/>
      <c r="BW127" s="711"/>
      <c r="BX127" s="711"/>
      <c r="BY127" s="711"/>
      <c r="BZ127" s="711"/>
      <c r="CA127" s="711"/>
      <c r="CB127" s="711"/>
      <c r="CC127" s="711"/>
      <c r="CD127" s="711"/>
      <c r="CE127" s="711"/>
      <c r="CF127" s="711"/>
      <c r="CG127" s="711"/>
      <c r="CH127" s="711"/>
      <c r="CI127" s="711"/>
      <c r="CJ127" s="711"/>
      <c r="CK127" s="711"/>
      <c r="CL127" s="711"/>
      <c r="CM127" s="711"/>
      <c r="CN127" s="711"/>
      <c r="CO127" s="711"/>
      <c r="CP127" s="711"/>
      <c r="CQ127" s="711"/>
      <c r="CR127" s="711"/>
      <c r="CS127" s="711"/>
      <c r="CT127" s="711"/>
      <c r="CU127" s="711"/>
      <c r="CV127" s="711"/>
      <c r="CW127" s="711"/>
      <c r="CX127" s="711"/>
      <c r="CY127" s="711"/>
      <c r="CZ127" s="711"/>
      <c r="DA127" s="711"/>
      <c r="DB127" s="711"/>
      <c r="DC127" s="711"/>
      <c r="DD127" s="711"/>
      <c r="DE127" s="711"/>
      <c r="DF127" s="711"/>
      <c r="DG127" s="711"/>
      <c r="DH127" s="711"/>
      <c r="DI127" s="711"/>
      <c r="DJ127" s="711"/>
      <c r="DK127" s="711"/>
      <c r="DL127" s="711"/>
      <c r="DM127" s="711"/>
      <c r="DN127" s="711"/>
      <c r="DO127" s="711"/>
      <c r="DP127" s="711"/>
      <c r="DQ127" s="711"/>
      <c r="DR127" s="711"/>
      <c r="DS127" s="711"/>
      <c r="DT127" s="711"/>
      <c r="DU127" s="711"/>
      <c r="DV127" s="711"/>
      <c r="DW127" s="711"/>
      <c r="DX127" s="711"/>
      <c r="DY127" s="711"/>
      <c r="DZ127" s="711"/>
      <c r="EA127" s="711"/>
      <c r="EB127" s="711"/>
      <c r="EC127" s="711"/>
      <c r="ED127" s="711"/>
      <c r="EE127" s="711"/>
      <c r="EF127" s="711"/>
      <c r="EG127" s="711"/>
      <c r="EH127" s="711"/>
      <c r="EI127" s="711"/>
      <c r="EJ127" s="711"/>
      <c r="EK127" s="711"/>
      <c r="EL127" s="711"/>
      <c r="EM127" s="711"/>
      <c r="EN127" s="711"/>
      <c r="EO127" s="711"/>
      <c r="EP127" s="711"/>
      <c r="EQ127" s="711"/>
      <c r="ER127" s="711"/>
      <c r="ES127" s="711"/>
      <c r="ET127" s="711"/>
      <c r="EU127" s="711"/>
      <c r="EV127" s="711"/>
      <c r="EW127" s="711"/>
      <c r="EX127" s="711"/>
      <c r="EY127" s="711"/>
      <c r="EZ127" s="711"/>
      <c r="FA127" s="711"/>
      <c r="FB127" s="711"/>
      <c r="FC127" s="711"/>
      <c r="FD127" s="711"/>
      <c r="FE127" s="711"/>
      <c r="FF127" s="711"/>
      <c r="FG127" s="711"/>
      <c r="FH127" s="711"/>
      <c r="FI127" s="711"/>
      <c r="FJ127" s="711"/>
      <c r="FK127" s="711"/>
      <c r="FL127" s="711"/>
      <c r="FM127" s="711"/>
      <c r="FN127" s="711"/>
      <c r="FO127" s="711"/>
      <c r="FP127" s="711"/>
      <c r="FQ127" s="711"/>
      <c r="FR127" s="711"/>
      <c r="FS127" s="711"/>
      <c r="FT127" s="711"/>
      <c r="FU127" s="711"/>
      <c r="FV127" s="711"/>
      <c r="FW127" s="711"/>
      <c r="FX127" s="711"/>
      <c r="FY127" s="711"/>
      <c r="FZ127" s="711"/>
      <c r="GA127" s="711"/>
      <c r="GB127" s="711"/>
      <c r="GC127" s="711"/>
      <c r="GD127" s="711"/>
      <c r="GE127" s="711"/>
      <c r="GF127" s="711"/>
      <c r="GG127" s="711"/>
      <c r="GH127" s="711"/>
      <c r="GI127" s="711"/>
      <c r="GJ127" s="711"/>
      <c r="GK127" s="711"/>
      <c r="GL127" s="711"/>
      <c r="GM127" s="711"/>
      <c r="GN127" s="711"/>
      <c r="GO127" s="711"/>
      <c r="GP127" s="711"/>
      <c r="GQ127" s="711"/>
      <c r="GR127" s="711"/>
      <c r="GS127" s="711"/>
      <c r="GT127" s="711"/>
      <c r="GU127" s="711"/>
      <c r="GV127" s="711"/>
      <c r="GW127" s="711"/>
      <c r="GX127" s="711"/>
      <c r="GY127" s="711"/>
      <c r="GZ127" s="711"/>
      <c r="HA127" s="711"/>
      <c r="HB127" s="711"/>
      <c r="HC127" s="711"/>
      <c r="HD127" s="711"/>
      <c r="HE127" s="711"/>
      <c r="HF127" s="711"/>
      <c r="HG127" s="711"/>
      <c r="HH127" s="711"/>
      <c r="HI127" s="711"/>
      <c r="HJ127" s="711"/>
      <c r="HK127" s="711"/>
      <c r="HL127" s="711"/>
      <c r="HM127" s="711"/>
      <c r="HN127" s="711"/>
      <c r="HO127" s="711"/>
      <c r="HP127" s="711"/>
      <c r="HQ127" s="711"/>
      <c r="HR127" s="711"/>
      <c r="HS127" s="711"/>
      <c r="HT127" s="711"/>
      <c r="HU127" s="711"/>
      <c r="HV127" s="711"/>
      <c r="HW127" s="711"/>
      <c r="HX127" s="711"/>
      <c r="HY127" s="711"/>
      <c r="HZ127" s="711"/>
      <c r="IA127" s="711"/>
      <c r="IB127" s="711"/>
      <c r="IC127" s="711"/>
      <c r="ID127" s="711"/>
      <c r="IE127" s="711"/>
      <c r="IF127" s="711"/>
      <c r="IG127" s="711"/>
      <c r="IH127" s="711"/>
      <c r="II127" s="711"/>
      <c r="IJ127" s="711"/>
      <c r="IK127" s="711"/>
      <c r="IL127" s="711"/>
      <c r="IM127" s="711"/>
      <c r="IN127" s="711"/>
      <c r="IO127" s="711"/>
      <c r="IP127" s="711"/>
      <c r="IQ127" s="711"/>
      <c r="IR127" s="711"/>
      <c r="IS127" s="711"/>
      <c r="IT127" s="711"/>
      <c r="IU127" s="711"/>
      <c r="IV127" s="711"/>
    </row>
    <row r="128" spans="1:256" ht="12.75" hidden="1" customHeight="1">
      <c r="A128" s="708"/>
      <c r="B128" s="707"/>
      <c r="C128" s="708"/>
      <c r="D128" s="691"/>
      <c r="E128" s="708"/>
      <c r="F128" s="708"/>
      <c r="G128" s="708"/>
      <c r="H128" s="708"/>
      <c r="I128" s="695"/>
      <c r="J128" s="708"/>
      <c r="K128" s="708"/>
      <c r="L128" s="693"/>
      <c r="M128" s="711"/>
      <c r="N128" s="711"/>
      <c r="O128" s="711"/>
      <c r="P128" s="711"/>
      <c r="Q128" s="711"/>
      <c r="R128" s="711"/>
      <c r="S128" s="711"/>
      <c r="T128" s="711"/>
      <c r="U128" s="711"/>
      <c r="V128" s="711"/>
      <c r="W128" s="711"/>
      <c r="X128" s="711"/>
      <c r="Y128" s="711"/>
      <c r="Z128" s="711"/>
      <c r="AA128" s="711"/>
      <c r="AB128" s="711"/>
      <c r="AC128" s="711"/>
      <c r="AD128" s="711"/>
      <c r="AE128" s="711"/>
      <c r="AF128" s="711"/>
      <c r="AG128" s="711"/>
      <c r="AH128" s="711"/>
      <c r="AI128" s="711"/>
      <c r="AJ128" s="711"/>
      <c r="AK128" s="711"/>
      <c r="AL128" s="711"/>
      <c r="AM128" s="711"/>
      <c r="AN128" s="711"/>
      <c r="AO128" s="711"/>
      <c r="AP128" s="711"/>
      <c r="AQ128" s="711"/>
      <c r="AR128" s="711"/>
      <c r="AS128" s="711"/>
      <c r="AT128" s="711"/>
      <c r="AU128" s="711"/>
      <c r="AV128" s="711"/>
      <c r="AW128" s="711"/>
      <c r="AX128" s="711"/>
      <c r="AY128" s="711"/>
      <c r="AZ128" s="711"/>
      <c r="BA128" s="711"/>
      <c r="BB128" s="711"/>
      <c r="BC128" s="711"/>
      <c r="BD128" s="711"/>
      <c r="BE128" s="711"/>
      <c r="BF128" s="711"/>
      <c r="BG128" s="711"/>
      <c r="BH128" s="711"/>
      <c r="BI128" s="711"/>
      <c r="BJ128" s="711"/>
      <c r="BK128" s="711"/>
      <c r="BL128" s="711"/>
      <c r="BM128" s="711"/>
      <c r="BN128" s="711"/>
      <c r="BO128" s="711"/>
      <c r="BP128" s="711"/>
      <c r="BQ128" s="711"/>
      <c r="BR128" s="711"/>
      <c r="BS128" s="711"/>
      <c r="BT128" s="711"/>
      <c r="BU128" s="711"/>
      <c r="BV128" s="711"/>
      <c r="BW128" s="711"/>
      <c r="BX128" s="711"/>
      <c r="BY128" s="711"/>
      <c r="BZ128" s="711"/>
      <c r="CA128" s="711"/>
      <c r="CB128" s="711"/>
      <c r="CC128" s="711"/>
      <c r="CD128" s="711"/>
      <c r="CE128" s="711"/>
      <c r="CF128" s="711"/>
      <c r="CG128" s="711"/>
      <c r="CH128" s="711"/>
      <c r="CI128" s="711"/>
      <c r="CJ128" s="711"/>
      <c r="CK128" s="711"/>
      <c r="CL128" s="711"/>
      <c r="CM128" s="711"/>
      <c r="CN128" s="711"/>
      <c r="CO128" s="711"/>
      <c r="CP128" s="711"/>
      <c r="CQ128" s="711"/>
      <c r="CR128" s="711"/>
      <c r="CS128" s="711"/>
      <c r="CT128" s="711"/>
      <c r="CU128" s="711"/>
      <c r="CV128" s="711"/>
      <c r="CW128" s="711"/>
      <c r="CX128" s="711"/>
      <c r="CY128" s="711"/>
      <c r="CZ128" s="711"/>
      <c r="DA128" s="711"/>
      <c r="DB128" s="711"/>
      <c r="DC128" s="711"/>
      <c r="DD128" s="711"/>
      <c r="DE128" s="711"/>
      <c r="DF128" s="711"/>
      <c r="DG128" s="711"/>
      <c r="DH128" s="711"/>
      <c r="DI128" s="711"/>
      <c r="DJ128" s="711"/>
      <c r="DK128" s="711"/>
      <c r="DL128" s="711"/>
      <c r="DM128" s="711"/>
      <c r="DN128" s="711"/>
      <c r="DO128" s="711"/>
      <c r="DP128" s="711"/>
      <c r="DQ128" s="711"/>
      <c r="DR128" s="711"/>
      <c r="DS128" s="711"/>
      <c r="DT128" s="711"/>
      <c r="DU128" s="711"/>
      <c r="DV128" s="711"/>
      <c r="DW128" s="711"/>
      <c r="DX128" s="711"/>
      <c r="DY128" s="711"/>
      <c r="DZ128" s="711"/>
      <c r="EA128" s="711"/>
      <c r="EB128" s="711"/>
      <c r="EC128" s="711"/>
      <c r="ED128" s="711"/>
      <c r="EE128" s="711"/>
      <c r="EF128" s="711"/>
      <c r="EG128" s="711"/>
      <c r="EH128" s="711"/>
      <c r="EI128" s="711"/>
      <c r="EJ128" s="711"/>
      <c r="EK128" s="711"/>
      <c r="EL128" s="711"/>
      <c r="EM128" s="711"/>
      <c r="EN128" s="711"/>
      <c r="EO128" s="711"/>
      <c r="EP128" s="711"/>
      <c r="EQ128" s="711"/>
      <c r="ER128" s="711"/>
      <c r="ES128" s="711"/>
      <c r="ET128" s="711"/>
      <c r="EU128" s="711"/>
      <c r="EV128" s="711"/>
      <c r="EW128" s="711"/>
      <c r="EX128" s="711"/>
      <c r="EY128" s="711"/>
      <c r="EZ128" s="711"/>
      <c r="FA128" s="711"/>
      <c r="FB128" s="711"/>
      <c r="FC128" s="711"/>
      <c r="FD128" s="711"/>
      <c r="FE128" s="711"/>
      <c r="FF128" s="711"/>
      <c r="FG128" s="711"/>
      <c r="FH128" s="711"/>
      <c r="FI128" s="711"/>
      <c r="FJ128" s="711"/>
      <c r="FK128" s="711"/>
      <c r="FL128" s="711"/>
      <c r="FM128" s="711"/>
      <c r="FN128" s="711"/>
      <c r="FO128" s="711"/>
      <c r="FP128" s="711"/>
      <c r="FQ128" s="711"/>
      <c r="FR128" s="711"/>
      <c r="FS128" s="711"/>
      <c r="FT128" s="711"/>
      <c r="FU128" s="711"/>
      <c r="FV128" s="711"/>
      <c r="FW128" s="711"/>
      <c r="FX128" s="711"/>
      <c r="FY128" s="711"/>
      <c r="FZ128" s="711"/>
      <c r="GA128" s="711"/>
      <c r="GB128" s="711"/>
      <c r="GC128" s="711"/>
      <c r="GD128" s="711"/>
      <c r="GE128" s="711"/>
      <c r="GF128" s="711"/>
      <c r="GG128" s="711"/>
      <c r="GH128" s="711"/>
      <c r="GI128" s="711"/>
      <c r="GJ128" s="711"/>
      <c r="GK128" s="711"/>
      <c r="GL128" s="711"/>
      <c r="GM128" s="711"/>
      <c r="GN128" s="711"/>
      <c r="GO128" s="711"/>
      <c r="GP128" s="711"/>
      <c r="GQ128" s="711"/>
      <c r="GR128" s="711"/>
      <c r="GS128" s="711"/>
      <c r="GT128" s="711"/>
      <c r="GU128" s="711"/>
      <c r="GV128" s="711"/>
      <c r="GW128" s="711"/>
      <c r="GX128" s="711"/>
      <c r="GY128" s="711"/>
      <c r="GZ128" s="711"/>
      <c r="HA128" s="711"/>
      <c r="HB128" s="711"/>
      <c r="HC128" s="711"/>
      <c r="HD128" s="711"/>
      <c r="HE128" s="711"/>
      <c r="HF128" s="711"/>
      <c r="HG128" s="711"/>
      <c r="HH128" s="711"/>
      <c r="HI128" s="711"/>
      <c r="HJ128" s="711"/>
      <c r="HK128" s="711"/>
      <c r="HL128" s="711"/>
      <c r="HM128" s="711"/>
      <c r="HN128" s="711"/>
      <c r="HO128" s="711"/>
      <c r="HP128" s="711"/>
      <c r="HQ128" s="711"/>
      <c r="HR128" s="711"/>
      <c r="HS128" s="711"/>
      <c r="HT128" s="711"/>
      <c r="HU128" s="711"/>
      <c r="HV128" s="711"/>
      <c r="HW128" s="711"/>
      <c r="HX128" s="711"/>
      <c r="HY128" s="711"/>
      <c r="HZ128" s="711"/>
      <c r="IA128" s="711"/>
      <c r="IB128" s="711"/>
      <c r="IC128" s="711"/>
      <c r="ID128" s="711"/>
      <c r="IE128" s="711"/>
      <c r="IF128" s="711"/>
      <c r="IG128" s="711"/>
      <c r="IH128" s="711"/>
      <c r="II128" s="711"/>
      <c r="IJ128" s="711"/>
      <c r="IK128" s="711"/>
      <c r="IL128" s="711"/>
      <c r="IM128" s="711"/>
      <c r="IN128" s="711"/>
      <c r="IO128" s="711"/>
      <c r="IP128" s="711"/>
      <c r="IQ128" s="711"/>
      <c r="IR128" s="711"/>
      <c r="IS128" s="711"/>
      <c r="IT128" s="711"/>
      <c r="IU128" s="711"/>
      <c r="IV128" s="711"/>
    </row>
    <row r="129" spans="1:256" ht="12.75" hidden="1" customHeight="1">
      <c r="A129" s="710">
        <v>2006</v>
      </c>
      <c r="B129" s="707"/>
      <c r="C129" s="708"/>
      <c r="D129" s="691"/>
      <c r="E129" s="708"/>
      <c r="F129" s="708"/>
      <c r="G129" s="708"/>
      <c r="H129" s="708"/>
      <c r="I129" s="695"/>
      <c r="J129" s="708"/>
      <c r="K129" s="708"/>
      <c r="L129" s="693"/>
      <c r="M129" s="711"/>
      <c r="N129" s="711"/>
      <c r="O129" s="711"/>
      <c r="P129" s="711"/>
      <c r="Q129" s="711"/>
      <c r="R129" s="711"/>
      <c r="S129" s="711"/>
      <c r="T129" s="711"/>
      <c r="U129" s="711"/>
      <c r="V129" s="711"/>
      <c r="W129" s="711"/>
      <c r="X129" s="711"/>
      <c r="Y129" s="711"/>
      <c r="Z129" s="711"/>
      <c r="AA129" s="711"/>
      <c r="AB129" s="711"/>
      <c r="AC129" s="711"/>
      <c r="AD129" s="711"/>
      <c r="AE129" s="711"/>
      <c r="AF129" s="711"/>
      <c r="AG129" s="711"/>
      <c r="AH129" s="711"/>
      <c r="AI129" s="711"/>
      <c r="AJ129" s="711"/>
      <c r="AK129" s="711"/>
      <c r="AL129" s="711"/>
      <c r="AM129" s="711"/>
      <c r="AN129" s="711"/>
      <c r="AO129" s="711"/>
      <c r="AP129" s="711"/>
      <c r="AQ129" s="711"/>
      <c r="AR129" s="711"/>
      <c r="AS129" s="711"/>
      <c r="AT129" s="711"/>
      <c r="AU129" s="711"/>
      <c r="AV129" s="711"/>
      <c r="AW129" s="711"/>
      <c r="AX129" s="711"/>
      <c r="AY129" s="711"/>
      <c r="AZ129" s="711"/>
      <c r="BA129" s="711"/>
      <c r="BB129" s="711"/>
      <c r="BC129" s="711"/>
      <c r="BD129" s="711"/>
      <c r="BE129" s="711"/>
      <c r="BF129" s="711"/>
      <c r="BG129" s="711"/>
      <c r="BH129" s="711"/>
      <c r="BI129" s="711"/>
      <c r="BJ129" s="711"/>
      <c r="BK129" s="711"/>
      <c r="BL129" s="711"/>
      <c r="BM129" s="711"/>
      <c r="BN129" s="711"/>
      <c r="BO129" s="711"/>
      <c r="BP129" s="711"/>
      <c r="BQ129" s="711"/>
      <c r="BR129" s="711"/>
      <c r="BS129" s="711"/>
      <c r="BT129" s="711"/>
      <c r="BU129" s="711"/>
      <c r="BV129" s="711"/>
      <c r="BW129" s="711"/>
      <c r="BX129" s="711"/>
      <c r="BY129" s="711"/>
      <c r="BZ129" s="711"/>
      <c r="CA129" s="711"/>
      <c r="CB129" s="711"/>
      <c r="CC129" s="711"/>
      <c r="CD129" s="711"/>
      <c r="CE129" s="711"/>
      <c r="CF129" s="711"/>
      <c r="CG129" s="711"/>
      <c r="CH129" s="711"/>
      <c r="CI129" s="711"/>
      <c r="CJ129" s="711"/>
      <c r="CK129" s="711"/>
      <c r="CL129" s="711"/>
      <c r="CM129" s="711"/>
      <c r="CN129" s="711"/>
      <c r="CO129" s="711"/>
      <c r="CP129" s="711"/>
      <c r="CQ129" s="711"/>
      <c r="CR129" s="711"/>
      <c r="CS129" s="711"/>
      <c r="CT129" s="711"/>
      <c r="CU129" s="711"/>
      <c r="CV129" s="711"/>
      <c r="CW129" s="711"/>
      <c r="CX129" s="711"/>
      <c r="CY129" s="711"/>
      <c r="CZ129" s="711"/>
      <c r="DA129" s="711"/>
      <c r="DB129" s="711"/>
      <c r="DC129" s="711"/>
      <c r="DD129" s="711"/>
      <c r="DE129" s="711"/>
      <c r="DF129" s="711"/>
      <c r="DG129" s="711"/>
      <c r="DH129" s="711"/>
      <c r="DI129" s="711"/>
      <c r="DJ129" s="711"/>
      <c r="DK129" s="711"/>
      <c r="DL129" s="711"/>
      <c r="DM129" s="711"/>
      <c r="DN129" s="711"/>
      <c r="DO129" s="711"/>
      <c r="DP129" s="711"/>
      <c r="DQ129" s="711"/>
      <c r="DR129" s="711"/>
      <c r="DS129" s="711"/>
      <c r="DT129" s="711"/>
      <c r="DU129" s="711"/>
      <c r="DV129" s="711"/>
      <c r="DW129" s="711"/>
      <c r="DX129" s="711"/>
      <c r="DY129" s="711"/>
      <c r="DZ129" s="711"/>
      <c r="EA129" s="711"/>
      <c r="EB129" s="711"/>
      <c r="EC129" s="711"/>
      <c r="ED129" s="711"/>
      <c r="EE129" s="711"/>
      <c r="EF129" s="711"/>
      <c r="EG129" s="711"/>
      <c r="EH129" s="711"/>
      <c r="EI129" s="711"/>
      <c r="EJ129" s="711"/>
      <c r="EK129" s="711"/>
      <c r="EL129" s="711"/>
      <c r="EM129" s="711"/>
      <c r="EN129" s="711"/>
      <c r="EO129" s="711"/>
      <c r="EP129" s="711"/>
      <c r="EQ129" s="711"/>
      <c r="ER129" s="711"/>
      <c r="ES129" s="711"/>
      <c r="ET129" s="711"/>
      <c r="EU129" s="711"/>
      <c r="EV129" s="711"/>
      <c r="EW129" s="711"/>
      <c r="EX129" s="711"/>
      <c r="EY129" s="711"/>
      <c r="EZ129" s="711"/>
      <c r="FA129" s="711"/>
      <c r="FB129" s="711"/>
      <c r="FC129" s="711"/>
      <c r="FD129" s="711"/>
      <c r="FE129" s="711"/>
      <c r="FF129" s="711"/>
      <c r="FG129" s="711"/>
      <c r="FH129" s="711"/>
      <c r="FI129" s="711"/>
      <c r="FJ129" s="711"/>
      <c r="FK129" s="711"/>
      <c r="FL129" s="711"/>
      <c r="FM129" s="711"/>
      <c r="FN129" s="711"/>
      <c r="FO129" s="711"/>
      <c r="FP129" s="711"/>
      <c r="FQ129" s="711"/>
      <c r="FR129" s="711"/>
      <c r="FS129" s="711"/>
      <c r="FT129" s="711"/>
      <c r="FU129" s="711"/>
      <c r="FV129" s="711"/>
      <c r="FW129" s="711"/>
      <c r="FX129" s="711"/>
      <c r="FY129" s="711"/>
      <c r="FZ129" s="711"/>
      <c r="GA129" s="711"/>
      <c r="GB129" s="711"/>
      <c r="GC129" s="711"/>
      <c r="GD129" s="711"/>
      <c r="GE129" s="711"/>
      <c r="GF129" s="711"/>
      <c r="GG129" s="711"/>
      <c r="GH129" s="711"/>
      <c r="GI129" s="711"/>
      <c r="GJ129" s="711"/>
      <c r="GK129" s="711"/>
      <c r="GL129" s="711"/>
      <c r="GM129" s="711"/>
      <c r="GN129" s="711"/>
      <c r="GO129" s="711"/>
      <c r="GP129" s="711"/>
      <c r="GQ129" s="711"/>
      <c r="GR129" s="711"/>
      <c r="GS129" s="711"/>
      <c r="GT129" s="711"/>
      <c r="GU129" s="711"/>
      <c r="GV129" s="711"/>
      <c r="GW129" s="711"/>
      <c r="GX129" s="711"/>
      <c r="GY129" s="711"/>
      <c r="GZ129" s="711"/>
      <c r="HA129" s="711"/>
      <c r="HB129" s="711"/>
      <c r="HC129" s="711"/>
      <c r="HD129" s="711"/>
      <c r="HE129" s="711"/>
      <c r="HF129" s="711"/>
      <c r="HG129" s="711"/>
      <c r="HH129" s="711"/>
      <c r="HI129" s="711"/>
      <c r="HJ129" s="711"/>
      <c r="HK129" s="711"/>
      <c r="HL129" s="711"/>
      <c r="HM129" s="711"/>
      <c r="HN129" s="711"/>
      <c r="HO129" s="711"/>
      <c r="HP129" s="711"/>
      <c r="HQ129" s="711"/>
      <c r="HR129" s="711"/>
      <c r="HS129" s="711"/>
      <c r="HT129" s="711"/>
      <c r="HU129" s="711"/>
      <c r="HV129" s="711"/>
      <c r="HW129" s="711"/>
      <c r="HX129" s="711"/>
      <c r="HY129" s="711"/>
      <c r="HZ129" s="711"/>
      <c r="IA129" s="711"/>
      <c r="IB129" s="711"/>
      <c r="IC129" s="711"/>
      <c r="ID129" s="711"/>
      <c r="IE129" s="711"/>
      <c r="IF129" s="711"/>
      <c r="IG129" s="711"/>
      <c r="IH129" s="711"/>
      <c r="II129" s="711"/>
      <c r="IJ129" s="711"/>
      <c r="IK129" s="711"/>
      <c r="IL129" s="711"/>
      <c r="IM129" s="711"/>
      <c r="IN129" s="711"/>
      <c r="IO129" s="711"/>
      <c r="IP129" s="711"/>
      <c r="IQ129" s="711"/>
      <c r="IR129" s="711"/>
      <c r="IS129" s="711"/>
      <c r="IT129" s="711"/>
      <c r="IU129" s="711"/>
      <c r="IV129" s="711"/>
    </row>
    <row r="130" spans="1:256" ht="12.75" hidden="1" customHeight="1">
      <c r="A130" s="710"/>
      <c r="B130" s="707"/>
      <c r="C130" s="708"/>
      <c r="D130" s="691"/>
      <c r="E130" s="708"/>
      <c r="F130" s="708"/>
      <c r="G130" s="708"/>
      <c r="H130" s="708"/>
      <c r="I130" s="695"/>
      <c r="J130" s="708"/>
      <c r="K130" s="708"/>
      <c r="L130" s="693"/>
      <c r="M130" s="711"/>
      <c r="N130" s="711"/>
      <c r="O130" s="711"/>
      <c r="P130" s="711"/>
      <c r="Q130" s="711"/>
      <c r="R130" s="711"/>
      <c r="S130" s="711"/>
      <c r="T130" s="711"/>
      <c r="U130" s="711"/>
      <c r="V130" s="711"/>
      <c r="W130" s="711"/>
      <c r="X130" s="711"/>
      <c r="Y130" s="711"/>
      <c r="Z130" s="711"/>
      <c r="AA130" s="711"/>
      <c r="AB130" s="711"/>
      <c r="AC130" s="711"/>
      <c r="AD130" s="711"/>
      <c r="AE130" s="711"/>
      <c r="AF130" s="711"/>
      <c r="AG130" s="711"/>
      <c r="AH130" s="711"/>
      <c r="AI130" s="711"/>
      <c r="AJ130" s="711"/>
      <c r="AK130" s="711"/>
      <c r="AL130" s="711"/>
      <c r="AM130" s="711"/>
      <c r="AN130" s="711"/>
      <c r="AO130" s="711"/>
      <c r="AP130" s="711"/>
      <c r="AQ130" s="711"/>
      <c r="AR130" s="711"/>
      <c r="AS130" s="711"/>
      <c r="AT130" s="711"/>
      <c r="AU130" s="711"/>
      <c r="AV130" s="711"/>
      <c r="AW130" s="711"/>
      <c r="AX130" s="711"/>
      <c r="AY130" s="711"/>
      <c r="AZ130" s="711"/>
      <c r="BA130" s="711"/>
      <c r="BB130" s="711"/>
      <c r="BC130" s="711"/>
      <c r="BD130" s="711"/>
      <c r="BE130" s="711"/>
      <c r="BF130" s="711"/>
      <c r="BG130" s="711"/>
      <c r="BH130" s="711"/>
      <c r="BI130" s="711"/>
      <c r="BJ130" s="711"/>
      <c r="BK130" s="711"/>
      <c r="BL130" s="711"/>
      <c r="BM130" s="711"/>
      <c r="BN130" s="711"/>
      <c r="BO130" s="711"/>
      <c r="BP130" s="711"/>
      <c r="BQ130" s="711"/>
      <c r="BR130" s="711"/>
      <c r="BS130" s="711"/>
      <c r="BT130" s="711"/>
      <c r="BU130" s="711"/>
      <c r="BV130" s="711"/>
      <c r="BW130" s="711"/>
      <c r="BX130" s="711"/>
      <c r="BY130" s="711"/>
      <c r="BZ130" s="711"/>
      <c r="CA130" s="711"/>
      <c r="CB130" s="711"/>
      <c r="CC130" s="711"/>
      <c r="CD130" s="711"/>
      <c r="CE130" s="711"/>
      <c r="CF130" s="711"/>
      <c r="CG130" s="711"/>
      <c r="CH130" s="711"/>
      <c r="CI130" s="711"/>
      <c r="CJ130" s="711"/>
      <c r="CK130" s="711"/>
      <c r="CL130" s="711"/>
      <c r="CM130" s="711"/>
      <c r="CN130" s="711"/>
      <c r="CO130" s="711"/>
      <c r="CP130" s="711"/>
      <c r="CQ130" s="711"/>
      <c r="CR130" s="711"/>
      <c r="CS130" s="711"/>
      <c r="CT130" s="711"/>
      <c r="CU130" s="711"/>
      <c r="CV130" s="711"/>
      <c r="CW130" s="711"/>
      <c r="CX130" s="711"/>
      <c r="CY130" s="711"/>
      <c r="CZ130" s="711"/>
      <c r="DA130" s="711"/>
      <c r="DB130" s="711"/>
      <c r="DC130" s="711"/>
      <c r="DD130" s="711"/>
      <c r="DE130" s="711"/>
      <c r="DF130" s="711"/>
      <c r="DG130" s="711"/>
      <c r="DH130" s="711"/>
      <c r="DI130" s="711"/>
      <c r="DJ130" s="711"/>
      <c r="DK130" s="711"/>
      <c r="DL130" s="711"/>
      <c r="DM130" s="711"/>
      <c r="DN130" s="711"/>
      <c r="DO130" s="711"/>
      <c r="DP130" s="711"/>
      <c r="DQ130" s="711"/>
      <c r="DR130" s="711"/>
      <c r="DS130" s="711"/>
      <c r="DT130" s="711"/>
      <c r="DU130" s="711"/>
      <c r="DV130" s="711"/>
      <c r="DW130" s="711"/>
      <c r="DX130" s="711"/>
      <c r="DY130" s="711"/>
      <c r="DZ130" s="711"/>
      <c r="EA130" s="711"/>
      <c r="EB130" s="711"/>
      <c r="EC130" s="711"/>
      <c r="ED130" s="711"/>
      <c r="EE130" s="711"/>
      <c r="EF130" s="711"/>
      <c r="EG130" s="711"/>
      <c r="EH130" s="711"/>
      <c r="EI130" s="711"/>
      <c r="EJ130" s="711"/>
      <c r="EK130" s="711"/>
      <c r="EL130" s="711"/>
      <c r="EM130" s="711"/>
      <c r="EN130" s="711"/>
      <c r="EO130" s="711"/>
      <c r="EP130" s="711"/>
      <c r="EQ130" s="711"/>
      <c r="ER130" s="711"/>
      <c r="ES130" s="711"/>
      <c r="ET130" s="711"/>
      <c r="EU130" s="711"/>
      <c r="EV130" s="711"/>
      <c r="EW130" s="711"/>
      <c r="EX130" s="711"/>
      <c r="EY130" s="711"/>
      <c r="EZ130" s="711"/>
      <c r="FA130" s="711"/>
      <c r="FB130" s="711"/>
      <c r="FC130" s="711"/>
      <c r="FD130" s="711"/>
      <c r="FE130" s="711"/>
      <c r="FF130" s="711"/>
      <c r="FG130" s="711"/>
      <c r="FH130" s="711"/>
      <c r="FI130" s="711"/>
      <c r="FJ130" s="711"/>
      <c r="FK130" s="711"/>
      <c r="FL130" s="711"/>
      <c r="FM130" s="711"/>
      <c r="FN130" s="711"/>
      <c r="FO130" s="711"/>
      <c r="FP130" s="711"/>
      <c r="FQ130" s="711"/>
      <c r="FR130" s="711"/>
      <c r="FS130" s="711"/>
      <c r="FT130" s="711"/>
      <c r="FU130" s="711"/>
      <c r="FV130" s="711"/>
      <c r="FW130" s="711"/>
      <c r="FX130" s="711"/>
      <c r="FY130" s="711"/>
      <c r="FZ130" s="711"/>
      <c r="GA130" s="711"/>
      <c r="GB130" s="711"/>
      <c r="GC130" s="711"/>
      <c r="GD130" s="711"/>
      <c r="GE130" s="711"/>
      <c r="GF130" s="711"/>
      <c r="GG130" s="711"/>
      <c r="GH130" s="711"/>
      <c r="GI130" s="711"/>
      <c r="GJ130" s="711"/>
      <c r="GK130" s="711"/>
      <c r="GL130" s="711"/>
      <c r="GM130" s="711"/>
      <c r="GN130" s="711"/>
      <c r="GO130" s="711"/>
      <c r="GP130" s="711"/>
      <c r="GQ130" s="711"/>
      <c r="GR130" s="711"/>
      <c r="GS130" s="711"/>
      <c r="GT130" s="711"/>
      <c r="GU130" s="711"/>
      <c r="GV130" s="711"/>
      <c r="GW130" s="711"/>
      <c r="GX130" s="711"/>
      <c r="GY130" s="711"/>
      <c r="GZ130" s="711"/>
      <c r="HA130" s="711"/>
      <c r="HB130" s="711"/>
      <c r="HC130" s="711"/>
      <c r="HD130" s="711"/>
      <c r="HE130" s="711"/>
      <c r="HF130" s="711"/>
      <c r="HG130" s="711"/>
      <c r="HH130" s="711"/>
      <c r="HI130" s="711"/>
      <c r="HJ130" s="711"/>
      <c r="HK130" s="711"/>
      <c r="HL130" s="711"/>
      <c r="HM130" s="711"/>
      <c r="HN130" s="711"/>
      <c r="HO130" s="711"/>
      <c r="HP130" s="711"/>
      <c r="HQ130" s="711"/>
      <c r="HR130" s="711"/>
      <c r="HS130" s="711"/>
      <c r="HT130" s="711"/>
      <c r="HU130" s="711"/>
      <c r="HV130" s="711"/>
      <c r="HW130" s="711"/>
      <c r="HX130" s="711"/>
      <c r="HY130" s="711"/>
      <c r="HZ130" s="711"/>
      <c r="IA130" s="711"/>
      <c r="IB130" s="711"/>
      <c r="IC130" s="711"/>
      <c r="ID130" s="711"/>
      <c r="IE130" s="711"/>
      <c r="IF130" s="711"/>
      <c r="IG130" s="711"/>
      <c r="IH130" s="711"/>
      <c r="II130" s="711"/>
      <c r="IJ130" s="711"/>
      <c r="IK130" s="711"/>
      <c r="IL130" s="711"/>
      <c r="IM130" s="711"/>
      <c r="IN130" s="711"/>
      <c r="IO130" s="711"/>
      <c r="IP130" s="711"/>
      <c r="IQ130" s="711"/>
      <c r="IR130" s="711"/>
      <c r="IS130" s="711"/>
      <c r="IT130" s="711"/>
      <c r="IU130" s="711"/>
      <c r="IV130" s="711"/>
    </row>
    <row r="131" spans="1:256" ht="15.75" hidden="1" customHeight="1">
      <c r="A131" s="708" t="s">
        <v>345</v>
      </c>
      <c r="B131" s="707">
        <v>5770706.2000000002</v>
      </c>
      <c r="C131" s="708">
        <v>7356989.7000000002</v>
      </c>
      <c r="D131" s="691"/>
      <c r="E131" s="708">
        <f t="shared" ref="E131:E142" si="18">B131-C131</f>
        <v>-1586283.5</v>
      </c>
      <c r="F131" s="708">
        <v>1217519</v>
      </c>
      <c r="G131" s="708">
        <v>374756.4</v>
      </c>
      <c r="H131" s="708">
        <f t="shared" ref="H131:H141" si="19">F131+G131</f>
        <v>1592275.4</v>
      </c>
      <c r="I131" s="695"/>
      <c r="J131" s="708">
        <v>-5992.4</v>
      </c>
      <c r="K131" s="708">
        <f t="shared" ref="K131:K142" si="20">J131+H131</f>
        <v>1586283</v>
      </c>
      <c r="L131" s="693"/>
      <c r="M131" s="711"/>
      <c r="N131" s="711"/>
      <c r="O131" s="711"/>
      <c r="P131" s="711"/>
      <c r="Q131" s="711"/>
      <c r="R131" s="711"/>
      <c r="S131" s="711"/>
      <c r="T131" s="711"/>
      <c r="U131" s="711"/>
      <c r="V131" s="711"/>
      <c r="W131" s="711"/>
      <c r="X131" s="711"/>
      <c r="Y131" s="711"/>
      <c r="Z131" s="711"/>
      <c r="AA131" s="711"/>
      <c r="AB131" s="711"/>
      <c r="AC131" s="711"/>
      <c r="AD131" s="711"/>
      <c r="AE131" s="711"/>
      <c r="AF131" s="711"/>
      <c r="AG131" s="711"/>
      <c r="AH131" s="711"/>
      <c r="AI131" s="711"/>
      <c r="AJ131" s="711"/>
      <c r="AK131" s="711"/>
      <c r="AL131" s="711"/>
      <c r="AM131" s="711"/>
      <c r="AN131" s="711"/>
      <c r="AO131" s="711"/>
      <c r="AP131" s="711"/>
      <c r="AQ131" s="711"/>
      <c r="AR131" s="711"/>
      <c r="AS131" s="711"/>
      <c r="AT131" s="711"/>
      <c r="AU131" s="711"/>
      <c r="AV131" s="711"/>
      <c r="AW131" s="711"/>
      <c r="AX131" s="711"/>
      <c r="AY131" s="711"/>
      <c r="AZ131" s="711"/>
      <c r="BA131" s="711"/>
      <c r="BB131" s="711"/>
      <c r="BC131" s="711"/>
      <c r="BD131" s="711"/>
      <c r="BE131" s="711"/>
      <c r="BF131" s="711"/>
      <c r="BG131" s="711"/>
      <c r="BH131" s="711"/>
      <c r="BI131" s="711"/>
      <c r="BJ131" s="711"/>
      <c r="BK131" s="711"/>
      <c r="BL131" s="711"/>
      <c r="BM131" s="711"/>
      <c r="BN131" s="711"/>
      <c r="BO131" s="711"/>
      <c r="BP131" s="711"/>
      <c r="BQ131" s="711"/>
      <c r="BR131" s="711"/>
      <c r="BS131" s="711"/>
      <c r="BT131" s="711"/>
      <c r="BU131" s="711"/>
      <c r="BV131" s="711"/>
      <c r="BW131" s="711"/>
      <c r="BX131" s="711"/>
      <c r="BY131" s="711"/>
      <c r="BZ131" s="711"/>
      <c r="CA131" s="711"/>
      <c r="CB131" s="711"/>
      <c r="CC131" s="711"/>
      <c r="CD131" s="711"/>
      <c r="CE131" s="711"/>
      <c r="CF131" s="711"/>
      <c r="CG131" s="711"/>
      <c r="CH131" s="711"/>
      <c r="CI131" s="711"/>
      <c r="CJ131" s="711"/>
      <c r="CK131" s="711"/>
      <c r="CL131" s="711"/>
      <c r="CM131" s="711"/>
      <c r="CN131" s="711"/>
      <c r="CO131" s="711"/>
      <c r="CP131" s="711"/>
      <c r="CQ131" s="711"/>
      <c r="CR131" s="711"/>
      <c r="CS131" s="711"/>
      <c r="CT131" s="711"/>
      <c r="CU131" s="711"/>
      <c r="CV131" s="711"/>
      <c r="CW131" s="711"/>
      <c r="CX131" s="711"/>
      <c r="CY131" s="711"/>
      <c r="CZ131" s="711"/>
      <c r="DA131" s="711"/>
      <c r="DB131" s="711"/>
      <c r="DC131" s="711"/>
      <c r="DD131" s="711"/>
      <c r="DE131" s="711"/>
      <c r="DF131" s="711"/>
      <c r="DG131" s="711"/>
      <c r="DH131" s="711"/>
      <c r="DI131" s="711"/>
      <c r="DJ131" s="711"/>
      <c r="DK131" s="711"/>
      <c r="DL131" s="711"/>
      <c r="DM131" s="711"/>
      <c r="DN131" s="711"/>
      <c r="DO131" s="711"/>
      <c r="DP131" s="711"/>
      <c r="DQ131" s="711"/>
      <c r="DR131" s="711"/>
      <c r="DS131" s="711"/>
      <c r="DT131" s="711"/>
      <c r="DU131" s="711"/>
      <c r="DV131" s="711"/>
      <c r="DW131" s="711"/>
      <c r="DX131" s="711"/>
      <c r="DY131" s="711"/>
      <c r="DZ131" s="711"/>
      <c r="EA131" s="711"/>
      <c r="EB131" s="711"/>
      <c r="EC131" s="711"/>
      <c r="ED131" s="711"/>
      <c r="EE131" s="711"/>
      <c r="EF131" s="711"/>
      <c r="EG131" s="711"/>
      <c r="EH131" s="711"/>
      <c r="EI131" s="711"/>
      <c r="EJ131" s="711"/>
      <c r="EK131" s="711"/>
      <c r="EL131" s="711"/>
      <c r="EM131" s="711"/>
      <c r="EN131" s="711"/>
      <c r="EO131" s="711"/>
      <c r="EP131" s="711"/>
      <c r="EQ131" s="711"/>
      <c r="ER131" s="711"/>
      <c r="ES131" s="711"/>
      <c r="ET131" s="711"/>
      <c r="EU131" s="711"/>
      <c r="EV131" s="711"/>
      <c r="EW131" s="711"/>
      <c r="EX131" s="711"/>
      <c r="EY131" s="711"/>
      <c r="EZ131" s="711"/>
      <c r="FA131" s="711"/>
      <c r="FB131" s="711"/>
      <c r="FC131" s="711"/>
      <c r="FD131" s="711"/>
      <c r="FE131" s="711"/>
      <c r="FF131" s="711"/>
      <c r="FG131" s="711"/>
      <c r="FH131" s="711"/>
      <c r="FI131" s="711"/>
      <c r="FJ131" s="711"/>
      <c r="FK131" s="711"/>
      <c r="FL131" s="711"/>
      <c r="FM131" s="711"/>
      <c r="FN131" s="711"/>
      <c r="FO131" s="711"/>
      <c r="FP131" s="711"/>
      <c r="FQ131" s="711"/>
      <c r="FR131" s="711"/>
      <c r="FS131" s="711"/>
      <c r="FT131" s="711"/>
      <c r="FU131" s="711"/>
      <c r="FV131" s="711"/>
      <c r="FW131" s="711"/>
      <c r="FX131" s="711"/>
      <c r="FY131" s="711"/>
      <c r="FZ131" s="711"/>
      <c r="GA131" s="711"/>
      <c r="GB131" s="711"/>
      <c r="GC131" s="711"/>
      <c r="GD131" s="711"/>
      <c r="GE131" s="711"/>
      <c r="GF131" s="711"/>
      <c r="GG131" s="711"/>
      <c r="GH131" s="711"/>
      <c r="GI131" s="711"/>
      <c r="GJ131" s="711"/>
      <c r="GK131" s="711"/>
      <c r="GL131" s="711"/>
      <c r="GM131" s="711"/>
      <c r="GN131" s="711"/>
      <c r="GO131" s="711"/>
      <c r="GP131" s="711"/>
      <c r="GQ131" s="711"/>
      <c r="GR131" s="711"/>
      <c r="GS131" s="711"/>
      <c r="GT131" s="711"/>
      <c r="GU131" s="711"/>
      <c r="GV131" s="711"/>
      <c r="GW131" s="711"/>
      <c r="GX131" s="711"/>
      <c r="GY131" s="711"/>
      <c r="GZ131" s="711"/>
      <c r="HA131" s="711"/>
      <c r="HB131" s="711"/>
      <c r="HC131" s="711"/>
      <c r="HD131" s="711"/>
      <c r="HE131" s="711"/>
      <c r="HF131" s="711"/>
      <c r="HG131" s="711"/>
      <c r="HH131" s="711"/>
      <c r="HI131" s="711"/>
      <c r="HJ131" s="711"/>
      <c r="HK131" s="711"/>
      <c r="HL131" s="711"/>
      <c r="HM131" s="711"/>
      <c r="HN131" s="711"/>
      <c r="HO131" s="711"/>
      <c r="HP131" s="711"/>
      <c r="HQ131" s="711"/>
      <c r="HR131" s="711"/>
      <c r="HS131" s="711"/>
      <c r="HT131" s="711"/>
      <c r="HU131" s="711"/>
      <c r="HV131" s="711"/>
      <c r="HW131" s="711"/>
      <c r="HX131" s="711"/>
      <c r="HY131" s="711"/>
      <c r="HZ131" s="711"/>
      <c r="IA131" s="711"/>
      <c r="IB131" s="711"/>
      <c r="IC131" s="711"/>
      <c r="ID131" s="711"/>
      <c r="IE131" s="711"/>
      <c r="IF131" s="711"/>
      <c r="IG131" s="711"/>
      <c r="IH131" s="711"/>
      <c r="II131" s="711"/>
      <c r="IJ131" s="711"/>
      <c r="IK131" s="711"/>
      <c r="IL131" s="711"/>
      <c r="IM131" s="711"/>
      <c r="IN131" s="711"/>
      <c r="IO131" s="711"/>
      <c r="IP131" s="711"/>
      <c r="IQ131" s="711"/>
      <c r="IR131" s="711"/>
      <c r="IS131" s="711"/>
      <c r="IT131" s="711"/>
      <c r="IU131" s="711"/>
      <c r="IV131" s="711"/>
    </row>
    <row r="132" spans="1:256" ht="15.75" hidden="1" customHeight="1">
      <c r="A132" s="708" t="s">
        <v>334</v>
      </c>
      <c r="B132" s="707">
        <f>13093098.3+465.4</f>
        <v>13093563.700000001</v>
      </c>
      <c r="C132" s="708">
        <v>15564712.6</v>
      </c>
      <c r="D132" s="691"/>
      <c r="E132" s="708">
        <f t="shared" si="18"/>
        <v>-2471148.8999999985</v>
      </c>
      <c r="F132" s="708">
        <v>2666120.7000000002</v>
      </c>
      <c r="G132" s="708">
        <v>-235691.1</v>
      </c>
      <c r="H132" s="708">
        <f t="shared" si="19"/>
        <v>2430429.6</v>
      </c>
      <c r="I132" s="695"/>
      <c r="J132" s="708">
        <v>-7256.3</v>
      </c>
      <c r="K132" s="708">
        <f t="shared" si="20"/>
        <v>2423173.3000000003</v>
      </c>
      <c r="L132" s="693"/>
      <c r="M132" s="711"/>
      <c r="N132" s="711"/>
      <c r="O132" s="711"/>
      <c r="P132" s="711"/>
      <c r="Q132" s="711"/>
      <c r="R132" s="711"/>
      <c r="S132" s="711"/>
      <c r="T132" s="711"/>
      <c r="U132" s="711"/>
      <c r="V132" s="711"/>
      <c r="W132" s="711"/>
      <c r="X132" s="711"/>
      <c r="Y132" s="711"/>
      <c r="Z132" s="711"/>
      <c r="AA132" s="711"/>
      <c r="AB132" s="711"/>
      <c r="AC132" s="711"/>
      <c r="AD132" s="711"/>
      <c r="AE132" s="711"/>
      <c r="AF132" s="711"/>
      <c r="AG132" s="711"/>
      <c r="AH132" s="711"/>
      <c r="AI132" s="711"/>
      <c r="AJ132" s="711"/>
      <c r="AK132" s="711"/>
      <c r="AL132" s="711"/>
      <c r="AM132" s="711"/>
      <c r="AN132" s="711"/>
      <c r="AO132" s="711"/>
      <c r="AP132" s="711"/>
      <c r="AQ132" s="711"/>
      <c r="AR132" s="711"/>
      <c r="AS132" s="711"/>
      <c r="AT132" s="711"/>
      <c r="AU132" s="711"/>
      <c r="AV132" s="711"/>
      <c r="AW132" s="711"/>
      <c r="AX132" s="711"/>
      <c r="AY132" s="711"/>
      <c r="AZ132" s="711"/>
      <c r="BA132" s="711"/>
      <c r="BB132" s="711"/>
      <c r="BC132" s="711"/>
      <c r="BD132" s="711"/>
      <c r="BE132" s="711"/>
      <c r="BF132" s="711"/>
      <c r="BG132" s="711"/>
      <c r="BH132" s="711"/>
      <c r="BI132" s="711"/>
      <c r="BJ132" s="711"/>
      <c r="BK132" s="711"/>
      <c r="BL132" s="711"/>
      <c r="BM132" s="711"/>
      <c r="BN132" s="711"/>
      <c r="BO132" s="711"/>
      <c r="BP132" s="711"/>
      <c r="BQ132" s="711"/>
      <c r="BR132" s="711"/>
      <c r="BS132" s="711"/>
      <c r="BT132" s="711"/>
      <c r="BU132" s="711"/>
      <c r="BV132" s="711"/>
      <c r="BW132" s="711"/>
      <c r="BX132" s="711"/>
      <c r="BY132" s="711"/>
      <c r="BZ132" s="711"/>
      <c r="CA132" s="711"/>
      <c r="CB132" s="711"/>
      <c r="CC132" s="711"/>
      <c r="CD132" s="711"/>
      <c r="CE132" s="711"/>
      <c r="CF132" s="711"/>
      <c r="CG132" s="711"/>
      <c r="CH132" s="711"/>
      <c r="CI132" s="711"/>
      <c r="CJ132" s="711"/>
      <c r="CK132" s="711"/>
      <c r="CL132" s="711"/>
      <c r="CM132" s="711"/>
      <c r="CN132" s="711"/>
      <c r="CO132" s="711"/>
      <c r="CP132" s="711"/>
      <c r="CQ132" s="711"/>
      <c r="CR132" s="711"/>
      <c r="CS132" s="711"/>
      <c r="CT132" s="711"/>
      <c r="CU132" s="711"/>
      <c r="CV132" s="711"/>
      <c r="CW132" s="711"/>
      <c r="CX132" s="711"/>
      <c r="CY132" s="711"/>
      <c r="CZ132" s="711"/>
      <c r="DA132" s="711"/>
      <c r="DB132" s="711"/>
      <c r="DC132" s="711"/>
      <c r="DD132" s="711"/>
      <c r="DE132" s="711"/>
      <c r="DF132" s="711"/>
      <c r="DG132" s="711"/>
      <c r="DH132" s="711"/>
      <c r="DI132" s="711"/>
      <c r="DJ132" s="711"/>
      <c r="DK132" s="711"/>
      <c r="DL132" s="711"/>
      <c r="DM132" s="711"/>
      <c r="DN132" s="711"/>
      <c r="DO132" s="711"/>
      <c r="DP132" s="711"/>
      <c r="DQ132" s="711"/>
      <c r="DR132" s="711"/>
      <c r="DS132" s="711"/>
      <c r="DT132" s="711"/>
      <c r="DU132" s="711"/>
      <c r="DV132" s="711"/>
      <c r="DW132" s="711"/>
      <c r="DX132" s="711"/>
      <c r="DY132" s="711"/>
      <c r="DZ132" s="711"/>
      <c r="EA132" s="711"/>
      <c r="EB132" s="711"/>
      <c r="EC132" s="711"/>
      <c r="ED132" s="711"/>
      <c r="EE132" s="711"/>
      <c r="EF132" s="711"/>
      <c r="EG132" s="711"/>
      <c r="EH132" s="711"/>
      <c r="EI132" s="711"/>
      <c r="EJ132" s="711"/>
      <c r="EK132" s="711"/>
      <c r="EL132" s="711"/>
      <c r="EM132" s="711"/>
      <c r="EN132" s="711"/>
      <c r="EO132" s="711"/>
      <c r="EP132" s="711"/>
      <c r="EQ132" s="711"/>
      <c r="ER132" s="711"/>
      <c r="ES132" s="711"/>
      <c r="ET132" s="711"/>
      <c r="EU132" s="711"/>
      <c r="EV132" s="711"/>
      <c r="EW132" s="711"/>
      <c r="EX132" s="711"/>
      <c r="EY132" s="711"/>
      <c r="EZ132" s="711"/>
      <c r="FA132" s="711"/>
      <c r="FB132" s="711"/>
      <c r="FC132" s="711"/>
      <c r="FD132" s="711"/>
      <c r="FE132" s="711"/>
      <c r="FF132" s="711"/>
      <c r="FG132" s="711"/>
      <c r="FH132" s="711"/>
      <c r="FI132" s="711"/>
      <c r="FJ132" s="711"/>
      <c r="FK132" s="711"/>
      <c r="FL132" s="711"/>
      <c r="FM132" s="711"/>
      <c r="FN132" s="711"/>
      <c r="FO132" s="711"/>
      <c r="FP132" s="711"/>
      <c r="FQ132" s="711"/>
      <c r="FR132" s="711"/>
      <c r="FS132" s="711"/>
      <c r="FT132" s="711"/>
      <c r="FU132" s="711"/>
      <c r="FV132" s="711"/>
      <c r="FW132" s="711"/>
      <c r="FX132" s="711"/>
      <c r="FY132" s="711"/>
      <c r="FZ132" s="711"/>
      <c r="GA132" s="711"/>
      <c r="GB132" s="711"/>
      <c r="GC132" s="711"/>
      <c r="GD132" s="711"/>
      <c r="GE132" s="711"/>
      <c r="GF132" s="711"/>
      <c r="GG132" s="711"/>
      <c r="GH132" s="711"/>
      <c r="GI132" s="711"/>
      <c r="GJ132" s="711"/>
      <c r="GK132" s="711"/>
      <c r="GL132" s="711"/>
      <c r="GM132" s="711"/>
      <c r="GN132" s="711"/>
      <c r="GO132" s="711"/>
      <c r="GP132" s="711"/>
      <c r="GQ132" s="711"/>
      <c r="GR132" s="711"/>
      <c r="GS132" s="711"/>
      <c r="GT132" s="711"/>
      <c r="GU132" s="711"/>
      <c r="GV132" s="711"/>
      <c r="GW132" s="711"/>
      <c r="GX132" s="711"/>
      <c r="GY132" s="711"/>
      <c r="GZ132" s="711"/>
      <c r="HA132" s="711"/>
      <c r="HB132" s="711"/>
      <c r="HC132" s="711"/>
      <c r="HD132" s="711"/>
      <c r="HE132" s="711"/>
      <c r="HF132" s="711"/>
      <c r="HG132" s="711"/>
      <c r="HH132" s="711"/>
      <c r="HI132" s="711"/>
      <c r="HJ132" s="711"/>
      <c r="HK132" s="711"/>
      <c r="HL132" s="711"/>
      <c r="HM132" s="711"/>
      <c r="HN132" s="711"/>
      <c r="HO132" s="711"/>
      <c r="HP132" s="711"/>
      <c r="HQ132" s="711"/>
      <c r="HR132" s="711"/>
      <c r="HS132" s="711"/>
      <c r="HT132" s="711"/>
      <c r="HU132" s="711"/>
      <c r="HV132" s="711"/>
      <c r="HW132" s="711"/>
      <c r="HX132" s="711"/>
      <c r="HY132" s="711"/>
      <c r="HZ132" s="711"/>
      <c r="IA132" s="711"/>
      <c r="IB132" s="711"/>
      <c r="IC132" s="711"/>
      <c r="ID132" s="711"/>
      <c r="IE132" s="711"/>
      <c r="IF132" s="711"/>
      <c r="IG132" s="711"/>
      <c r="IH132" s="711"/>
      <c r="II132" s="711"/>
      <c r="IJ132" s="711"/>
      <c r="IK132" s="711"/>
      <c r="IL132" s="711"/>
      <c r="IM132" s="711"/>
      <c r="IN132" s="711"/>
      <c r="IO132" s="711"/>
      <c r="IP132" s="711"/>
      <c r="IQ132" s="711"/>
      <c r="IR132" s="711"/>
      <c r="IS132" s="711"/>
      <c r="IT132" s="711"/>
      <c r="IU132" s="711"/>
      <c r="IV132" s="711"/>
    </row>
    <row r="133" spans="1:256" ht="15.75" hidden="1" customHeight="1">
      <c r="A133" s="708" t="s">
        <v>335</v>
      </c>
      <c r="B133" s="707">
        <f>26729392.2+554.1</f>
        <v>26729946.300000001</v>
      </c>
      <c r="C133" s="708">
        <v>26928065.5</v>
      </c>
      <c r="D133" s="691"/>
      <c r="E133" s="708">
        <f t="shared" si="18"/>
        <v>-198119.19999999925</v>
      </c>
      <c r="F133" s="708">
        <v>141325</v>
      </c>
      <c r="G133" s="708">
        <v>64039.1</v>
      </c>
      <c r="H133" s="708">
        <f t="shared" si="19"/>
        <v>205364.1</v>
      </c>
      <c r="I133" s="695"/>
      <c r="J133" s="708">
        <v>-7256.3</v>
      </c>
      <c r="K133" s="708">
        <f t="shared" si="20"/>
        <v>198107.80000000002</v>
      </c>
      <c r="L133" s="693"/>
      <c r="M133" s="711"/>
      <c r="N133" s="711"/>
      <c r="O133" s="711"/>
      <c r="P133" s="711"/>
      <c r="Q133" s="711"/>
      <c r="R133" s="711"/>
      <c r="S133" s="711"/>
      <c r="T133" s="711"/>
      <c r="U133" s="711"/>
      <c r="V133" s="711"/>
      <c r="W133" s="711"/>
      <c r="X133" s="711"/>
      <c r="Y133" s="711"/>
      <c r="Z133" s="711"/>
      <c r="AA133" s="711"/>
      <c r="AB133" s="711"/>
      <c r="AC133" s="711"/>
      <c r="AD133" s="711"/>
      <c r="AE133" s="711"/>
      <c r="AF133" s="711"/>
      <c r="AG133" s="711"/>
      <c r="AH133" s="711"/>
      <c r="AI133" s="711"/>
      <c r="AJ133" s="711"/>
      <c r="AK133" s="711"/>
      <c r="AL133" s="711"/>
      <c r="AM133" s="711"/>
      <c r="AN133" s="711"/>
      <c r="AO133" s="711"/>
      <c r="AP133" s="711"/>
      <c r="AQ133" s="711"/>
      <c r="AR133" s="711"/>
      <c r="AS133" s="711"/>
      <c r="AT133" s="711"/>
      <c r="AU133" s="711"/>
      <c r="AV133" s="711"/>
      <c r="AW133" s="711"/>
      <c r="AX133" s="711"/>
      <c r="AY133" s="711"/>
      <c r="AZ133" s="711"/>
      <c r="BA133" s="711"/>
      <c r="BB133" s="711"/>
      <c r="BC133" s="711"/>
      <c r="BD133" s="711"/>
      <c r="BE133" s="711"/>
      <c r="BF133" s="711"/>
      <c r="BG133" s="711"/>
      <c r="BH133" s="711"/>
      <c r="BI133" s="711"/>
      <c r="BJ133" s="711"/>
      <c r="BK133" s="711"/>
      <c r="BL133" s="711"/>
      <c r="BM133" s="711"/>
      <c r="BN133" s="711"/>
      <c r="BO133" s="711"/>
      <c r="BP133" s="711"/>
      <c r="BQ133" s="711"/>
      <c r="BR133" s="711"/>
      <c r="BS133" s="711"/>
      <c r="BT133" s="711"/>
      <c r="BU133" s="711"/>
      <c r="BV133" s="711"/>
      <c r="BW133" s="711"/>
      <c r="BX133" s="711"/>
      <c r="BY133" s="711"/>
      <c r="BZ133" s="711"/>
      <c r="CA133" s="711"/>
      <c r="CB133" s="711"/>
      <c r="CC133" s="711"/>
      <c r="CD133" s="711"/>
      <c r="CE133" s="711"/>
      <c r="CF133" s="711"/>
      <c r="CG133" s="711"/>
      <c r="CH133" s="711"/>
      <c r="CI133" s="711"/>
      <c r="CJ133" s="711"/>
      <c r="CK133" s="711"/>
      <c r="CL133" s="711"/>
      <c r="CM133" s="711"/>
      <c r="CN133" s="711"/>
      <c r="CO133" s="711"/>
      <c r="CP133" s="711"/>
      <c r="CQ133" s="711"/>
      <c r="CR133" s="711"/>
      <c r="CS133" s="711"/>
      <c r="CT133" s="711"/>
      <c r="CU133" s="711"/>
      <c r="CV133" s="711"/>
      <c r="CW133" s="711"/>
      <c r="CX133" s="711"/>
      <c r="CY133" s="711"/>
      <c r="CZ133" s="711"/>
      <c r="DA133" s="711"/>
      <c r="DB133" s="711"/>
      <c r="DC133" s="711"/>
      <c r="DD133" s="711"/>
      <c r="DE133" s="711"/>
      <c r="DF133" s="711"/>
      <c r="DG133" s="711"/>
      <c r="DH133" s="711"/>
      <c r="DI133" s="711"/>
      <c r="DJ133" s="711"/>
      <c r="DK133" s="711"/>
      <c r="DL133" s="711"/>
      <c r="DM133" s="711"/>
      <c r="DN133" s="711"/>
      <c r="DO133" s="711"/>
      <c r="DP133" s="711"/>
      <c r="DQ133" s="711"/>
      <c r="DR133" s="711"/>
      <c r="DS133" s="711"/>
      <c r="DT133" s="711"/>
      <c r="DU133" s="711"/>
      <c r="DV133" s="711"/>
      <c r="DW133" s="711"/>
      <c r="DX133" s="711"/>
      <c r="DY133" s="711"/>
      <c r="DZ133" s="711"/>
      <c r="EA133" s="711"/>
      <c r="EB133" s="711"/>
      <c r="EC133" s="711"/>
      <c r="ED133" s="711"/>
      <c r="EE133" s="711"/>
      <c r="EF133" s="711"/>
      <c r="EG133" s="711"/>
      <c r="EH133" s="711"/>
      <c r="EI133" s="711"/>
      <c r="EJ133" s="711"/>
      <c r="EK133" s="711"/>
      <c r="EL133" s="711"/>
      <c r="EM133" s="711"/>
      <c r="EN133" s="711"/>
      <c r="EO133" s="711"/>
      <c r="EP133" s="711"/>
      <c r="EQ133" s="711"/>
      <c r="ER133" s="711"/>
      <c r="ES133" s="711"/>
      <c r="ET133" s="711"/>
      <c r="EU133" s="711"/>
      <c r="EV133" s="711"/>
      <c r="EW133" s="711"/>
      <c r="EX133" s="711"/>
      <c r="EY133" s="711"/>
      <c r="EZ133" s="711"/>
      <c r="FA133" s="711"/>
      <c r="FB133" s="711"/>
      <c r="FC133" s="711"/>
      <c r="FD133" s="711"/>
      <c r="FE133" s="711"/>
      <c r="FF133" s="711"/>
      <c r="FG133" s="711"/>
      <c r="FH133" s="711"/>
      <c r="FI133" s="711"/>
      <c r="FJ133" s="711"/>
      <c r="FK133" s="711"/>
      <c r="FL133" s="711"/>
      <c r="FM133" s="711"/>
      <c r="FN133" s="711"/>
      <c r="FO133" s="711"/>
      <c r="FP133" s="711"/>
      <c r="FQ133" s="711"/>
      <c r="FR133" s="711"/>
      <c r="FS133" s="711"/>
      <c r="FT133" s="711"/>
      <c r="FU133" s="711"/>
      <c r="FV133" s="711"/>
      <c r="FW133" s="711"/>
      <c r="FX133" s="711"/>
      <c r="FY133" s="711"/>
      <c r="FZ133" s="711"/>
      <c r="GA133" s="711"/>
      <c r="GB133" s="711"/>
      <c r="GC133" s="711"/>
      <c r="GD133" s="711"/>
      <c r="GE133" s="711"/>
      <c r="GF133" s="711"/>
      <c r="GG133" s="711"/>
      <c r="GH133" s="711"/>
      <c r="GI133" s="711"/>
      <c r="GJ133" s="711"/>
      <c r="GK133" s="711"/>
      <c r="GL133" s="711"/>
      <c r="GM133" s="711"/>
      <c r="GN133" s="711"/>
      <c r="GO133" s="711"/>
      <c r="GP133" s="711"/>
      <c r="GQ133" s="711"/>
      <c r="GR133" s="711"/>
      <c r="GS133" s="711"/>
      <c r="GT133" s="711"/>
      <c r="GU133" s="711"/>
      <c r="GV133" s="711"/>
      <c r="GW133" s="711"/>
      <c r="GX133" s="711"/>
      <c r="GY133" s="711"/>
      <c r="GZ133" s="711"/>
      <c r="HA133" s="711"/>
      <c r="HB133" s="711"/>
      <c r="HC133" s="711"/>
      <c r="HD133" s="711"/>
      <c r="HE133" s="711"/>
      <c r="HF133" s="711"/>
      <c r="HG133" s="711"/>
      <c r="HH133" s="711"/>
      <c r="HI133" s="711"/>
      <c r="HJ133" s="711"/>
      <c r="HK133" s="711"/>
      <c r="HL133" s="711"/>
      <c r="HM133" s="711"/>
      <c r="HN133" s="711"/>
      <c r="HO133" s="711"/>
      <c r="HP133" s="711"/>
      <c r="HQ133" s="711"/>
      <c r="HR133" s="711"/>
      <c r="HS133" s="711"/>
      <c r="HT133" s="711"/>
      <c r="HU133" s="711"/>
      <c r="HV133" s="711"/>
      <c r="HW133" s="711"/>
      <c r="HX133" s="711"/>
      <c r="HY133" s="711"/>
      <c r="HZ133" s="711"/>
      <c r="IA133" s="711"/>
      <c r="IB133" s="711"/>
      <c r="IC133" s="711"/>
      <c r="ID133" s="711"/>
      <c r="IE133" s="711"/>
      <c r="IF133" s="711"/>
      <c r="IG133" s="711"/>
      <c r="IH133" s="711"/>
      <c r="II133" s="711"/>
      <c r="IJ133" s="711"/>
      <c r="IK133" s="711"/>
      <c r="IL133" s="711"/>
      <c r="IM133" s="711"/>
      <c r="IN133" s="711"/>
      <c r="IO133" s="711"/>
      <c r="IP133" s="711"/>
      <c r="IQ133" s="711"/>
      <c r="IR133" s="711"/>
      <c r="IS133" s="711"/>
      <c r="IT133" s="711"/>
      <c r="IU133" s="711"/>
      <c r="IV133" s="711"/>
    </row>
    <row r="134" spans="1:256" ht="15.75" hidden="1" customHeight="1">
      <c r="A134" s="708" t="s">
        <v>336</v>
      </c>
      <c r="B134" s="707">
        <f>39400781.7+554.1</f>
        <v>39401335.800000004</v>
      </c>
      <c r="C134" s="708">
        <v>38316886.5</v>
      </c>
      <c r="D134" s="691"/>
      <c r="E134" s="708">
        <f t="shared" si="18"/>
        <v>1084449.3000000045</v>
      </c>
      <c r="F134" s="708">
        <v>570222.5</v>
      </c>
      <c r="G134" s="708">
        <v>-1559392.4</v>
      </c>
      <c r="H134" s="708">
        <f t="shared" si="19"/>
        <v>-989169.89999999991</v>
      </c>
      <c r="I134" s="695"/>
      <c r="J134" s="708">
        <v>-95280.6</v>
      </c>
      <c r="K134" s="708">
        <f t="shared" si="20"/>
        <v>-1084450.5</v>
      </c>
      <c r="L134" s="693"/>
      <c r="M134" s="711"/>
      <c r="N134" s="711"/>
      <c r="O134" s="711"/>
      <c r="P134" s="711"/>
      <c r="Q134" s="711"/>
      <c r="R134" s="711"/>
      <c r="S134" s="711"/>
      <c r="T134" s="711"/>
      <c r="U134" s="711"/>
      <c r="V134" s="711"/>
      <c r="W134" s="711"/>
      <c r="X134" s="711"/>
      <c r="Y134" s="711"/>
      <c r="Z134" s="711"/>
      <c r="AA134" s="711"/>
      <c r="AB134" s="711"/>
      <c r="AC134" s="711"/>
      <c r="AD134" s="711"/>
      <c r="AE134" s="711"/>
      <c r="AF134" s="711"/>
      <c r="AG134" s="711"/>
      <c r="AH134" s="711"/>
      <c r="AI134" s="711"/>
      <c r="AJ134" s="711"/>
      <c r="AK134" s="711"/>
      <c r="AL134" s="711"/>
      <c r="AM134" s="711"/>
      <c r="AN134" s="711"/>
      <c r="AO134" s="711"/>
      <c r="AP134" s="711"/>
      <c r="AQ134" s="711"/>
      <c r="AR134" s="711"/>
      <c r="AS134" s="711"/>
      <c r="AT134" s="711"/>
      <c r="AU134" s="711"/>
      <c r="AV134" s="711"/>
      <c r="AW134" s="711"/>
      <c r="AX134" s="711"/>
      <c r="AY134" s="711"/>
      <c r="AZ134" s="711"/>
      <c r="BA134" s="711"/>
      <c r="BB134" s="711"/>
      <c r="BC134" s="711"/>
      <c r="BD134" s="711"/>
      <c r="BE134" s="711"/>
      <c r="BF134" s="711"/>
      <c r="BG134" s="711"/>
      <c r="BH134" s="711"/>
      <c r="BI134" s="711"/>
      <c r="BJ134" s="711"/>
      <c r="BK134" s="711"/>
      <c r="BL134" s="711"/>
      <c r="BM134" s="711"/>
      <c r="BN134" s="711"/>
      <c r="BO134" s="711"/>
      <c r="BP134" s="711"/>
      <c r="BQ134" s="711"/>
      <c r="BR134" s="711"/>
      <c r="BS134" s="711"/>
      <c r="BT134" s="711"/>
      <c r="BU134" s="711"/>
      <c r="BV134" s="711"/>
      <c r="BW134" s="711"/>
      <c r="BX134" s="711"/>
      <c r="BY134" s="711"/>
      <c r="BZ134" s="711"/>
      <c r="CA134" s="711"/>
      <c r="CB134" s="711"/>
      <c r="CC134" s="711"/>
      <c r="CD134" s="711"/>
      <c r="CE134" s="711"/>
      <c r="CF134" s="711"/>
      <c r="CG134" s="711"/>
      <c r="CH134" s="711"/>
      <c r="CI134" s="711"/>
      <c r="CJ134" s="711"/>
      <c r="CK134" s="711"/>
      <c r="CL134" s="711"/>
      <c r="CM134" s="711"/>
      <c r="CN134" s="711"/>
      <c r="CO134" s="711"/>
      <c r="CP134" s="711"/>
      <c r="CQ134" s="711"/>
      <c r="CR134" s="711"/>
      <c r="CS134" s="711"/>
      <c r="CT134" s="711"/>
      <c r="CU134" s="711"/>
      <c r="CV134" s="711"/>
      <c r="CW134" s="711"/>
      <c r="CX134" s="711"/>
      <c r="CY134" s="711"/>
      <c r="CZ134" s="711"/>
      <c r="DA134" s="711"/>
      <c r="DB134" s="711"/>
      <c r="DC134" s="711"/>
      <c r="DD134" s="711"/>
      <c r="DE134" s="711"/>
      <c r="DF134" s="711"/>
      <c r="DG134" s="711"/>
      <c r="DH134" s="711"/>
      <c r="DI134" s="711"/>
      <c r="DJ134" s="711"/>
      <c r="DK134" s="711"/>
      <c r="DL134" s="711"/>
      <c r="DM134" s="711"/>
      <c r="DN134" s="711"/>
      <c r="DO134" s="711"/>
      <c r="DP134" s="711"/>
      <c r="DQ134" s="711"/>
      <c r="DR134" s="711"/>
      <c r="DS134" s="711"/>
      <c r="DT134" s="711"/>
      <c r="DU134" s="711"/>
      <c r="DV134" s="711"/>
      <c r="DW134" s="711"/>
      <c r="DX134" s="711"/>
      <c r="DY134" s="711"/>
      <c r="DZ134" s="711"/>
      <c r="EA134" s="711"/>
      <c r="EB134" s="711"/>
      <c r="EC134" s="711"/>
      <c r="ED134" s="711"/>
      <c r="EE134" s="711"/>
      <c r="EF134" s="711"/>
      <c r="EG134" s="711"/>
      <c r="EH134" s="711"/>
      <c r="EI134" s="711"/>
      <c r="EJ134" s="711"/>
      <c r="EK134" s="711"/>
      <c r="EL134" s="711"/>
      <c r="EM134" s="711"/>
      <c r="EN134" s="711"/>
      <c r="EO134" s="711"/>
      <c r="EP134" s="711"/>
      <c r="EQ134" s="711"/>
      <c r="ER134" s="711"/>
      <c r="ES134" s="711"/>
      <c r="ET134" s="711"/>
      <c r="EU134" s="711"/>
      <c r="EV134" s="711"/>
      <c r="EW134" s="711"/>
      <c r="EX134" s="711"/>
      <c r="EY134" s="711"/>
      <c r="EZ134" s="711"/>
      <c r="FA134" s="711"/>
      <c r="FB134" s="711"/>
      <c r="FC134" s="711"/>
      <c r="FD134" s="711"/>
      <c r="FE134" s="711"/>
      <c r="FF134" s="711"/>
      <c r="FG134" s="711"/>
      <c r="FH134" s="711"/>
      <c r="FI134" s="711"/>
      <c r="FJ134" s="711"/>
      <c r="FK134" s="711"/>
      <c r="FL134" s="711"/>
      <c r="FM134" s="711"/>
      <c r="FN134" s="711"/>
      <c r="FO134" s="711"/>
      <c r="FP134" s="711"/>
      <c r="FQ134" s="711"/>
      <c r="FR134" s="711"/>
      <c r="FS134" s="711"/>
      <c r="FT134" s="711"/>
      <c r="FU134" s="711"/>
      <c r="FV134" s="711"/>
      <c r="FW134" s="711"/>
      <c r="FX134" s="711"/>
      <c r="FY134" s="711"/>
      <c r="FZ134" s="711"/>
      <c r="GA134" s="711"/>
      <c r="GB134" s="711"/>
      <c r="GC134" s="711"/>
      <c r="GD134" s="711"/>
      <c r="GE134" s="711"/>
      <c r="GF134" s="711"/>
      <c r="GG134" s="711"/>
      <c r="GH134" s="711"/>
      <c r="GI134" s="711"/>
      <c r="GJ134" s="711"/>
      <c r="GK134" s="711"/>
      <c r="GL134" s="711"/>
      <c r="GM134" s="711"/>
      <c r="GN134" s="711"/>
      <c r="GO134" s="711"/>
      <c r="GP134" s="711"/>
      <c r="GQ134" s="711"/>
      <c r="GR134" s="711"/>
      <c r="GS134" s="711"/>
      <c r="GT134" s="711"/>
      <c r="GU134" s="711"/>
      <c r="GV134" s="711"/>
      <c r="GW134" s="711"/>
      <c r="GX134" s="711"/>
      <c r="GY134" s="711"/>
      <c r="GZ134" s="711"/>
      <c r="HA134" s="711"/>
      <c r="HB134" s="711"/>
      <c r="HC134" s="711"/>
      <c r="HD134" s="711"/>
      <c r="HE134" s="711"/>
      <c r="HF134" s="711"/>
      <c r="HG134" s="711"/>
      <c r="HH134" s="711"/>
      <c r="HI134" s="711"/>
      <c r="HJ134" s="711"/>
      <c r="HK134" s="711"/>
      <c r="HL134" s="711"/>
      <c r="HM134" s="711"/>
      <c r="HN134" s="711"/>
      <c r="HO134" s="711"/>
      <c r="HP134" s="711"/>
      <c r="HQ134" s="711"/>
      <c r="HR134" s="711"/>
      <c r="HS134" s="711"/>
      <c r="HT134" s="711"/>
      <c r="HU134" s="711"/>
      <c r="HV134" s="711"/>
      <c r="HW134" s="711"/>
      <c r="HX134" s="711"/>
      <c r="HY134" s="711"/>
      <c r="HZ134" s="711"/>
      <c r="IA134" s="711"/>
      <c r="IB134" s="711"/>
      <c r="IC134" s="711"/>
      <c r="ID134" s="711"/>
      <c r="IE134" s="711"/>
      <c r="IF134" s="711"/>
      <c r="IG134" s="711"/>
      <c r="IH134" s="711"/>
      <c r="II134" s="711"/>
      <c r="IJ134" s="711"/>
      <c r="IK134" s="711"/>
      <c r="IL134" s="711"/>
      <c r="IM134" s="711"/>
      <c r="IN134" s="711"/>
      <c r="IO134" s="711"/>
      <c r="IP134" s="711"/>
      <c r="IQ134" s="711"/>
      <c r="IR134" s="711"/>
      <c r="IS134" s="711"/>
      <c r="IT134" s="711"/>
      <c r="IU134" s="711"/>
      <c r="IV134" s="711"/>
    </row>
    <row r="135" spans="1:256" ht="15.75" hidden="1" customHeight="1">
      <c r="A135" s="708" t="s">
        <v>337</v>
      </c>
      <c r="B135" s="707">
        <f>50155914.8+554.1</f>
        <v>50156468.899999999</v>
      </c>
      <c r="C135" s="708">
        <v>58993286.899999999</v>
      </c>
      <c r="D135" s="691"/>
      <c r="E135" s="708">
        <f t="shared" si="18"/>
        <v>-8836818</v>
      </c>
      <c r="F135" s="708">
        <v>9204719.5</v>
      </c>
      <c r="G135" s="708">
        <v>-178277.2</v>
      </c>
      <c r="H135" s="708">
        <f t="shared" si="19"/>
        <v>9026442.3000000007</v>
      </c>
      <c r="I135" s="695"/>
      <c r="J135" s="708">
        <v>-189624.8</v>
      </c>
      <c r="K135" s="708">
        <f t="shared" si="20"/>
        <v>8836817.5</v>
      </c>
      <c r="L135" s="693"/>
      <c r="M135" s="711"/>
      <c r="N135" s="711"/>
      <c r="O135" s="711"/>
      <c r="P135" s="711"/>
      <c r="Q135" s="711"/>
      <c r="R135" s="711"/>
      <c r="S135" s="711"/>
      <c r="T135" s="711"/>
      <c r="U135" s="711"/>
      <c r="V135" s="711"/>
      <c r="W135" s="711"/>
      <c r="X135" s="711"/>
      <c r="Y135" s="711"/>
      <c r="Z135" s="711"/>
      <c r="AA135" s="711"/>
      <c r="AB135" s="711"/>
      <c r="AC135" s="711"/>
      <c r="AD135" s="711"/>
      <c r="AE135" s="711"/>
      <c r="AF135" s="711"/>
      <c r="AG135" s="711"/>
      <c r="AH135" s="711"/>
      <c r="AI135" s="711"/>
      <c r="AJ135" s="711"/>
      <c r="AK135" s="711"/>
      <c r="AL135" s="711"/>
      <c r="AM135" s="711"/>
      <c r="AN135" s="711"/>
      <c r="AO135" s="711"/>
      <c r="AP135" s="711"/>
      <c r="AQ135" s="711"/>
      <c r="AR135" s="711"/>
      <c r="AS135" s="711"/>
      <c r="AT135" s="711"/>
      <c r="AU135" s="711"/>
      <c r="AV135" s="711"/>
      <c r="AW135" s="711"/>
      <c r="AX135" s="711"/>
      <c r="AY135" s="711"/>
      <c r="AZ135" s="711"/>
      <c r="BA135" s="711"/>
      <c r="BB135" s="711"/>
      <c r="BC135" s="711"/>
      <c r="BD135" s="711"/>
      <c r="BE135" s="711"/>
      <c r="BF135" s="711"/>
      <c r="BG135" s="711"/>
      <c r="BH135" s="711"/>
      <c r="BI135" s="711"/>
      <c r="BJ135" s="711"/>
      <c r="BK135" s="711"/>
      <c r="BL135" s="711"/>
      <c r="BM135" s="711"/>
      <c r="BN135" s="711"/>
      <c r="BO135" s="711"/>
      <c r="BP135" s="711"/>
      <c r="BQ135" s="711"/>
      <c r="BR135" s="711"/>
      <c r="BS135" s="711"/>
      <c r="BT135" s="711"/>
      <c r="BU135" s="711"/>
      <c r="BV135" s="711"/>
      <c r="BW135" s="711"/>
      <c r="BX135" s="711"/>
      <c r="BY135" s="711"/>
      <c r="BZ135" s="711"/>
      <c r="CA135" s="711"/>
      <c r="CB135" s="711"/>
      <c r="CC135" s="711"/>
      <c r="CD135" s="711"/>
      <c r="CE135" s="711"/>
      <c r="CF135" s="711"/>
      <c r="CG135" s="711"/>
      <c r="CH135" s="711"/>
      <c r="CI135" s="711"/>
      <c r="CJ135" s="711"/>
      <c r="CK135" s="711"/>
      <c r="CL135" s="711"/>
      <c r="CM135" s="711"/>
      <c r="CN135" s="711"/>
      <c r="CO135" s="711"/>
      <c r="CP135" s="711"/>
      <c r="CQ135" s="711"/>
      <c r="CR135" s="711"/>
      <c r="CS135" s="711"/>
      <c r="CT135" s="711"/>
      <c r="CU135" s="711"/>
      <c r="CV135" s="711"/>
      <c r="CW135" s="711"/>
      <c r="CX135" s="711"/>
      <c r="CY135" s="711"/>
      <c r="CZ135" s="711"/>
      <c r="DA135" s="711"/>
      <c r="DB135" s="711"/>
      <c r="DC135" s="711"/>
      <c r="DD135" s="711"/>
      <c r="DE135" s="711"/>
      <c r="DF135" s="711"/>
      <c r="DG135" s="711"/>
      <c r="DH135" s="711"/>
      <c r="DI135" s="711"/>
      <c r="DJ135" s="711"/>
      <c r="DK135" s="711"/>
      <c r="DL135" s="711"/>
      <c r="DM135" s="711"/>
      <c r="DN135" s="711"/>
      <c r="DO135" s="711"/>
      <c r="DP135" s="711"/>
      <c r="DQ135" s="711"/>
      <c r="DR135" s="711"/>
      <c r="DS135" s="711"/>
      <c r="DT135" s="711"/>
      <c r="DU135" s="711"/>
      <c r="DV135" s="711"/>
      <c r="DW135" s="711"/>
      <c r="DX135" s="711"/>
      <c r="DY135" s="711"/>
      <c r="DZ135" s="711"/>
      <c r="EA135" s="711"/>
      <c r="EB135" s="711"/>
      <c r="EC135" s="711"/>
      <c r="ED135" s="711"/>
      <c r="EE135" s="711"/>
      <c r="EF135" s="711"/>
      <c r="EG135" s="711"/>
      <c r="EH135" s="711"/>
      <c r="EI135" s="711"/>
      <c r="EJ135" s="711"/>
      <c r="EK135" s="711"/>
      <c r="EL135" s="711"/>
      <c r="EM135" s="711"/>
      <c r="EN135" s="711"/>
      <c r="EO135" s="711"/>
      <c r="EP135" s="711"/>
      <c r="EQ135" s="711"/>
      <c r="ER135" s="711"/>
      <c r="ES135" s="711"/>
      <c r="ET135" s="711"/>
      <c r="EU135" s="711"/>
      <c r="EV135" s="711"/>
      <c r="EW135" s="711"/>
      <c r="EX135" s="711"/>
      <c r="EY135" s="711"/>
      <c r="EZ135" s="711"/>
      <c r="FA135" s="711"/>
      <c r="FB135" s="711"/>
      <c r="FC135" s="711"/>
      <c r="FD135" s="711"/>
      <c r="FE135" s="711"/>
      <c r="FF135" s="711"/>
      <c r="FG135" s="711"/>
      <c r="FH135" s="711"/>
      <c r="FI135" s="711"/>
      <c r="FJ135" s="711"/>
      <c r="FK135" s="711"/>
      <c r="FL135" s="711"/>
      <c r="FM135" s="711"/>
      <c r="FN135" s="711"/>
      <c r="FO135" s="711"/>
      <c r="FP135" s="711"/>
      <c r="FQ135" s="711"/>
      <c r="FR135" s="711"/>
      <c r="FS135" s="711"/>
      <c r="FT135" s="711"/>
      <c r="FU135" s="711"/>
      <c r="FV135" s="711"/>
      <c r="FW135" s="711"/>
      <c r="FX135" s="711"/>
      <c r="FY135" s="711"/>
      <c r="FZ135" s="711"/>
      <c r="GA135" s="711"/>
      <c r="GB135" s="711"/>
      <c r="GC135" s="711"/>
      <c r="GD135" s="711"/>
      <c r="GE135" s="711"/>
      <c r="GF135" s="711"/>
      <c r="GG135" s="711"/>
      <c r="GH135" s="711"/>
      <c r="GI135" s="711"/>
      <c r="GJ135" s="711"/>
      <c r="GK135" s="711"/>
      <c r="GL135" s="711"/>
      <c r="GM135" s="711"/>
      <c r="GN135" s="711"/>
      <c r="GO135" s="711"/>
      <c r="GP135" s="711"/>
      <c r="GQ135" s="711"/>
      <c r="GR135" s="711"/>
      <c r="GS135" s="711"/>
      <c r="GT135" s="711"/>
      <c r="GU135" s="711"/>
      <c r="GV135" s="711"/>
      <c r="GW135" s="711"/>
      <c r="GX135" s="711"/>
      <c r="GY135" s="711"/>
      <c r="GZ135" s="711"/>
      <c r="HA135" s="711"/>
      <c r="HB135" s="711"/>
      <c r="HC135" s="711"/>
      <c r="HD135" s="711"/>
      <c r="HE135" s="711"/>
      <c r="HF135" s="711"/>
      <c r="HG135" s="711"/>
      <c r="HH135" s="711"/>
      <c r="HI135" s="711"/>
      <c r="HJ135" s="711"/>
      <c r="HK135" s="711"/>
      <c r="HL135" s="711"/>
      <c r="HM135" s="711"/>
      <c r="HN135" s="711"/>
      <c r="HO135" s="711"/>
      <c r="HP135" s="711"/>
      <c r="HQ135" s="711"/>
      <c r="HR135" s="711"/>
      <c r="HS135" s="711"/>
      <c r="HT135" s="711"/>
      <c r="HU135" s="711"/>
      <c r="HV135" s="711"/>
      <c r="HW135" s="711"/>
      <c r="HX135" s="711"/>
      <c r="HY135" s="711"/>
      <c r="HZ135" s="711"/>
      <c r="IA135" s="711"/>
      <c r="IB135" s="711"/>
      <c r="IC135" s="711"/>
      <c r="ID135" s="711"/>
      <c r="IE135" s="711"/>
      <c r="IF135" s="711"/>
      <c r="IG135" s="711"/>
      <c r="IH135" s="711"/>
      <c r="II135" s="711"/>
      <c r="IJ135" s="711"/>
      <c r="IK135" s="711"/>
      <c r="IL135" s="711"/>
      <c r="IM135" s="711"/>
      <c r="IN135" s="711"/>
      <c r="IO135" s="711"/>
      <c r="IP135" s="711"/>
      <c r="IQ135" s="711"/>
      <c r="IR135" s="711"/>
      <c r="IS135" s="711"/>
      <c r="IT135" s="711"/>
      <c r="IU135" s="711"/>
      <c r="IV135" s="711"/>
    </row>
    <row r="136" spans="1:256" ht="15.75" hidden="1" customHeight="1">
      <c r="A136" s="708" t="s">
        <v>338</v>
      </c>
      <c r="B136" s="707">
        <f>73020503.9+554.1</f>
        <v>73021058</v>
      </c>
      <c r="C136" s="708">
        <v>90837771.099999994</v>
      </c>
      <c r="D136" s="691"/>
      <c r="E136" s="708">
        <f t="shared" si="18"/>
        <v>-17816713.099999994</v>
      </c>
      <c r="F136" s="708">
        <v>17702798.399999999</v>
      </c>
      <c r="G136" s="708">
        <v>119906.3</v>
      </c>
      <c r="H136" s="708">
        <f t="shared" si="19"/>
        <v>17822704.699999999</v>
      </c>
      <c r="I136" s="695"/>
      <c r="J136" s="708">
        <v>-5992.4</v>
      </c>
      <c r="K136" s="708">
        <f t="shared" si="20"/>
        <v>17816712.300000001</v>
      </c>
      <c r="L136" s="693"/>
      <c r="M136" s="711"/>
      <c r="N136" s="711"/>
      <c r="O136" s="711"/>
      <c r="P136" s="711"/>
      <c r="Q136" s="711"/>
      <c r="R136" s="711"/>
      <c r="S136" s="711"/>
      <c r="T136" s="711"/>
      <c r="U136" s="711"/>
      <c r="V136" s="711"/>
      <c r="W136" s="711"/>
      <c r="X136" s="711"/>
      <c r="Y136" s="711"/>
      <c r="Z136" s="711"/>
      <c r="AA136" s="711"/>
      <c r="AB136" s="711"/>
      <c r="AC136" s="711"/>
      <c r="AD136" s="711"/>
      <c r="AE136" s="711"/>
      <c r="AF136" s="711"/>
      <c r="AG136" s="711"/>
      <c r="AH136" s="711"/>
      <c r="AI136" s="711"/>
      <c r="AJ136" s="711"/>
      <c r="AK136" s="711"/>
      <c r="AL136" s="711"/>
      <c r="AM136" s="711"/>
      <c r="AN136" s="711"/>
      <c r="AO136" s="711"/>
      <c r="AP136" s="711"/>
      <c r="AQ136" s="711"/>
      <c r="AR136" s="711"/>
      <c r="AS136" s="711"/>
      <c r="AT136" s="711"/>
      <c r="AU136" s="711"/>
      <c r="AV136" s="711"/>
      <c r="AW136" s="711"/>
      <c r="AX136" s="711"/>
      <c r="AY136" s="711"/>
      <c r="AZ136" s="711"/>
      <c r="BA136" s="711"/>
      <c r="BB136" s="711"/>
      <c r="BC136" s="711"/>
      <c r="BD136" s="711"/>
      <c r="BE136" s="711"/>
      <c r="BF136" s="711"/>
      <c r="BG136" s="711"/>
      <c r="BH136" s="711"/>
      <c r="BI136" s="711"/>
      <c r="BJ136" s="711"/>
      <c r="BK136" s="711"/>
      <c r="BL136" s="711"/>
      <c r="BM136" s="711"/>
      <c r="BN136" s="711"/>
      <c r="BO136" s="711"/>
      <c r="BP136" s="711"/>
      <c r="BQ136" s="711"/>
      <c r="BR136" s="711"/>
      <c r="BS136" s="711"/>
      <c r="BT136" s="711"/>
      <c r="BU136" s="711"/>
      <c r="BV136" s="711"/>
      <c r="BW136" s="711"/>
      <c r="BX136" s="711"/>
      <c r="BY136" s="711"/>
      <c r="BZ136" s="711"/>
      <c r="CA136" s="711"/>
      <c r="CB136" s="711"/>
      <c r="CC136" s="711"/>
      <c r="CD136" s="711"/>
      <c r="CE136" s="711"/>
      <c r="CF136" s="711"/>
      <c r="CG136" s="711"/>
      <c r="CH136" s="711"/>
      <c r="CI136" s="711"/>
      <c r="CJ136" s="711"/>
      <c r="CK136" s="711"/>
      <c r="CL136" s="711"/>
      <c r="CM136" s="711"/>
      <c r="CN136" s="711"/>
      <c r="CO136" s="711"/>
      <c r="CP136" s="711"/>
      <c r="CQ136" s="711"/>
      <c r="CR136" s="711"/>
      <c r="CS136" s="711"/>
      <c r="CT136" s="711"/>
      <c r="CU136" s="711"/>
      <c r="CV136" s="711"/>
      <c r="CW136" s="711"/>
      <c r="CX136" s="711"/>
      <c r="CY136" s="711"/>
      <c r="CZ136" s="711"/>
      <c r="DA136" s="711"/>
      <c r="DB136" s="711"/>
      <c r="DC136" s="711"/>
      <c r="DD136" s="711"/>
      <c r="DE136" s="711"/>
      <c r="DF136" s="711"/>
      <c r="DG136" s="711"/>
      <c r="DH136" s="711"/>
      <c r="DI136" s="711"/>
      <c r="DJ136" s="711"/>
      <c r="DK136" s="711"/>
      <c r="DL136" s="711"/>
      <c r="DM136" s="711"/>
      <c r="DN136" s="711"/>
      <c r="DO136" s="711"/>
      <c r="DP136" s="711"/>
      <c r="DQ136" s="711"/>
      <c r="DR136" s="711"/>
      <c r="DS136" s="711"/>
      <c r="DT136" s="711"/>
      <c r="DU136" s="711"/>
      <c r="DV136" s="711"/>
      <c r="DW136" s="711"/>
      <c r="DX136" s="711"/>
      <c r="DY136" s="711"/>
      <c r="DZ136" s="711"/>
      <c r="EA136" s="711"/>
      <c r="EB136" s="711"/>
      <c r="EC136" s="711"/>
      <c r="ED136" s="711"/>
      <c r="EE136" s="711"/>
      <c r="EF136" s="711"/>
      <c r="EG136" s="711"/>
      <c r="EH136" s="711"/>
      <c r="EI136" s="711"/>
      <c r="EJ136" s="711"/>
      <c r="EK136" s="711"/>
      <c r="EL136" s="711"/>
      <c r="EM136" s="711"/>
      <c r="EN136" s="711"/>
      <c r="EO136" s="711"/>
      <c r="EP136" s="711"/>
      <c r="EQ136" s="711"/>
      <c r="ER136" s="711"/>
      <c r="ES136" s="711"/>
      <c r="ET136" s="711"/>
      <c r="EU136" s="711"/>
      <c r="EV136" s="711"/>
      <c r="EW136" s="711"/>
      <c r="EX136" s="711"/>
      <c r="EY136" s="711"/>
      <c r="EZ136" s="711"/>
      <c r="FA136" s="711"/>
      <c r="FB136" s="711"/>
      <c r="FC136" s="711"/>
      <c r="FD136" s="711"/>
      <c r="FE136" s="711"/>
      <c r="FF136" s="711"/>
      <c r="FG136" s="711"/>
      <c r="FH136" s="711"/>
      <c r="FI136" s="711"/>
      <c r="FJ136" s="711"/>
      <c r="FK136" s="711"/>
      <c r="FL136" s="711"/>
      <c r="FM136" s="711"/>
      <c r="FN136" s="711"/>
      <c r="FO136" s="711"/>
      <c r="FP136" s="711"/>
      <c r="FQ136" s="711"/>
      <c r="FR136" s="711"/>
      <c r="FS136" s="711"/>
      <c r="FT136" s="711"/>
      <c r="FU136" s="711"/>
      <c r="FV136" s="711"/>
      <c r="FW136" s="711"/>
      <c r="FX136" s="711"/>
      <c r="FY136" s="711"/>
      <c r="FZ136" s="711"/>
      <c r="GA136" s="711"/>
      <c r="GB136" s="711"/>
      <c r="GC136" s="711"/>
      <c r="GD136" s="711"/>
      <c r="GE136" s="711"/>
      <c r="GF136" s="711"/>
      <c r="GG136" s="711"/>
      <c r="GH136" s="711"/>
      <c r="GI136" s="711"/>
      <c r="GJ136" s="711"/>
      <c r="GK136" s="711"/>
      <c r="GL136" s="711"/>
      <c r="GM136" s="711"/>
      <c r="GN136" s="711"/>
      <c r="GO136" s="711"/>
      <c r="GP136" s="711"/>
      <c r="GQ136" s="711"/>
      <c r="GR136" s="711"/>
      <c r="GS136" s="711"/>
      <c r="GT136" s="711"/>
      <c r="GU136" s="711"/>
      <c r="GV136" s="711"/>
      <c r="GW136" s="711"/>
      <c r="GX136" s="711"/>
      <c r="GY136" s="711"/>
      <c r="GZ136" s="711"/>
      <c r="HA136" s="711"/>
      <c r="HB136" s="711"/>
      <c r="HC136" s="711"/>
      <c r="HD136" s="711"/>
      <c r="HE136" s="711"/>
      <c r="HF136" s="711"/>
      <c r="HG136" s="711"/>
      <c r="HH136" s="711"/>
      <c r="HI136" s="711"/>
      <c r="HJ136" s="711"/>
      <c r="HK136" s="711"/>
      <c r="HL136" s="711"/>
      <c r="HM136" s="711"/>
      <c r="HN136" s="711"/>
      <c r="HO136" s="711"/>
      <c r="HP136" s="711"/>
      <c r="HQ136" s="711"/>
      <c r="HR136" s="711"/>
      <c r="HS136" s="711"/>
      <c r="HT136" s="711"/>
      <c r="HU136" s="711"/>
      <c r="HV136" s="711"/>
      <c r="HW136" s="711"/>
      <c r="HX136" s="711"/>
      <c r="HY136" s="711"/>
      <c r="HZ136" s="711"/>
      <c r="IA136" s="711"/>
      <c r="IB136" s="711"/>
      <c r="IC136" s="711"/>
      <c r="ID136" s="711"/>
      <c r="IE136" s="711"/>
      <c r="IF136" s="711"/>
      <c r="IG136" s="711"/>
      <c r="IH136" s="711"/>
      <c r="II136" s="711"/>
      <c r="IJ136" s="711"/>
      <c r="IK136" s="711"/>
      <c r="IL136" s="711"/>
      <c r="IM136" s="711"/>
      <c r="IN136" s="711"/>
      <c r="IO136" s="711"/>
      <c r="IP136" s="711"/>
      <c r="IQ136" s="711"/>
      <c r="IR136" s="711"/>
      <c r="IS136" s="711"/>
      <c r="IT136" s="711"/>
      <c r="IU136" s="711"/>
      <c r="IV136" s="711"/>
    </row>
    <row r="137" spans="1:256" ht="15.75" hidden="1" customHeight="1">
      <c r="A137" s="708" t="s">
        <v>339</v>
      </c>
      <c r="B137" s="707">
        <v>20391810.199999999</v>
      </c>
      <c r="C137" s="708">
        <v>25494198.199999999</v>
      </c>
      <c r="D137" s="691"/>
      <c r="E137" s="708">
        <f t="shared" si="18"/>
        <v>-5102388</v>
      </c>
      <c r="F137" s="708">
        <v>5343927.3</v>
      </c>
      <c r="G137" s="708">
        <v>-179167.9</v>
      </c>
      <c r="H137" s="708">
        <f t="shared" si="19"/>
        <v>5164759.3999999994</v>
      </c>
      <c r="I137" s="695"/>
      <c r="J137" s="708">
        <v>0</v>
      </c>
      <c r="K137" s="708">
        <f t="shared" si="20"/>
        <v>5164759.3999999994</v>
      </c>
      <c r="L137" s="693"/>
      <c r="M137" s="711"/>
      <c r="N137" s="711"/>
      <c r="O137" s="711"/>
      <c r="P137" s="711"/>
      <c r="Q137" s="711"/>
      <c r="R137" s="711"/>
      <c r="S137" s="711"/>
      <c r="T137" s="711"/>
      <c r="U137" s="711"/>
      <c r="V137" s="711"/>
      <c r="W137" s="711"/>
      <c r="X137" s="711"/>
      <c r="Y137" s="711"/>
      <c r="Z137" s="711"/>
      <c r="AA137" s="711"/>
      <c r="AB137" s="711"/>
      <c r="AC137" s="711"/>
      <c r="AD137" s="711"/>
      <c r="AE137" s="711"/>
      <c r="AF137" s="711"/>
      <c r="AG137" s="711"/>
      <c r="AH137" s="711"/>
      <c r="AI137" s="711"/>
      <c r="AJ137" s="711"/>
      <c r="AK137" s="711"/>
      <c r="AL137" s="711"/>
      <c r="AM137" s="711"/>
      <c r="AN137" s="711"/>
      <c r="AO137" s="711"/>
      <c r="AP137" s="711"/>
      <c r="AQ137" s="711"/>
      <c r="AR137" s="711"/>
      <c r="AS137" s="711"/>
      <c r="AT137" s="711"/>
      <c r="AU137" s="711"/>
      <c r="AV137" s="711"/>
      <c r="AW137" s="711"/>
      <c r="AX137" s="711"/>
      <c r="AY137" s="711"/>
      <c r="AZ137" s="711"/>
      <c r="BA137" s="711"/>
      <c r="BB137" s="711"/>
      <c r="BC137" s="711"/>
      <c r="BD137" s="711"/>
      <c r="BE137" s="711"/>
      <c r="BF137" s="711"/>
      <c r="BG137" s="711"/>
      <c r="BH137" s="711"/>
      <c r="BI137" s="711"/>
      <c r="BJ137" s="711"/>
      <c r="BK137" s="711"/>
      <c r="BL137" s="711"/>
      <c r="BM137" s="711"/>
      <c r="BN137" s="711"/>
      <c r="BO137" s="711"/>
      <c r="BP137" s="711"/>
      <c r="BQ137" s="711"/>
      <c r="BR137" s="711"/>
      <c r="BS137" s="711"/>
      <c r="BT137" s="711"/>
      <c r="BU137" s="711"/>
      <c r="BV137" s="711"/>
      <c r="BW137" s="711"/>
      <c r="BX137" s="711"/>
      <c r="BY137" s="711"/>
      <c r="BZ137" s="711"/>
      <c r="CA137" s="711"/>
      <c r="CB137" s="711"/>
      <c r="CC137" s="711"/>
      <c r="CD137" s="711"/>
      <c r="CE137" s="711"/>
      <c r="CF137" s="711"/>
      <c r="CG137" s="711"/>
      <c r="CH137" s="711"/>
      <c r="CI137" s="711"/>
      <c r="CJ137" s="711"/>
      <c r="CK137" s="711"/>
      <c r="CL137" s="711"/>
      <c r="CM137" s="711"/>
      <c r="CN137" s="711"/>
      <c r="CO137" s="711"/>
      <c r="CP137" s="711"/>
      <c r="CQ137" s="711"/>
      <c r="CR137" s="711"/>
      <c r="CS137" s="711"/>
      <c r="CT137" s="711"/>
      <c r="CU137" s="711"/>
      <c r="CV137" s="711"/>
      <c r="CW137" s="711"/>
      <c r="CX137" s="711"/>
      <c r="CY137" s="711"/>
      <c r="CZ137" s="711"/>
      <c r="DA137" s="711"/>
      <c r="DB137" s="711"/>
      <c r="DC137" s="711"/>
      <c r="DD137" s="711"/>
      <c r="DE137" s="711"/>
      <c r="DF137" s="711"/>
      <c r="DG137" s="711"/>
      <c r="DH137" s="711"/>
      <c r="DI137" s="711"/>
      <c r="DJ137" s="711"/>
      <c r="DK137" s="711"/>
      <c r="DL137" s="711"/>
      <c r="DM137" s="711"/>
      <c r="DN137" s="711"/>
      <c r="DO137" s="711"/>
      <c r="DP137" s="711"/>
      <c r="DQ137" s="711"/>
      <c r="DR137" s="711"/>
      <c r="DS137" s="711"/>
      <c r="DT137" s="711"/>
      <c r="DU137" s="711"/>
      <c r="DV137" s="711"/>
      <c r="DW137" s="711"/>
      <c r="DX137" s="711"/>
      <c r="DY137" s="711"/>
      <c r="DZ137" s="711"/>
      <c r="EA137" s="711"/>
      <c r="EB137" s="711"/>
      <c r="EC137" s="711"/>
      <c r="ED137" s="711"/>
      <c r="EE137" s="711"/>
      <c r="EF137" s="711"/>
      <c r="EG137" s="711"/>
      <c r="EH137" s="711"/>
      <c r="EI137" s="711"/>
      <c r="EJ137" s="711"/>
      <c r="EK137" s="711"/>
      <c r="EL137" s="711"/>
      <c r="EM137" s="711"/>
      <c r="EN137" s="711"/>
      <c r="EO137" s="711"/>
      <c r="EP137" s="711"/>
      <c r="EQ137" s="711"/>
      <c r="ER137" s="711"/>
      <c r="ES137" s="711"/>
      <c r="ET137" s="711"/>
      <c r="EU137" s="711"/>
      <c r="EV137" s="711"/>
      <c r="EW137" s="711"/>
      <c r="EX137" s="711"/>
      <c r="EY137" s="711"/>
      <c r="EZ137" s="711"/>
      <c r="FA137" s="711"/>
      <c r="FB137" s="711"/>
      <c r="FC137" s="711"/>
      <c r="FD137" s="711"/>
      <c r="FE137" s="711"/>
      <c r="FF137" s="711"/>
      <c r="FG137" s="711"/>
      <c r="FH137" s="711"/>
      <c r="FI137" s="711"/>
      <c r="FJ137" s="711"/>
      <c r="FK137" s="711"/>
      <c r="FL137" s="711"/>
      <c r="FM137" s="711"/>
      <c r="FN137" s="711"/>
      <c r="FO137" s="711"/>
      <c r="FP137" s="711"/>
      <c r="FQ137" s="711"/>
      <c r="FR137" s="711"/>
      <c r="FS137" s="711"/>
      <c r="FT137" s="711"/>
      <c r="FU137" s="711"/>
      <c r="FV137" s="711"/>
      <c r="FW137" s="711"/>
      <c r="FX137" s="711"/>
      <c r="FY137" s="711"/>
      <c r="FZ137" s="711"/>
      <c r="GA137" s="711"/>
      <c r="GB137" s="711"/>
      <c r="GC137" s="711"/>
      <c r="GD137" s="711"/>
      <c r="GE137" s="711"/>
      <c r="GF137" s="711"/>
      <c r="GG137" s="711"/>
      <c r="GH137" s="711"/>
      <c r="GI137" s="711"/>
      <c r="GJ137" s="711"/>
      <c r="GK137" s="711"/>
      <c r="GL137" s="711"/>
      <c r="GM137" s="711"/>
      <c r="GN137" s="711"/>
      <c r="GO137" s="711"/>
      <c r="GP137" s="711"/>
      <c r="GQ137" s="711"/>
      <c r="GR137" s="711"/>
      <c r="GS137" s="711"/>
      <c r="GT137" s="711"/>
      <c r="GU137" s="711"/>
      <c r="GV137" s="711"/>
      <c r="GW137" s="711"/>
      <c r="GX137" s="711"/>
      <c r="GY137" s="711"/>
      <c r="GZ137" s="711"/>
      <c r="HA137" s="711"/>
      <c r="HB137" s="711"/>
      <c r="HC137" s="711"/>
      <c r="HD137" s="711"/>
      <c r="HE137" s="711"/>
      <c r="HF137" s="711"/>
      <c r="HG137" s="711"/>
      <c r="HH137" s="711"/>
      <c r="HI137" s="711"/>
      <c r="HJ137" s="711"/>
      <c r="HK137" s="711"/>
      <c r="HL137" s="711"/>
      <c r="HM137" s="711"/>
      <c r="HN137" s="711"/>
      <c r="HO137" s="711"/>
      <c r="HP137" s="711"/>
      <c r="HQ137" s="711"/>
      <c r="HR137" s="711"/>
      <c r="HS137" s="711"/>
      <c r="HT137" s="711"/>
      <c r="HU137" s="711"/>
      <c r="HV137" s="711"/>
      <c r="HW137" s="711"/>
      <c r="HX137" s="711"/>
      <c r="HY137" s="711"/>
      <c r="HZ137" s="711"/>
      <c r="IA137" s="711"/>
      <c r="IB137" s="711"/>
      <c r="IC137" s="711"/>
      <c r="ID137" s="711"/>
      <c r="IE137" s="711"/>
      <c r="IF137" s="711"/>
      <c r="IG137" s="711"/>
      <c r="IH137" s="711"/>
      <c r="II137" s="711"/>
      <c r="IJ137" s="711"/>
      <c r="IK137" s="711"/>
      <c r="IL137" s="711"/>
      <c r="IM137" s="711"/>
      <c r="IN137" s="711"/>
      <c r="IO137" s="711"/>
      <c r="IP137" s="711"/>
      <c r="IQ137" s="711"/>
      <c r="IR137" s="711"/>
      <c r="IS137" s="711"/>
      <c r="IT137" s="711"/>
      <c r="IU137" s="711"/>
      <c r="IV137" s="711"/>
    </row>
    <row r="138" spans="1:256" ht="15.75" hidden="1" customHeight="1">
      <c r="A138" s="708" t="s">
        <v>340</v>
      </c>
      <c r="B138" s="707">
        <v>30016271.899999999</v>
      </c>
      <c r="C138" s="708">
        <v>27975882.5</v>
      </c>
      <c r="D138" s="691"/>
      <c r="E138" s="708">
        <f t="shared" si="18"/>
        <v>2040389.3999999985</v>
      </c>
      <c r="F138" s="708">
        <v>7943799.0999999996</v>
      </c>
      <c r="G138" s="708">
        <f>-9984198.5+9.9</f>
        <v>-9984188.5999999996</v>
      </c>
      <c r="H138" s="708">
        <f t="shared" si="19"/>
        <v>-2040389.5</v>
      </c>
      <c r="I138" s="695"/>
      <c r="J138" s="708">
        <v>0</v>
      </c>
      <c r="K138" s="708">
        <f t="shared" si="20"/>
        <v>-2040389.5</v>
      </c>
      <c r="L138" s="693"/>
      <c r="M138" s="711"/>
      <c r="N138" s="711"/>
      <c r="O138" s="711"/>
      <c r="P138" s="711"/>
      <c r="Q138" s="711"/>
      <c r="R138" s="711"/>
      <c r="S138" s="711"/>
      <c r="T138" s="711"/>
      <c r="U138" s="711"/>
      <c r="V138" s="711"/>
      <c r="W138" s="711"/>
      <c r="X138" s="711"/>
      <c r="Y138" s="711"/>
      <c r="Z138" s="711"/>
      <c r="AA138" s="711"/>
      <c r="AB138" s="711"/>
      <c r="AC138" s="711"/>
      <c r="AD138" s="711"/>
      <c r="AE138" s="711"/>
      <c r="AF138" s="711"/>
      <c r="AG138" s="711"/>
      <c r="AH138" s="711"/>
      <c r="AI138" s="711"/>
      <c r="AJ138" s="711"/>
      <c r="AK138" s="711"/>
      <c r="AL138" s="711"/>
      <c r="AM138" s="711"/>
      <c r="AN138" s="711"/>
      <c r="AO138" s="711"/>
      <c r="AP138" s="711"/>
      <c r="AQ138" s="711"/>
      <c r="AR138" s="711"/>
      <c r="AS138" s="711"/>
      <c r="AT138" s="711"/>
      <c r="AU138" s="711"/>
      <c r="AV138" s="711"/>
      <c r="AW138" s="711"/>
      <c r="AX138" s="711"/>
      <c r="AY138" s="711"/>
      <c r="AZ138" s="711"/>
      <c r="BA138" s="711"/>
      <c r="BB138" s="711"/>
      <c r="BC138" s="711"/>
      <c r="BD138" s="711"/>
      <c r="BE138" s="711"/>
      <c r="BF138" s="711"/>
      <c r="BG138" s="711"/>
      <c r="BH138" s="711"/>
      <c r="BI138" s="711"/>
      <c r="BJ138" s="711"/>
      <c r="BK138" s="711"/>
      <c r="BL138" s="711"/>
      <c r="BM138" s="711"/>
      <c r="BN138" s="711"/>
      <c r="BO138" s="711"/>
      <c r="BP138" s="711"/>
      <c r="BQ138" s="711"/>
      <c r="BR138" s="711"/>
      <c r="BS138" s="711"/>
      <c r="BT138" s="711"/>
      <c r="BU138" s="711"/>
      <c r="BV138" s="711"/>
      <c r="BW138" s="711"/>
      <c r="BX138" s="711"/>
      <c r="BY138" s="711"/>
      <c r="BZ138" s="711"/>
      <c r="CA138" s="711"/>
      <c r="CB138" s="711"/>
      <c r="CC138" s="711"/>
      <c r="CD138" s="711"/>
      <c r="CE138" s="711"/>
      <c r="CF138" s="711"/>
      <c r="CG138" s="711"/>
      <c r="CH138" s="711"/>
      <c r="CI138" s="711"/>
      <c r="CJ138" s="711"/>
      <c r="CK138" s="711"/>
      <c r="CL138" s="711"/>
      <c r="CM138" s="711"/>
      <c r="CN138" s="711"/>
      <c r="CO138" s="711"/>
      <c r="CP138" s="711"/>
      <c r="CQ138" s="711"/>
      <c r="CR138" s="711"/>
      <c r="CS138" s="711"/>
      <c r="CT138" s="711"/>
      <c r="CU138" s="711"/>
      <c r="CV138" s="711"/>
      <c r="CW138" s="711"/>
      <c r="CX138" s="711"/>
      <c r="CY138" s="711"/>
      <c r="CZ138" s="711"/>
      <c r="DA138" s="711"/>
      <c r="DB138" s="711"/>
      <c r="DC138" s="711"/>
      <c r="DD138" s="711"/>
      <c r="DE138" s="711"/>
      <c r="DF138" s="711"/>
      <c r="DG138" s="711"/>
      <c r="DH138" s="711"/>
      <c r="DI138" s="711"/>
      <c r="DJ138" s="711"/>
      <c r="DK138" s="711"/>
      <c r="DL138" s="711"/>
      <c r="DM138" s="711"/>
      <c r="DN138" s="711"/>
      <c r="DO138" s="711"/>
      <c r="DP138" s="711"/>
      <c r="DQ138" s="711"/>
      <c r="DR138" s="711"/>
      <c r="DS138" s="711"/>
      <c r="DT138" s="711"/>
      <c r="DU138" s="711"/>
      <c r="DV138" s="711"/>
      <c r="DW138" s="711"/>
      <c r="DX138" s="711"/>
      <c r="DY138" s="711"/>
      <c r="DZ138" s="711"/>
      <c r="EA138" s="711"/>
      <c r="EB138" s="711"/>
      <c r="EC138" s="711"/>
      <c r="ED138" s="711"/>
      <c r="EE138" s="711"/>
      <c r="EF138" s="711"/>
      <c r="EG138" s="711"/>
      <c r="EH138" s="711"/>
      <c r="EI138" s="711"/>
      <c r="EJ138" s="711"/>
      <c r="EK138" s="711"/>
      <c r="EL138" s="711"/>
      <c r="EM138" s="711"/>
      <c r="EN138" s="711"/>
      <c r="EO138" s="711"/>
      <c r="EP138" s="711"/>
      <c r="EQ138" s="711"/>
      <c r="ER138" s="711"/>
      <c r="ES138" s="711"/>
      <c r="ET138" s="711"/>
      <c r="EU138" s="711"/>
      <c r="EV138" s="711"/>
      <c r="EW138" s="711"/>
      <c r="EX138" s="711"/>
      <c r="EY138" s="711"/>
      <c r="EZ138" s="711"/>
      <c r="FA138" s="711"/>
      <c r="FB138" s="711"/>
      <c r="FC138" s="711"/>
      <c r="FD138" s="711"/>
      <c r="FE138" s="711"/>
      <c r="FF138" s="711"/>
      <c r="FG138" s="711"/>
      <c r="FH138" s="711"/>
      <c r="FI138" s="711"/>
      <c r="FJ138" s="711"/>
      <c r="FK138" s="711"/>
      <c r="FL138" s="711"/>
      <c r="FM138" s="711"/>
      <c r="FN138" s="711"/>
      <c r="FO138" s="711"/>
      <c r="FP138" s="711"/>
      <c r="FQ138" s="711"/>
      <c r="FR138" s="711"/>
      <c r="FS138" s="711"/>
      <c r="FT138" s="711"/>
      <c r="FU138" s="711"/>
      <c r="FV138" s="711"/>
      <c r="FW138" s="711"/>
      <c r="FX138" s="711"/>
      <c r="FY138" s="711"/>
      <c r="FZ138" s="711"/>
      <c r="GA138" s="711"/>
      <c r="GB138" s="711"/>
      <c r="GC138" s="711"/>
      <c r="GD138" s="711"/>
      <c r="GE138" s="711"/>
      <c r="GF138" s="711"/>
      <c r="GG138" s="711"/>
      <c r="GH138" s="711"/>
      <c r="GI138" s="711"/>
      <c r="GJ138" s="711"/>
      <c r="GK138" s="711"/>
      <c r="GL138" s="711"/>
      <c r="GM138" s="711"/>
      <c r="GN138" s="711"/>
      <c r="GO138" s="711"/>
      <c r="GP138" s="711"/>
      <c r="GQ138" s="711"/>
      <c r="GR138" s="711"/>
      <c r="GS138" s="711"/>
      <c r="GT138" s="711"/>
      <c r="GU138" s="711"/>
      <c r="GV138" s="711"/>
      <c r="GW138" s="711"/>
      <c r="GX138" s="711"/>
      <c r="GY138" s="711"/>
      <c r="GZ138" s="711"/>
      <c r="HA138" s="711"/>
      <c r="HB138" s="711"/>
      <c r="HC138" s="711"/>
      <c r="HD138" s="711"/>
      <c r="HE138" s="711"/>
      <c r="HF138" s="711"/>
      <c r="HG138" s="711"/>
      <c r="HH138" s="711"/>
      <c r="HI138" s="711"/>
      <c r="HJ138" s="711"/>
      <c r="HK138" s="711"/>
      <c r="HL138" s="711"/>
      <c r="HM138" s="711"/>
      <c r="HN138" s="711"/>
      <c r="HO138" s="711"/>
      <c r="HP138" s="711"/>
      <c r="HQ138" s="711"/>
      <c r="HR138" s="711"/>
      <c r="HS138" s="711"/>
      <c r="HT138" s="711"/>
      <c r="HU138" s="711"/>
      <c r="HV138" s="711"/>
      <c r="HW138" s="711"/>
      <c r="HX138" s="711"/>
      <c r="HY138" s="711"/>
      <c r="HZ138" s="711"/>
      <c r="IA138" s="711"/>
      <c r="IB138" s="711"/>
      <c r="IC138" s="711"/>
      <c r="ID138" s="711"/>
      <c r="IE138" s="711"/>
      <c r="IF138" s="711"/>
      <c r="IG138" s="711"/>
      <c r="IH138" s="711"/>
      <c r="II138" s="711"/>
      <c r="IJ138" s="711"/>
      <c r="IK138" s="711"/>
      <c r="IL138" s="711"/>
      <c r="IM138" s="711"/>
      <c r="IN138" s="711"/>
      <c r="IO138" s="711"/>
      <c r="IP138" s="711"/>
      <c r="IQ138" s="711"/>
      <c r="IR138" s="711"/>
      <c r="IS138" s="711"/>
      <c r="IT138" s="711"/>
      <c r="IU138" s="711"/>
      <c r="IV138" s="711"/>
    </row>
    <row r="139" spans="1:256" ht="15.75" hidden="1" customHeight="1">
      <c r="A139" s="708" t="s">
        <v>341</v>
      </c>
      <c r="B139" s="707">
        <v>47375016.5</v>
      </c>
      <c r="C139" s="708">
        <v>24647493.399999999</v>
      </c>
      <c r="D139" s="691"/>
      <c r="E139" s="708">
        <f t="shared" si="18"/>
        <v>22727523.100000001</v>
      </c>
      <c r="F139" s="708">
        <v>-45055908.5</v>
      </c>
      <c r="G139" s="708">
        <v>-3882438.7</v>
      </c>
      <c r="H139" s="708">
        <f t="shared" si="19"/>
        <v>-48938347.200000003</v>
      </c>
      <c r="I139" s="695"/>
      <c r="J139" s="708">
        <v>0</v>
      </c>
      <c r="K139" s="708">
        <f t="shared" si="20"/>
        <v>-48938347.200000003</v>
      </c>
      <c r="L139" s="693"/>
      <c r="M139" s="711"/>
      <c r="N139" s="711"/>
      <c r="O139" s="711"/>
      <c r="P139" s="711"/>
      <c r="Q139" s="711"/>
      <c r="R139" s="711"/>
      <c r="S139" s="711"/>
      <c r="T139" s="711"/>
      <c r="U139" s="711"/>
      <c r="V139" s="711"/>
      <c r="W139" s="711"/>
      <c r="X139" s="711"/>
      <c r="Y139" s="711"/>
      <c r="Z139" s="711"/>
      <c r="AA139" s="711"/>
      <c r="AB139" s="711"/>
      <c r="AC139" s="711"/>
      <c r="AD139" s="711"/>
      <c r="AE139" s="711"/>
      <c r="AF139" s="711"/>
      <c r="AG139" s="711"/>
      <c r="AH139" s="711"/>
      <c r="AI139" s="711"/>
      <c r="AJ139" s="711"/>
      <c r="AK139" s="711"/>
      <c r="AL139" s="711"/>
      <c r="AM139" s="711"/>
      <c r="AN139" s="711"/>
      <c r="AO139" s="711"/>
      <c r="AP139" s="711"/>
      <c r="AQ139" s="711"/>
      <c r="AR139" s="711"/>
      <c r="AS139" s="711"/>
      <c r="AT139" s="711"/>
      <c r="AU139" s="711"/>
      <c r="AV139" s="711"/>
      <c r="AW139" s="711"/>
      <c r="AX139" s="711"/>
      <c r="AY139" s="711"/>
      <c r="AZ139" s="711"/>
      <c r="BA139" s="711"/>
      <c r="BB139" s="711"/>
      <c r="BC139" s="711"/>
      <c r="BD139" s="711"/>
      <c r="BE139" s="711"/>
      <c r="BF139" s="711"/>
      <c r="BG139" s="711"/>
      <c r="BH139" s="711"/>
      <c r="BI139" s="711"/>
      <c r="BJ139" s="711"/>
      <c r="BK139" s="711"/>
      <c r="BL139" s="711"/>
      <c r="BM139" s="711"/>
      <c r="BN139" s="711"/>
      <c r="BO139" s="711"/>
      <c r="BP139" s="711"/>
      <c r="BQ139" s="711"/>
      <c r="BR139" s="711"/>
      <c r="BS139" s="711"/>
      <c r="BT139" s="711"/>
      <c r="BU139" s="711"/>
      <c r="BV139" s="711"/>
      <c r="BW139" s="711"/>
      <c r="BX139" s="711"/>
      <c r="BY139" s="711"/>
      <c r="BZ139" s="711"/>
      <c r="CA139" s="711"/>
      <c r="CB139" s="711"/>
      <c r="CC139" s="711"/>
      <c r="CD139" s="711"/>
      <c r="CE139" s="711"/>
      <c r="CF139" s="711"/>
      <c r="CG139" s="711"/>
      <c r="CH139" s="711"/>
      <c r="CI139" s="711"/>
      <c r="CJ139" s="711"/>
      <c r="CK139" s="711"/>
      <c r="CL139" s="711"/>
      <c r="CM139" s="711"/>
      <c r="CN139" s="711"/>
      <c r="CO139" s="711"/>
      <c r="CP139" s="711"/>
      <c r="CQ139" s="711"/>
      <c r="CR139" s="711"/>
      <c r="CS139" s="711"/>
      <c r="CT139" s="711"/>
      <c r="CU139" s="711"/>
      <c r="CV139" s="711"/>
      <c r="CW139" s="711"/>
      <c r="CX139" s="711"/>
      <c r="CY139" s="711"/>
      <c r="CZ139" s="711"/>
      <c r="DA139" s="711"/>
      <c r="DB139" s="711"/>
      <c r="DC139" s="711"/>
      <c r="DD139" s="711"/>
      <c r="DE139" s="711"/>
      <c r="DF139" s="711"/>
      <c r="DG139" s="711"/>
      <c r="DH139" s="711"/>
      <c r="DI139" s="711"/>
      <c r="DJ139" s="711"/>
      <c r="DK139" s="711"/>
      <c r="DL139" s="711"/>
      <c r="DM139" s="711"/>
      <c r="DN139" s="711"/>
      <c r="DO139" s="711"/>
      <c r="DP139" s="711"/>
      <c r="DQ139" s="711"/>
      <c r="DR139" s="711"/>
      <c r="DS139" s="711"/>
      <c r="DT139" s="711"/>
      <c r="DU139" s="711"/>
      <c r="DV139" s="711"/>
      <c r="DW139" s="711"/>
      <c r="DX139" s="711"/>
      <c r="DY139" s="711"/>
      <c r="DZ139" s="711"/>
      <c r="EA139" s="711"/>
      <c r="EB139" s="711"/>
      <c r="EC139" s="711"/>
      <c r="ED139" s="711"/>
      <c r="EE139" s="711"/>
      <c r="EF139" s="711"/>
      <c r="EG139" s="711"/>
      <c r="EH139" s="711"/>
      <c r="EI139" s="711"/>
      <c r="EJ139" s="711"/>
      <c r="EK139" s="711"/>
      <c r="EL139" s="711"/>
      <c r="EM139" s="711"/>
      <c r="EN139" s="711"/>
      <c r="EO139" s="711"/>
      <c r="EP139" s="711"/>
      <c r="EQ139" s="711"/>
      <c r="ER139" s="711"/>
      <c r="ES139" s="711"/>
      <c r="ET139" s="711"/>
      <c r="EU139" s="711"/>
      <c r="EV139" s="711"/>
      <c r="EW139" s="711"/>
      <c r="EX139" s="711"/>
      <c r="EY139" s="711"/>
      <c r="EZ139" s="711"/>
      <c r="FA139" s="711"/>
      <c r="FB139" s="711"/>
      <c r="FC139" s="711"/>
      <c r="FD139" s="711"/>
      <c r="FE139" s="711"/>
      <c r="FF139" s="711"/>
      <c r="FG139" s="711"/>
      <c r="FH139" s="711"/>
      <c r="FI139" s="711"/>
      <c r="FJ139" s="711"/>
      <c r="FK139" s="711"/>
      <c r="FL139" s="711"/>
      <c r="FM139" s="711"/>
      <c r="FN139" s="711"/>
      <c r="FO139" s="711"/>
      <c r="FP139" s="711"/>
      <c r="FQ139" s="711"/>
      <c r="FR139" s="711"/>
      <c r="FS139" s="711"/>
      <c r="FT139" s="711"/>
      <c r="FU139" s="711"/>
      <c r="FV139" s="711"/>
      <c r="FW139" s="711"/>
      <c r="FX139" s="711"/>
      <c r="FY139" s="711"/>
      <c r="FZ139" s="711"/>
      <c r="GA139" s="711"/>
      <c r="GB139" s="711"/>
      <c r="GC139" s="711"/>
      <c r="GD139" s="711"/>
      <c r="GE139" s="711"/>
      <c r="GF139" s="711"/>
      <c r="GG139" s="711"/>
      <c r="GH139" s="711"/>
      <c r="GI139" s="711"/>
      <c r="GJ139" s="711"/>
      <c r="GK139" s="711"/>
      <c r="GL139" s="711"/>
      <c r="GM139" s="711"/>
      <c r="GN139" s="711"/>
      <c r="GO139" s="711"/>
      <c r="GP139" s="711"/>
      <c r="GQ139" s="711"/>
      <c r="GR139" s="711"/>
      <c r="GS139" s="711"/>
      <c r="GT139" s="711"/>
      <c r="GU139" s="711"/>
      <c r="GV139" s="711"/>
      <c r="GW139" s="711"/>
      <c r="GX139" s="711"/>
      <c r="GY139" s="711"/>
      <c r="GZ139" s="711"/>
      <c r="HA139" s="711"/>
      <c r="HB139" s="711"/>
      <c r="HC139" s="711"/>
      <c r="HD139" s="711"/>
      <c r="HE139" s="711"/>
      <c r="HF139" s="711"/>
      <c r="HG139" s="711"/>
      <c r="HH139" s="711"/>
      <c r="HI139" s="711"/>
      <c r="HJ139" s="711"/>
      <c r="HK139" s="711"/>
      <c r="HL139" s="711"/>
      <c r="HM139" s="711"/>
      <c r="HN139" s="711"/>
      <c r="HO139" s="711"/>
      <c r="HP139" s="711"/>
      <c r="HQ139" s="711"/>
      <c r="HR139" s="711"/>
      <c r="HS139" s="711"/>
      <c r="HT139" s="711"/>
      <c r="HU139" s="711"/>
      <c r="HV139" s="711"/>
      <c r="HW139" s="711"/>
      <c r="HX139" s="711"/>
      <c r="HY139" s="711"/>
      <c r="HZ139" s="711"/>
      <c r="IA139" s="711"/>
      <c r="IB139" s="711"/>
      <c r="IC139" s="711"/>
      <c r="ID139" s="711"/>
      <c r="IE139" s="711"/>
      <c r="IF139" s="711"/>
      <c r="IG139" s="711"/>
      <c r="IH139" s="711"/>
      <c r="II139" s="711"/>
      <c r="IJ139" s="711"/>
      <c r="IK139" s="711"/>
      <c r="IL139" s="711"/>
      <c r="IM139" s="711"/>
      <c r="IN139" s="711"/>
      <c r="IO139" s="711"/>
      <c r="IP139" s="711"/>
      <c r="IQ139" s="711"/>
      <c r="IR139" s="711"/>
      <c r="IS139" s="711"/>
      <c r="IT139" s="711"/>
      <c r="IU139" s="711"/>
      <c r="IV139" s="711"/>
    </row>
    <row r="140" spans="1:256" ht="15.75" hidden="1" customHeight="1">
      <c r="A140" s="708" t="s">
        <v>342</v>
      </c>
      <c r="B140" s="707">
        <v>56942023.399999999</v>
      </c>
      <c r="C140" s="708">
        <v>58820433.100000001</v>
      </c>
      <c r="D140" s="691"/>
      <c r="E140" s="708">
        <f t="shared" si="18"/>
        <v>-1878409.700000003</v>
      </c>
      <c r="F140" s="708">
        <v>10097489.800000001</v>
      </c>
      <c r="G140" s="708">
        <v>-8219080</v>
      </c>
      <c r="H140" s="708">
        <f t="shared" si="19"/>
        <v>1878409.8000000007</v>
      </c>
      <c r="I140" s="695"/>
      <c r="J140" s="708">
        <v>0</v>
      </c>
      <c r="K140" s="708">
        <f t="shared" si="20"/>
        <v>1878409.8000000007</v>
      </c>
      <c r="L140" s="693"/>
      <c r="M140" s="711"/>
      <c r="N140" s="711"/>
      <c r="O140" s="711"/>
      <c r="P140" s="711"/>
      <c r="Q140" s="711"/>
      <c r="R140" s="711"/>
      <c r="S140" s="711"/>
      <c r="T140" s="711"/>
      <c r="U140" s="711"/>
      <c r="V140" s="711"/>
      <c r="W140" s="711"/>
      <c r="X140" s="711"/>
      <c r="Y140" s="711"/>
      <c r="Z140" s="711"/>
      <c r="AA140" s="711"/>
      <c r="AB140" s="711"/>
      <c r="AC140" s="711"/>
      <c r="AD140" s="711"/>
      <c r="AE140" s="711"/>
      <c r="AF140" s="711"/>
      <c r="AG140" s="711"/>
      <c r="AH140" s="711"/>
      <c r="AI140" s="711"/>
      <c r="AJ140" s="711"/>
      <c r="AK140" s="711"/>
      <c r="AL140" s="711"/>
      <c r="AM140" s="711"/>
      <c r="AN140" s="711"/>
      <c r="AO140" s="711"/>
      <c r="AP140" s="711"/>
      <c r="AQ140" s="711"/>
      <c r="AR140" s="711"/>
      <c r="AS140" s="711"/>
      <c r="AT140" s="711"/>
      <c r="AU140" s="711"/>
      <c r="AV140" s="711"/>
      <c r="AW140" s="711"/>
      <c r="AX140" s="711"/>
      <c r="AY140" s="711"/>
      <c r="AZ140" s="711"/>
      <c r="BA140" s="711"/>
      <c r="BB140" s="711"/>
      <c r="BC140" s="711"/>
      <c r="BD140" s="711"/>
      <c r="BE140" s="711"/>
      <c r="BF140" s="711"/>
      <c r="BG140" s="711"/>
      <c r="BH140" s="711"/>
      <c r="BI140" s="711"/>
      <c r="BJ140" s="711"/>
      <c r="BK140" s="711"/>
      <c r="BL140" s="711"/>
      <c r="BM140" s="711"/>
      <c r="BN140" s="711"/>
      <c r="BO140" s="711"/>
      <c r="BP140" s="711"/>
      <c r="BQ140" s="711"/>
      <c r="BR140" s="711"/>
      <c r="BS140" s="711"/>
      <c r="BT140" s="711"/>
      <c r="BU140" s="711"/>
      <c r="BV140" s="711"/>
      <c r="BW140" s="711"/>
      <c r="BX140" s="711"/>
      <c r="BY140" s="711"/>
      <c r="BZ140" s="711"/>
      <c r="CA140" s="711"/>
      <c r="CB140" s="711"/>
      <c r="CC140" s="711"/>
      <c r="CD140" s="711"/>
      <c r="CE140" s="711"/>
      <c r="CF140" s="711"/>
      <c r="CG140" s="711"/>
      <c r="CH140" s="711"/>
      <c r="CI140" s="711"/>
      <c r="CJ140" s="711"/>
      <c r="CK140" s="711"/>
      <c r="CL140" s="711"/>
      <c r="CM140" s="711"/>
      <c r="CN140" s="711"/>
      <c r="CO140" s="711"/>
      <c r="CP140" s="711"/>
      <c r="CQ140" s="711"/>
      <c r="CR140" s="711"/>
      <c r="CS140" s="711"/>
      <c r="CT140" s="711"/>
      <c r="CU140" s="711"/>
      <c r="CV140" s="711"/>
      <c r="CW140" s="711"/>
      <c r="CX140" s="711"/>
      <c r="CY140" s="711"/>
      <c r="CZ140" s="711"/>
      <c r="DA140" s="711"/>
      <c r="DB140" s="711"/>
      <c r="DC140" s="711"/>
      <c r="DD140" s="711"/>
      <c r="DE140" s="711"/>
      <c r="DF140" s="711"/>
      <c r="DG140" s="711"/>
      <c r="DH140" s="711"/>
      <c r="DI140" s="711"/>
      <c r="DJ140" s="711"/>
      <c r="DK140" s="711"/>
      <c r="DL140" s="711"/>
      <c r="DM140" s="711"/>
      <c r="DN140" s="711"/>
      <c r="DO140" s="711"/>
      <c r="DP140" s="711"/>
      <c r="DQ140" s="711"/>
      <c r="DR140" s="711"/>
      <c r="DS140" s="711"/>
      <c r="DT140" s="711"/>
      <c r="DU140" s="711"/>
      <c r="DV140" s="711"/>
      <c r="DW140" s="711"/>
      <c r="DX140" s="711"/>
      <c r="DY140" s="711"/>
      <c r="DZ140" s="711"/>
      <c r="EA140" s="711"/>
      <c r="EB140" s="711"/>
      <c r="EC140" s="711"/>
      <c r="ED140" s="711"/>
      <c r="EE140" s="711"/>
      <c r="EF140" s="711"/>
      <c r="EG140" s="711"/>
      <c r="EH140" s="711"/>
      <c r="EI140" s="711"/>
      <c r="EJ140" s="711"/>
      <c r="EK140" s="711"/>
      <c r="EL140" s="711"/>
      <c r="EM140" s="711"/>
      <c r="EN140" s="711"/>
      <c r="EO140" s="711"/>
      <c r="EP140" s="711"/>
      <c r="EQ140" s="711"/>
      <c r="ER140" s="711"/>
      <c r="ES140" s="711"/>
      <c r="ET140" s="711"/>
      <c r="EU140" s="711"/>
      <c r="EV140" s="711"/>
      <c r="EW140" s="711"/>
      <c r="EX140" s="711"/>
      <c r="EY140" s="711"/>
      <c r="EZ140" s="711"/>
      <c r="FA140" s="711"/>
      <c r="FB140" s="711"/>
      <c r="FC140" s="711"/>
      <c r="FD140" s="711"/>
      <c r="FE140" s="711"/>
      <c r="FF140" s="711"/>
      <c r="FG140" s="711"/>
      <c r="FH140" s="711"/>
      <c r="FI140" s="711"/>
      <c r="FJ140" s="711"/>
      <c r="FK140" s="711"/>
      <c r="FL140" s="711"/>
      <c r="FM140" s="711"/>
      <c r="FN140" s="711"/>
      <c r="FO140" s="711"/>
      <c r="FP140" s="711"/>
      <c r="FQ140" s="711"/>
      <c r="FR140" s="711"/>
      <c r="FS140" s="711"/>
      <c r="FT140" s="711"/>
      <c r="FU140" s="711"/>
      <c r="FV140" s="711"/>
      <c r="FW140" s="711"/>
      <c r="FX140" s="711"/>
      <c r="FY140" s="711"/>
      <c r="FZ140" s="711"/>
      <c r="GA140" s="711"/>
      <c r="GB140" s="711"/>
      <c r="GC140" s="711"/>
      <c r="GD140" s="711"/>
      <c r="GE140" s="711"/>
      <c r="GF140" s="711"/>
      <c r="GG140" s="711"/>
      <c r="GH140" s="711"/>
      <c r="GI140" s="711"/>
      <c r="GJ140" s="711"/>
      <c r="GK140" s="711"/>
      <c r="GL140" s="711"/>
      <c r="GM140" s="711"/>
      <c r="GN140" s="711"/>
      <c r="GO140" s="711"/>
      <c r="GP140" s="711"/>
      <c r="GQ140" s="711"/>
      <c r="GR140" s="711"/>
      <c r="GS140" s="711"/>
      <c r="GT140" s="711"/>
      <c r="GU140" s="711"/>
      <c r="GV140" s="711"/>
      <c r="GW140" s="711"/>
      <c r="GX140" s="711"/>
      <c r="GY140" s="711"/>
      <c r="GZ140" s="711"/>
      <c r="HA140" s="711"/>
      <c r="HB140" s="711"/>
      <c r="HC140" s="711"/>
      <c r="HD140" s="711"/>
      <c r="HE140" s="711"/>
      <c r="HF140" s="711"/>
      <c r="HG140" s="711"/>
      <c r="HH140" s="711"/>
      <c r="HI140" s="711"/>
      <c r="HJ140" s="711"/>
      <c r="HK140" s="711"/>
      <c r="HL140" s="711"/>
      <c r="HM140" s="711"/>
      <c r="HN140" s="711"/>
      <c r="HO140" s="711"/>
      <c r="HP140" s="711"/>
      <c r="HQ140" s="711"/>
      <c r="HR140" s="711"/>
      <c r="HS140" s="711"/>
      <c r="HT140" s="711"/>
      <c r="HU140" s="711"/>
      <c r="HV140" s="711"/>
      <c r="HW140" s="711"/>
      <c r="HX140" s="711"/>
      <c r="HY140" s="711"/>
      <c r="HZ140" s="711"/>
      <c r="IA140" s="711"/>
      <c r="IB140" s="711"/>
      <c r="IC140" s="711"/>
      <c r="ID140" s="711"/>
      <c r="IE140" s="711"/>
      <c r="IF140" s="711"/>
      <c r="IG140" s="711"/>
      <c r="IH140" s="711"/>
      <c r="II140" s="711"/>
      <c r="IJ140" s="711"/>
      <c r="IK140" s="711"/>
      <c r="IL140" s="711"/>
      <c r="IM140" s="711"/>
      <c r="IN140" s="711"/>
      <c r="IO140" s="711"/>
      <c r="IP140" s="711"/>
      <c r="IQ140" s="711"/>
      <c r="IR140" s="711"/>
      <c r="IS140" s="711"/>
      <c r="IT140" s="711"/>
      <c r="IU140" s="711"/>
      <c r="IV140" s="711"/>
    </row>
    <row r="141" spans="1:256" ht="15.75" hidden="1" customHeight="1">
      <c r="A141" s="708" t="s">
        <v>343</v>
      </c>
      <c r="B141" s="707">
        <v>72745298</v>
      </c>
      <c r="C141" s="708">
        <v>107306966.40000001</v>
      </c>
      <c r="D141" s="691"/>
      <c r="E141" s="708">
        <f t="shared" si="18"/>
        <v>-34561668.400000006</v>
      </c>
      <c r="F141" s="708">
        <v>56165495.399999999</v>
      </c>
      <c r="G141" s="708">
        <v>-21602341.100000001</v>
      </c>
      <c r="H141" s="708">
        <f t="shared" si="19"/>
        <v>34563154.299999997</v>
      </c>
      <c r="I141" s="695"/>
      <c r="J141" s="708">
        <v>0</v>
      </c>
      <c r="K141" s="708">
        <f t="shared" si="20"/>
        <v>34563154.299999997</v>
      </c>
      <c r="L141" s="693"/>
      <c r="M141" s="711"/>
      <c r="N141" s="711"/>
      <c r="O141" s="711"/>
      <c r="P141" s="711"/>
      <c r="Q141" s="711"/>
      <c r="R141" s="711"/>
      <c r="S141" s="711"/>
      <c r="T141" s="711"/>
      <c r="U141" s="711"/>
      <c r="V141" s="711"/>
      <c r="W141" s="711"/>
      <c r="X141" s="711"/>
      <c r="Y141" s="711"/>
      <c r="Z141" s="711"/>
      <c r="AA141" s="711"/>
      <c r="AB141" s="711"/>
      <c r="AC141" s="711"/>
      <c r="AD141" s="711"/>
      <c r="AE141" s="711"/>
      <c r="AF141" s="711"/>
      <c r="AG141" s="711"/>
      <c r="AH141" s="711"/>
      <c r="AI141" s="711"/>
      <c r="AJ141" s="711"/>
      <c r="AK141" s="711"/>
      <c r="AL141" s="711"/>
      <c r="AM141" s="711"/>
      <c r="AN141" s="711"/>
      <c r="AO141" s="711"/>
      <c r="AP141" s="711"/>
      <c r="AQ141" s="711"/>
      <c r="AR141" s="711"/>
      <c r="AS141" s="711"/>
      <c r="AT141" s="711"/>
      <c r="AU141" s="711"/>
      <c r="AV141" s="711"/>
      <c r="AW141" s="711"/>
      <c r="AX141" s="711"/>
      <c r="AY141" s="711"/>
      <c r="AZ141" s="711"/>
      <c r="BA141" s="711"/>
      <c r="BB141" s="711"/>
      <c r="BC141" s="711"/>
      <c r="BD141" s="711"/>
      <c r="BE141" s="711"/>
      <c r="BF141" s="711"/>
      <c r="BG141" s="711"/>
      <c r="BH141" s="711"/>
      <c r="BI141" s="711"/>
      <c r="BJ141" s="711"/>
      <c r="BK141" s="711"/>
      <c r="BL141" s="711"/>
      <c r="BM141" s="711"/>
      <c r="BN141" s="711"/>
      <c r="BO141" s="711"/>
      <c r="BP141" s="711"/>
      <c r="BQ141" s="711"/>
      <c r="BR141" s="711"/>
      <c r="BS141" s="711"/>
      <c r="BT141" s="711"/>
      <c r="BU141" s="711"/>
      <c r="BV141" s="711"/>
      <c r="BW141" s="711"/>
      <c r="BX141" s="711"/>
      <c r="BY141" s="711"/>
      <c r="BZ141" s="711"/>
      <c r="CA141" s="711"/>
      <c r="CB141" s="711"/>
      <c r="CC141" s="711"/>
      <c r="CD141" s="711"/>
      <c r="CE141" s="711"/>
      <c r="CF141" s="711"/>
      <c r="CG141" s="711"/>
      <c r="CH141" s="711"/>
      <c r="CI141" s="711"/>
      <c r="CJ141" s="711"/>
      <c r="CK141" s="711"/>
      <c r="CL141" s="711"/>
      <c r="CM141" s="711"/>
      <c r="CN141" s="711"/>
      <c r="CO141" s="711"/>
      <c r="CP141" s="711"/>
      <c r="CQ141" s="711"/>
      <c r="CR141" s="711"/>
      <c r="CS141" s="711"/>
      <c r="CT141" s="711"/>
      <c r="CU141" s="711"/>
      <c r="CV141" s="711"/>
      <c r="CW141" s="711"/>
      <c r="CX141" s="711"/>
      <c r="CY141" s="711"/>
      <c r="CZ141" s="711"/>
      <c r="DA141" s="711"/>
      <c r="DB141" s="711"/>
      <c r="DC141" s="711"/>
      <c r="DD141" s="711"/>
      <c r="DE141" s="711"/>
      <c r="DF141" s="711"/>
      <c r="DG141" s="711"/>
      <c r="DH141" s="711"/>
      <c r="DI141" s="711"/>
      <c r="DJ141" s="711"/>
      <c r="DK141" s="711"/>
      <c r="DL141" s="711"/>
      <c r="DM141" s="711"/>
      <c r="DN141" s="711"/>
      <c r="DO141" s="711"/>
      <c r="DP141" s="711"/>
      <c r="DQ141" s="711"/>
      <c r="DR141" s="711"/>
      <c r="DS141" s="711"/>
      <c r="DT141" s="711"/>
      <c r="DU141" s="711"/>
      <c r="DV141" s="711"/>
      <c r="DW141" s="711"/>
      <c r="DX141" s="711"/>
      <c r="DY141" s="711"/>
      <c r="DZ141" s="711"/>
      <c r="EA141" s="711"/>
      <c r="EB141" s="711"/>
      <c r="EC141" s="711"/>
      <c r="ED141" s="711"/>
      <c r="EE141" s="711"/>
      <c r="EF141" s="711"/>
      <c r="EG141" s="711"/>
      <c r="EH141" s="711"/>
      <c r="EI141" s="711"/>
      <c r="EJ141" s="711"/>
      <c r="EK141" s="711"/>
      <c r="EL141" s="711"/>
      <c r="EM141" s="711"/>
      <c r="EN141" s="711"/>
      <c r="EO141" s="711"/>
      <c r="EP141" s="711"/>
      <c r="EQ141" s="711"/>
      <c r="ER141" s="711"/>
      <c r="ES141" s="711"/>
      <c r="ET141" s="711"/>
      <c r="EU141" s="711"/>
      <c r="EV141" s="711"/>
      <c r="EW141" s="711"/>
      <c r="EX141" s="711"/>
      <c r="EY141" s="711"/>
      <c r="EZ141" s="711"/>
      <c r="FA141" s="711"/>
      <c r="FB141" s="711"/>
      <c r="FC141" s="711"/>
      <c r="FD141" s="711"/>
      <c r="FE141" s="711"/>
      <c r="FF141" s="711"/>
      <c r="FG141" s="711"/>
      <c r="FH141" s="711"/>
      <c r="FI141" s="711"/>
      <c r="FJ141" s="711"/>
      <c r="FK141" s="711"/>
      <c r="FL141" s="711"/>
      <c r="FM141" s="711"/>
      <c r="FN141" s="711"/>
      <c r="FO141" s="711"/>
      <c r="FP141" s="711"/>
      <c r="FQ141" s="711"/>
      <c r="FR141" s="711"/>
      <c r="FS141" s="711"/>
      <c r="FT141" s="711"/>
      <c r="FU141" s="711"/>
      <c r="FV141" s="711"/>
      <c r="FW141" s="711"/>
      <c r="FX141" s="711"/>
      <c r="FY141" s="711"/>
      <c r="FZ141" s="711"/>
      <c r="GA141" s="711"/>
      <c r="GB141" s="711"/>
      <c r="GC141" s="711"/>
      <c r="GD141" s="711"/>
      <c r="GE141" s="711"/>
      <c r="GF141" s="711"/>
      <c r="GG141" s="711"/>
      <c r="GH141" s="711"/>
      <c r="GI141" s="711"/>
      <c r="GJ141" s="711"/>
      <c r="GK141" s="711"/>
      <c r="GL141" s="711"/>
      <c r="GM141" s="711"/>
      <c r="GN141" s="711"/>
      <c r="GO141" s="711"/>
      <c r="GP141" s="711"/>
      <c r="GQ141" s="711"/>
      <c r="GR141" s="711"/>
      <c r="GS141" s="711"/>
      <c r="GT141" s="711"/>
      <c r="GU141" s="711"/>
      <c r="GV141" s="711"/>
      <c r="GW141" s="711"/>
      <c r="GX141" s="711"/>
      <c r="GY141" s="711"/>
      <c r="GZ141" s="711"/>
      <c r="HA141" s="711"/>
      <c r="HB141" s="711"/>
      <c r="HC141" s="711"/>
      <c r="HD141" s="711"/>
      <c r="HE141" s="711"/>
      <c r="HF141" s="711"/>
      <c r="HG141" s="711"/>
      <c r="HH141" s="711"/>
      <c r="HI141" s="711"/>
      <c r="HJ141" s="711"/>
      <c r="HK141" s="711"/>
      <c r="HL141" s="711"/>
      <c r="HM141" s="711"/>
      <c r="HN141" s="711"/>
      <c r="HO141" s="711"/>
      <c r="HP141" s="711"/>
      <c r="HQ141" s="711"/>
      <c r="HR141" s="711"/>
      <c r="HS141" s="711"/>
      <c r="HT141" s="711"/>
      <c r="HU141" s="711"/>
      <c r="HV141" s="711"/>
      <c r="HW141" s="711"/>
      <c r="HX141" s="711"/>
      <c r="HY141" s="711"/>
      <c r="HZ141" s="711"/>
      <c r="IA141" s="711"/>
      <c r="IB141" s="711"/>
      <c r="IC141" s="711"/>
      <c r="ID141" s="711"/>
      <c r="IE141" s="711"/>
      <c r="IF141" s="711"/>
      <c r="IG141" s="711"/>
      <c r="IH141" s="711"/>
      <c r="II141" s="711"/>
      <c r="IJ141" s="711"/>
      <c r="IK141" s="711"/>
      <c r="IL141" s="711"/>
      <c r="IM141" s="711"/>
      <c r="IN141" s="711"/>
      <c r="IO141" s="711"/>
      <c r="IP141" s="711"/>
      <c r="IQ141" s="711"/>
      <c r="IR141" s="711"/>
      <c r="IS141" s="711"/>
      <c r="IT141" s="711"/>
      <c r="IU141" s="711"/>
      <c r="IV141" s="711"/>
    </row>
    <row r="142" spans="1:256" ht="15.75" hidden="1" customHeight="1">
      <c r="A142" s="708" t="s">
        <v>344</v>
      </c>
      <c r="B142" s="690">
        <v>116713861.59999999</v>
      </c>
      <c r="C142" s="708">
        <v>91327838.599999994</v>
      </c>
      <c r="D142" s="691"/>
      <c r="E142" s="708">
        <f t="shared" si="18"/>
        <v>25386023</v>
      </c>
      <c r="F142" s="690">
        <v>-64856938.299999997</v>
      </c>
      <c r="G142" s="708">
        <v>39470915.200000003</v>
      </c>
      <c r="H142" s="708">
        <f>F142+G142</f>
        <v>-25386023.099999994</v>
      </c>
      <c r="I142" s="695"/>
      <c r="J142" s="708">
        <v>0</v>
      </c>
      <c r="K142" s="708">
        <f t="shared" si="20"/>
        <v>-25386023.099999994</v>
      </c>
      <c r="L142" s="693"/>
      <c r="M142" s="711"/>
      <c r="N142" s="711"/>
      <c r="O142" s="711"/>
      <c r="P142" s="711"/>
      <c r="Q142" s="711"/>
      <c r="R142" s="711"/>
      <c r="S142" s="711"/>
      <c r="T142" s="711"/>
      <c r="U142" s="711"/>
      <c r="V142" s="711"/>
      <c r="W142" s="711"/>
      <c r="X142" s="711"/>
      <c r="Y142" s="711"/>
      <c r="Z142" s="711"/>
      <c r="AA142" s="711"/>
      <c r="AB142" s="711"/>
      <c r="AC142" s="711"/>
      <c r="AD142" s="711"/>
      <c r="AE142" s="711"/>
      <c r="AF142" s="711"/>
      <c r="AG142" s="711"/>
      <c r="AH142" s="711"/>
      <c r="AI142" s="711"/>
      <c r="AJ142" s="711"/>
      <c r="AK142" s="711"/>
      <c r="AL142" s="711"/>
      <c r="AM142" s="711"/>
      <c r="AN142" s="711"/>
      <c r="AO142" s="711"/>
      <c r="AP142" s="711"/>
      <c r="AQ142" s="711"/>
      <c r="AR142" s="711"/>
      <c r="AS142" s="711"/>
      <c r="AT142" s="711"/>
      <c r="AU142" s="711"/>
      <c r="AV142" s="711"/>
      <c r="AW142" s="711"/>
      <c r="AX142" s="711"/>
      <c r="AY142" s="711"/>
      <c r="AZ142" s="711"/>
      <c r="BA142" s="711"/>
      <c r="BB142" s="711"/>
      <c r="BC142" s="711"/>
      <c r="BD142" s="711"/>
      <c r="BE142" s="711"/>
      <c r="BF142" s="711"/>
      <c r="BG142" s="711"/>
      <c r="BH142" s="711"/>
      <c r="BI142" s="711"/>
      <c r="BJ142" s="711"/>
      <c r="BK142" s="711"/>
      <c r="BL142" s="711"/>
      <c r="BM142" s="711"/>
      <c r="BN142" s="711"/>
      <c r="BO142" s="711"/>
      <c r="BP142" s="711"/>
      <c r="BQ142" s="711"/>
      <c r="BR142" s="711"/>
      <c r="BS142" s="711"/>
      <c r="BT142" s="711"/>
      <c r="BU142" s="711"/>
      <c r="BV142" s="711"/>
      <c r="BW142" s="711"/>
      <c r="BX142" s="711"/>
      <c r="BY142" s="711"/>
      <c r="BZ142" s="711"/>
      <c r="CA142" s="711"/>
      <c r="CB142" s="711"/>
      <c r="CC142" s="711"/>
      <c r="CD142" s="711"/>
      <c r="CE142" s="711"/>
      <c r="CF142" s="711"/>
      <c r="CG142" s="711"/>
      <c r="CH142" s="711"/>
      <c r="CI142" s="711"/>
      <c r="CJ142" s="711"/>
      <c r="CK142" s="711"/>
      <c r="CL142" s="711"/>
      <c r="CM142" s="711"/>
      <c r="CN142" s="711"/>
      <c r="CO142" s="711"/>
      <c r="CP142" s="711"/>
      <c r="CQ142" s="711"/>
      <c r="CR142" s="711"/>
      <c r="CS142" s="711"/>
      <c r="CT142" s="711"/>
      <c r="CU142" s="711"/>
      <c r="CV142" s="711"/>
      <c r="CW142" s="711"/>
      <c r="CX142" s="711"/>
      <c r="CY142" s="711"/>
      <c r="CZ142" s="711"/>
      <c r="DA142" s="711"/>
      <c r="DB142" s="711"/>
      <c r="DC142" s="711"/>
      <c r="DD142" s="711"/>
      <c r="DE142" s="711"/>
      <c r="DF142" s="711"/>
      <c r="DG142" s="711"/>
      <c r="DH142" s="711"/>
      <c r="DI142" s="711"/>
      <c r="DJ142" s="711"/>
      <c r="DK142" s="711"/>
      <c r="DL142" s="711"/>
      <c r="DM142" s="711"/>
      <c r="DN142" s="711"/>
      <c r="DO142" s="711"/>
      <c r="DP142" s="711"/>
      <c r="DQ142" s="711"/>
      <c r="DR142" s="711"/>
      <c r="DS142" s="711"/>
      <c r="DT142" s="711"/>
      <c r="DU142" s="711"/>
      <c r="DV142" s="711"/>
      <c r="DW142" s="711"/>
      <c r="DX142" s="711"/>
      <c r="DY142" s="711"/>
      <c r="DZ142" s="711"/>
      <c r="EA142" s="711"/>
      <c r="EB142" s="711"/>
      <c r="EC142" s="711"/>
      <c r="ED142" s="711"/>
      <c r="EE142" s="711"/>
      <c r="EF142" s="711"/>
      <c r="EG142" s="711"/>
      <c r="EH142" s="711"/>
      <c r="EI142" s="711"/>
      <c r="EJ142" s="711"/>
      <c r="EK142" s="711"/>
      <c r="EL142" s="711"/>
      <c r="EM142" s="711"/>
      <c r="EN142" s="711"/>
      <c r="EO142" s="711"/>
      <c r="EP142" s="711"/>
      <c r="EQ142" s="711"/>
      <c r="ER142" s="711"/>
      <c r="ES142" s="711"/>
      <c r="ET142" s="711"/>
      <c r="EU142" s="711"/>
      <c r="EV142" s="711"/>
      <c r="EW142" s="711"/>
      <c r="EX142" s="711"/>
      <c r="EY142" s="711"/>
      <c r="EZ142" s="711"/>
      <c r="FA142" s="711"/>
      <c r="FB142" s="711"/>
      <c r="FC142" s="711"/>
      <c r="FD142" s="711"/>
      <c r="FE142" s="711"/>
      <c r="FF142" s="711"/>
      <c r="FG142" s="711"/>
      <c r="FH142" s="711"/>
      <c r="FI142" s="711"/>
      <c r="FJ142" s="711"/>
      <c r="FK142" s="711"/>
      <c r="FL142" s="711"/>
      <c r="FM142" s="711"/>
      <c r="FN142" s="711"/>
      <c r="FO142" s="711"/>
      <c r="FP142" s="711"/>
      <c r="FQ142" s="711"/>
      <c r="FR142" s="711"/>
      <c r="FS142" s="711"/>
      <c r="FT142" s="711"/>
      <c r="FU142" s="711"/>
      <c r="FV142" s="711"/>
      <c r="FW142" s="711"/>
      <c r="FX142" s="711"/>
      <c r="FY142" s="711"/>
      <c r="FZ142" s="711"/>
      <c r="GA142" s="711"/>
      <c r="GB142" s="711"/>
      <c r="GC142" s="711"/>
      <c r="GD142" s="711"/>
      <c r="GE142" s="711"/>
      <c r="GF142" s="711"/>
      <c r="GG142" s="711"/>
      <c r="GH142" s="711"/>
      <c r="GI142" s="711"/>
      <c r="GJ142" s="711"/>
      <c r="GK142" s="711"/>
      <c r="GL142" s="711"/>
      <c r="GM142" s="711"/>
      <c r="GN142" s="711"/>
      <c r="GO142" s="711"/>
      <c r="GP142" s="711"/>
      <c r="GQ142" s="711"/>
      <c r="GR142" s="711"/>
      <c r="GS142" s="711"/>
      <c r="GT142" s="711"/>
      <c r="GU142" s="711"/>
      <c r="GV142" s="711"/>
      <c r="GW142" s="711"/>
      <c r="GX142" s="711"/>
      <c r="GY142" s="711"/>
      <c r="GZ142" s="711"/>
      <c r="HA142" s="711"/>
      <c r="HB142" s="711"/>
      <c r="HC142" s="711"/>
      <c r="HD142" s="711"/>
      <c r="HE142" s="711"/>
      <c r="HF142" s="711"/>
      <c r="HG142" s="711"/>
      <c r="HH142" s="711"/>
      <c r="HI142" s="711"/>
      <c r="HJ142" s="711"/>
      <c r="HK142" s="711"/>
      <c r="HL142" s="711"/>
      <c r="HM142" s="711"/>
      <c r="HN142" s="711"/>
      <c r="HO142" s="711"/>
      <c r="HP142" s="711"/>
      <c r="HQ142" s="711"/>
      <c r="HR142" s="711"/>
      <c r="HS142" s="711"/>
      <c r="HT142" s="711"/>
      <c r="HU142" s="711"/>
      <c r="HV142" s="711"/>
      <c r="HW142" s="711"/>
      <c r="HX142" s="711"/>
      <c r="HY142" s="711"/>
      <c r="HZ142" s="711"/>
      <c r="IA142" s="711"/>
      <c r="IB142" s="711"/>
      <c r="IC142" s="711"/>
      <c r="ID142" s="711"/>
      <c r="IE142" s="711"/>
      <c r="IF142" s="711"/>
      <c r="IG142" s="711"/>
      <c r="IH142" s="711"/>
      <c r="II142" s="711"/>
      <c r="IJ142" s="711"/>
      <c r="IK142" s="711"/>
      <c r="IL142" s="711"/>
      <c r="IM142" s="711"/>
      <c r="IN142" s="711"/>
      <c r="IO142" s="711"/>
      <c r="IP142" s="711"/>
      <c r="IQ142" s="711"/>
      <c r="IR142" s="711"/>
      <c r="IS142" s="711"/>
      <c r="IT142" s="711"/>
      <c r="IU142" s="711"/>
      <c r="IV142" s="711"/>
    </row>
    <row r="143" spans="1:256" ht="12.75" hidden="1" customHeight="1">
      <c r="A143" s="708"/>
      <c r="B143" s="690"/>
      <c r="C143" s="708"/>
      <c r="D143" s="691"/>
      <c r="E143" s="708"/>
      <c r="F143" s="690"/>
      <c r="G143" s="708"/>
      <c r="H143" s="708"/>
      <c r="I143" s="695"/>
      <c r="J143" s="708"/>
      <c r="K143" s="708"/>
      <c r="L143" s="693"/>
      <c r="M143" s="711"/>
      <c r="N143" s="711"/>
      <c r="O143" s="711"/>
      <c r="P143" s="711"/>
      <c r="Q143" s="711"/>
      <c r="R143" s="711"/>
      <c r="S143" s="711"/>
      <c r="T143" s="711"/>
      <c r="U143" s="711"/>
      <c r="V143" s="711"/>
      <c r="W143" s="711"/>
      <c r="X143" s="711"/>
      <c r="Y143" s="711"/>
      <c r="Z143" s="711"/>
      <c r="AA143" s="711"/>
      <c r="AB143" s="711"/>
      <c r="AC143" s="711"/>
      <c r="AD143" s="711"/>
      <c r="AE143" s="711"/>
      <c r="AF143" s="711"/>
      <c r="AG143" s="711"/>
      <c r="AH143" s="711"/>
      <c r="AI143" s="711"/>
      <c r="AJ143" s="711"/>
      <c r="AK143" s="711"/>
      <c r="AL143" s="711"/>
      <c r="AM143" s="711"/>
      <c r="AN143" s="711"/>
      <c r="AO143" s="711"/>
      <c r="AP143" s="711"/>
      <c r="AQ143" s="711"/>
      <c r="AR143" s="711"/>
      <c r="AS143" s="711"/>
      <c r="AT143" s="711"/>
      <c r="AU143" s="711"/>
      <c r="AV143" s="711"/>
      <c r="AW143" s="711"/>
      <c r="AX143" s="711"/>
      <c r="AY143" s="711"/>
      <c r="AZ143" s="711"/>
      <c r="BA143" s="711"/>
      <c r="BB143" s="711"/>
      <c r="BC143" s="711"/>
      <c r="BD143" s="711"/>
      <c r="BE143" s="711"/>
      <c r="BF143" s="711"/>
      <c r="BG143" s="711"/>
      <c r="BH143" s="711"/>
      <c r="BI143" s="711"/>
      <c r="BJ143" s="711"/>
      <c r="BK143" s="711"/>
      <c r="BL143" s="711"/>
      <c r="BM143" s="711"/>
      <c r="BN143" s="711"/>
      <c r="BO143" s="711"/>
      <c r="BP143" s="711"/>
      <c r="BQ143" s="711"/>
      <c r="BR143" s="711"/>
      <c r="BS143" s="711"/>
      <c r="BT143" s="711"/>
      <c r="BU143" s="711"/>
      <c r="BV143" s="711"/>
      <c r="BW143" s="711"/>
      <c r="BX143" s="711"/>
      <c r="BY143" s="711"/>
      <c r="BZ143" s="711"/>
      <c r="CA143" s="711"/>
      <c r="CB143" s="711"/>
      <c r="CC143" s="711"/>
      <c r="CD143" s="711"/>
      <c r="CE143" s="711"/>
      <c r="CF143" s="711"/>
      <c r="CG143" s="711"/>
      <c r="CH143" s="711"/>
      <c r="CI143" s="711"/>
      <c r="CJ143" s="711"/>
      <c r="CK143" s="711"/>
      <c r="CL143" s="711"/>
      <c r="CM143" s="711"/>
      <c r="CN143" s="711"/>
      <c r="CO143" s="711"/>
      <c r="CP143" s="711"/>
      <c r="CQ143" s="711"/>
      <c r="CR143" s="711"/>
      <c r="CS143" s="711"/>
      <c r="CT143" s="711"/>
      <c r="CU143" s="711"/>
      <c r="CV143" s="711"/>
      <c r="CW143" s="711"/>
      <c r="CX143" s="711"/>
      <c r="CY143" s="711"/>
      <c r="CZ143" s="711"/>
      <c r="DA143" s="711"/>
      <c r="DB143" s="711"/>
      <c r="DC143" s="711"/>
      <c r="DD143" s="711"/>
      <c r="DE143" s="711"/>
      <c r="DF143" s="711"/>
      <c r="DG143" s="711"/>
      <c r="DH143" s="711"/>
      <c r="DI143" s="711"/>
      <c r="DJ143" s="711"/>
      <c r="DK143" s="711"/>
      <c r="DL143" s="711"/>
      <c r="DM143" s="711"/>
      <c r="DN143" s="711"/>
      <c r="DO143" s="711"/>
      <c r="DP143" s="711"/>
      <c r="DQ143" s="711"/>
      <c r="DR143" s="711"/>
      <c r="DS143" s="711"/>
      <c r="DT143" s="711"/>
      <c r="DU143" s="711"/>
      <c r="DV143" s="711"/>
      <c r="DW143" s="711"/>
      <c r="DX143" s="711"/>
      <c r="DY143" s="711"/>
      <c r="DZ143" s="711"/>
      <c r="EA143" s="711"/>
      <c r="EB143" s="711"/>
      <c r="EC143" s="711"/>
      <c r="ED143" s="711"/>
      <c r="EE143" s="711"/>
      <c r="EF143" s="711"/>
      <c r="EG143" s="711"/>
      <c r="EH143" s="711"/>
      <c r="EI143" s="711"/>
      <c r="EJ143" s="711"/>
      <c r="EK143" s="711"/>
      <c r="EL143" s="711"/>
      <c r="EM143" s="711"/>
      <c r="EN143" s="711"/>
      <c r="EO143" s="711"/>
      <c r="EP143" s="711"/>
      <c r="EQ143" s="711"/>
      <c r="ER143" s="711"/>
      <c r="ES143" s="711"/>
      <c r="ET143" s="711"/>
      <c r="EU143" s="711"/>
      <c r="EV143" s="711"/>
      <c r="EW143" s="711"/>
      <c r="EX143" s="711"/>
      <c r="EY143" s="711"/>
      <c r="EZ143" s="711"/>
      <c r="FA143" s="711"/>
      <c r="FB143" s="711"/>
      <c r="FC143" s="711"/>
      <c r="FD143" s="711"/>
      <c r="FE143" s="711"/>
      <c r="FF143" s="711"/>
      <c r="FG143" s="711"/>
      <c r="FH143" s="711"/>
      <c r="FI143" s="711"/>
      <c r="FJ143" s="711"/>
      <c r="FK143" s="711"/>
      <c r="FL143" s="711"/>
      <c r="FM143" s="711"/>
      <c r="FN143" s="711"/>
      <c r="FO143" s="711"/>
      <c r="FP143" s="711"/>
      <c r="FQ143" s="711"/>
      <c r="FR143" s="711"/>
      <c r="FS143" s="711"/>
      <c r="FT143" s="711"/>
      <c r="FU143" s="711"/>
      <c r="FV143" s="711"/>
      <c r="FW143" s="711"/>
      <c r="FX143" s="711"/>
      <c r="FY143" s="711"/>
      <c r="FZ143" s="711"/>
      <c r="GA143" s="711"/>
      <c r="GB143" s="711"/>
      <c r="GC143" s="711"/>
      <c r="GD143" s="711"/>
      <c r="GE143" s="711"/>
      <c r="GF143" s="711"/>
      <c r="GG143" s="711"/>
      <c r="GH143" s="711"/>
      <c r="GI143" s="711"/>
      <c r="GJ143" s="711"/>
      <c r="GK143" s="711"/>
      <c r="GL143" s="711"/>
      <c r="GM143" s="711"/>
      <c r="GN143" s="711"/>
      <c r="GO143" s="711"/>
      <c r="GP143" s="711"/>
      <c r="GQ143" s="711"/>
      <c r="GR143" s="711"/>
      <c r="GS143" s="711"/>
      <c r="GT143" s="711"/>
      <c r="GU143" s="711"/>
      <c r="GV143" s="711"/>
      <c r="GW143" s="711"/>
      <c r="GX143" s="711"/>
      <c r="GY143" s="711"/>
      <c r="GZ143" s="711"/>
      <c r="HA143" s="711"/>
      <c r="HB143" s="711"/>
      <c r="HC143" s="711"/>
      <c r="HD143" s="711"/>
      <c r="HE143" s="711"/>
      <c r="HF143" s="711"/>
      <c r="HG143" s="711"/>
      <c r="HH143" s="711"/>
      <c r="HI143" s="711"/>
      <c r="HJ143" s="711"/>
      <c r="HK143" s="711"/>
      <c r="HL143" s="711"/>
      <c r="HM143" s="711"/>
      <c r="HN143" s="711"/>
      <c r="HO143" s="711"/>
      <c r="HP143" s="711"/>
      <c r="HQ143" s="711"/>
      <c r="HR143" s="711"/>
      <c r="HS143" s="711"/>
      <c r="HT143" s="711"/>
      <c r="HU143" s="711"/>
      <c r="HV143" s="711"/>
      <c r="HW143" s="711"/>
      <c r="HX143" s="711"/>
      <c r="HY143" s="711"/>
      <c r="HZ143" s="711"/>
      <c r="IA143" s="711"/>
      <c r="IB143" s="711"/>
      <c r="IC143" s="711"/>
      <c r="ID143" s="711"/>
      <c r="IE143" s="711"/>
      <c r="IF143" s="711"/>
      <c r="IG143" s="711"/>
      <c r="IH143" s="711"/>
      <c r="II143" s="711"/>
      <c r="IJ143" s="711"/>
      <c r="IK143" s="711"/>
      <c r="IL143" s="711"/>
      <c r="IM143" s="711"/>
      <c r="IN143" s="711"/>
      <c r="IO143" s="711"/>
      <c r="IP143" s="711"/>
      <c r="IQ143" s="711"/>
      <c r="IR143" s="711"/>
      <c r="IS143" s="711"/>
      <c r="IT143" s="711"/>
      <c r="IU143" s="711"/>
      <c r="IV143" s="711"/>
    </row>
    <row r="144" spans="1:256" ht="12.75" hidden="1" customHeight="1">
      <c r="A144" s="712">
        <v>2007</v>
      </c>
      <c r="B144" s="690"/>
      <c r="C144" s="708"/>
      <c r="D144" s="691"/>
      <c r="E144" s="708"/>
      <c r="F144" s="690"/>
      <c r="G144" s="713"/>
      <c r="H144" s="708"/>
      <c r="I144" s="695"/>
      <c r="J144" s="708"/>
      <c r="K144" s="708"/>
      <c r="L144" s="693"/>
      <c r="M144" s="711"/>
      <c r="N144" s="711"/>
      <c r="O144" s="711"/>
      <c r="P144" s="711"/>
      <c r="Q144" s="711"/>
      <c r="R144" s="711"/>
      <c r="S144" s="711"/>
      <c r="T144" s="711"/>
      <c r="U144" s="711"/>
      <c r="V144" s="711"/>
      <c r="W144" s="711"/>
      <c r="X144" s="711"/>
      <c r="Y144" s="711"/>
      <c r="Z144" s="711"/>
      <c r="AA144" s="711"/>
      <c r="AB144" s="711"/>
      <c r="AC144" s="711"/>
      <c r="AD144" s="711"/>
      <c r="AE144" s="711"/>
      <c r="AF144" s="711"/>
      <c r="AG144" s="711"/>
      <c r="AH144" s="711"/>
      <c r="AI144" s="711"/>
      <c r="AJ144" s="711"/>
      <c r="AK144" s="711"/>
      <c r="AL144" s="711"/>
      <c r="AM144" s="711"/>
      <c r="AN144" s="711"/>
      <c r="AO144" s="711"/>
      <c r="AP144" s="711"/>
      <c r="AQ144" s="711"/>
      <c r="AR144" s="711"/>
      <c r="AS144" s="711"/>
      <c r="AT144" s="711"/>
      <c r="AU144" s="711"/>
      <c r="AV144" s="711"/>
      <c r="AW144" s="711"/>
      <c r="AX144" s="711"/>
      <c r="AY144" s="711"/>
      <c r="AZ144" s="711"/>
      <c r="BA144" s="711"/>
      <c r="BB144" s="711"/>
      <c r="BC144" s="711"/>
      <c r="BD144" s="711"/>
      <c r="BE144" s="711"/>
      <c r="BF144" s="711"/>
      <c r="BG144" s="711"/>
      <c r="BH144" s="711"/>
      <c r="BI144" s="711"/>
      <c r="BJ144" s="711"/>
      <c r="BK144" s="711"/>
      <c r="BL144" s="711"/>
      <c r="BM144" s="711"/>
      <c r="BN144" s="711"/>
      <c r="BO144" s="711"/>
      <c r="BP144" s="711"/>
      <c r="BQ144" s="711"/>
      <c r="BR144" s="711"/>
      <c r="BS144" s="711"/>
      <c r="BT144" s="711"/>
      <c r="BU144" s="711"/>
      <c r="BV144" s="711"/>
      <c r="BW144" s="711"/>
      <c r="BX144" s="711"/>
      <c r="BY144" s="711"/>
      <c r="BZ144" s="711"/>
      <c r="CA144" s="711"/>
      <c r="CB144" s="711"/>
      <c r="CC144" s="711"/>
      <c r="CD144" s="711"/>
      <c r="CE144" s="711"/>
      <c r="CF144" s="711"/>
      <c r="CG144" s="711"/>
      <c r="CH144" s="711"/>
      <c r="CI144" s="711"/>
      <c r="CJ144" s="711"/>
      <c r="CK144" s="711"/>
      <c r="CL144" s="711"/>
      <c r="CM144" s="711"/>
      <c r="CN144" s="711"/>
      <c r="CO144" s="711"/>
      <c r="CP144" s="711"/>
      <c r="CQ144" s="711"/>
      <c r="CR144" s="711"/>
      <c r="CS144" s="711"/>
      <c r="CT144" s="711"/>
      <c r="CU144" s="711"/>
      <c r="CV144" s="711"/>
      <c r="CW144" s="711"/>
      <c r="CX144" s="711"/>
      <c r="CY144" s="711"/>
      <c r="CZ144" s="711"/>
      <c r="DA144" s="711"/>
      <c r="DB144" s="711"/>
      <c r="DC144" s="711"/>
      <c r="DD144" s="711"/>
      <c r="DE144" s="711"/>
      <c r="DF144" s="711"/>
      <c r="DG144" s="711"/>
      <c r="DH144" s="711"/>
      <c r="DI144" s="711"/>
      <c r="DJ144" s="711"/>
      <c r="DK144" s="711"/>
      <c r="DL144" s="711"/>
      <c r="DM144" s="711"/>
      <c r="DN144" s="711"/>
      <c r="DO144" s="711"/>
      <c r="DP144" s="711"/>
      <c r="DQ144" s="711"/>
      <c r="DR144" s="711"/>
      <c r="DS144" s="711"/>
      <c r="DT144" s="711"/>
      <c r="DU144" s="711"/>
      <c r="DV144" s="711"/>
      <c r="DW144" s="711"/>
      <c r="DX144" s="711"/>
      <c r="DY144" s="711"/>
      <c r="DZ144" s="711"/>
      <c r="EA144" s="711"/>
      <c r="EB144" s="711"/>
      <c r="EC144" s="711"/>
      <c r="ED144" s="711"/>
      <c r="EE144" s="711"/>
      <c r="EF144" s="711"/>
      <c r="EG144" s="711"/>
      <c r="EH144" s="711"/>
      <c r="EI144" s="711"/>
      <c r="EJ144" s="711"/>
      <c r="EK144" s="711"/>
      <c r="EL144" s="711"/>
      <c r="EM144" s="711"/>
      <c r="EN144" s="711"/>
      <c r="EO144" s="711"/>
      <c r="EP144" s="711"/>
      <c r="EQ144" s="711"/>
      <c r="ER144" s="711"/>
      <c r="ES144" s="711"/>
      <c r="ET144" s="711"/>
      <c r="EU144" s="711"/>
      <c r="EV144" s="711"/>
      <c r="EW144" s="711"/>
      <c r="EX144" s="711"/>
      <c r="EY144" s="711"/>
      <c r="EZ144" s="711"/>
      <c r="FA144" s="711"/>
      <c r="FB144" s="711"/>
      <c r="FC144" s="711"/>
      <c r="FD144" s="711"/>
      <c r="FE144" s="711"/>
      <c r="FF144" s="711"/>
      <c r="FG144" s="711"/>
      <c r="FH144" s="711"/>
      <c r="FI144" s="711"/>
      <c r="FJ144" s="711"/>
      <c r="FK144" s="711"/>
      <c r="FL144" s="711"/>
      <c r="FM144" s="711"/>
      <c r="FN144" s="711"/>
      <c r="FO144" s="711"/>
      <c r="FP144" s="711"/>
      <c r="FQ144" s="711"/>
      <c r="FR144" s="711"/>
      <c r="FS144" s="711"/>
      <c r="FT144" s="711"/>
      <c r="FU144" s="711"/>
      <c r="FV144" s="711"/>
      <c r="FW144" s="711"/>
      <c r="FX144" s="711"/>
      <c r="FY144" s="711"/>
      <c r="FZ144" s="711"/>
      <c r="GA144" s="711"/>
      <c r="GB144" s="711"/>
      <c r="GC144" s="711"/>
      <c r="GD144" s="711"/>
      <c r="GE144" s="711"/>
      <c r="GF144" s="711"/>
      <c r="GG144" s="711"/>
      <c r="GH144" s="711"/>
      <c r="GI144" s="711"/>
      <c r="GJ144" s="711"/>
      <c r="GK144" s="711"/>
      <c r="GL144" s="711"/>
      <c r="GM144" s="711"/>
      <c r="GN144" s="711"/>
      <c r="GO144" s="711"/>
      <c r="GP144" s="711"/>
      <c r="GQ144" s="711"/>
      <c r="GR144" s="711"/>
      <c r="GS144" s="711"/>
      <c r="GT144" s="711"/>
      <c r="GU144" s="711"/>
      <c r="GV144" s="711"/>
      <c r="GW144" s="711"/>
      <c r="GX144" s="711"/>
      <c r="GY144" s="711"/>
      <c r="GZ144" s="711"/>
      <c r="HA144" s="711"/>
      <c r="HB144" s="711"/>
      <c r="HC144" s="711"/>
      <c r="HD144" s="711"/>
      <c r="HE144" s="711"/>
      <c r="HF144" s="711"/>
      <c r="HG144" s="711"/>
      <c r="HH144" s="711"/>
      <c r="HI144" s="711"/>
      <c r="HJ144" s="711"/>
      <c r="HK144" s="711"/>
      <c r="HL144" s="711"/>
      <c r="HM144" s="711"/>
      <c r="HN144" s="711"/>
      <c r="HO144" s="711"/>
      <c r="HP144" s="711"/>
      <c r="HQ144" s="711"/>
      <c r="HR144" s="711"/>
      <c r="HS144" s="711"/>
      <c r="HT144" s="711"/>
      <c r="HU144" s="711"/>
      <c r="HV144" s="711"/>
      <c r="HW144" s="711"/>
      <c r="HX144" s="711"/>
      <c r="HY144" s="711"/>
      <c r="HZ144" s="711"/>
      <c r="IA144" s="711"/>
      <c r="IB144" s="711"/>
      <c r="IC144" s="711"/>
      <c r="ID144" s="711"/>
      <c r="IE144" s="711"/>
      <c r="IF144" s="711"/>
      <c r="IG144" s="711"/>
      <c r="IH144" s="711"/>
      <c r="II144" s="711"/>
      <c r="IJ144" s="711"/>
      <c r="IK144" s="711"/>
      <c r="IL144" s="711"/>
      <c r="IM144" s="711"/>
      <c r="IN144" s="711"/>
      <c r="IO144" s="711"/>
      <c r="IP144" s="711"/>
      <c r="IQ144" s="711"/>
      <c r="IR144" s="711"/>
      <c r="IS144" s="711"/>
      <c r="IT144" s="711"/>
      <c r="IU144" s="711"/>
      <c r="IV144" s="711"/>
    </row>
    <row r="145" spans="1:256" ht="12.75" hidden="1" customHeight="1">
      <c r="A145" s="712"/>
      <c r="B145" s="693"/>
      <c r="C145" s="708"/>
      <c r="D145" s="691"/>
      <c r="E145" s="708"/>
      <c r="F145" s="694"/>
      <c r="G145" s="714"/>
      <c r="H145" s="708"/>
      <c r="I145" s="695"/>
      <c r="J145" s="708"/>
      <c r="K145" s="708"/>
      <c r="L145" s="693"/>
      <c r="M145" s="711"/>
      <c r="N145" s="711"/>
      <c r="O145" s="711"/>
      <c r="P145" s="711"/>
      <c r="Q145" s="711"/>
      <c r="R145" s="711"/>
      <c r="S145" s="711"/>
      <c r="T145" s="711"/>
      <c r="U145" s="711"/>
      <c r="V145" s="711"/>
      <c r="W145" s="711"/>
      <c r="X145" s="711"/>
      <c r="Y145" s="711"/>
      <c r="Z145" s="711"/>
      <c r="AA145" s="711"/>
      <c r="AB145" s="711"/>
      <c r="AC145" s="711"/>
      <c r="AD145" s="711"/>
      <c r="AE145" s="711"/>
      <c r="AF145" s="711"/>
      <c r="AG145" s="711"/>
      <c r="AH145" s="711"/>
      <c r="AI145" s="711"/>
      <c r="AJ145" s="711"/>
      <c r="AK145" s="711"/>
      <c r="AL145" s="711"/>
      <c r="AM145" s="711"/>
      <c r="AN145" s="711"/>
      <c r="AO145" s="711"/>
      <c r="AP145" s="711"/>
      <c r="AQ145" s="711"/>
      <c r="AR145" s="711"/>
      <c r="AS145" s="711"/>
      <c r="AT145" s="711"/>
      <c r="AU145" s="711"/>
      <c r="AV145" s="711"/>
      <c r="AW145" s="711"/>
      <c r="AX145" s="711"/>
      <c r="AY145" s="711"/>
      <c r="AZ145" s="711"/>
      <c r="BA145" s="711"/>
      <c r="BB145" s="711"/>
      <c r="BC145" s="711"/>
      <c r="BD145" s="711"/>
      <c r="BE145" s="711"/>
      <c r="BF145" s="711"/>
      <c r="BG145" s="711"/>
      <c r="BH145" s="711"/>
      <c r="BI145" s="711"/>
      <c r="BJ145" s="711"/>
      <c r="BK145" s="711"/>
      <c r="BL145" s="711"/>
      <c r="BM145" s="711"/>
      <c r="BN145" s="711"/>
      <c r="BO145" s="711"/>
      <c r="BP145" s="711"/>
      <c r="BQ145" s="711"/>
      <c r="BR145" s="711"/>
      <c r="BS145" s="711"/>
      <c r="BT145" s="711"/>
      <c r="BU145" s="711"/>
      <c r="BV145" s="711"/>
      <c r="BW145" s="711"/>
      <c r="BX145" s="711"/>
      <c r="BY145" s="711"/>
      <c r="BZ145" s="711"/>
      <c r="CA145" s="711"/>
      <c r="CB145" s="711"/>
      <c r="CC145" s="711"/>
      <c r="CD145" s="711"/>
      <c r="CE145" s="711"/>
      <c r="CF145" s="711"/>
      <c r="CG145" s="711"/>
      <c r="CH145" s="711"/>
      <c r="CI145" s="711"/>
      <c r="CJ145" s="711"/>
      <c r="CK145" s="711"/>
      <c r="CL145" s="711"/>
      <c r="CM145" s="711"/>
      <c r="CN145" s="711"/>
      <c r="CO145" s="711"/>
      <c r="CP145" s="711"/>
      <c r="CQ145" s="711"/>
      <c r="CR145" s="711"/>
      <c r="CS145" s="711"/>
      <c r="CT145" s="711"/>
      <c r="CU145" s="711"/>
      <c r="CV145" s="711"/>
      <c r="CW145" s="711"/>
      <c r="CX145" s="711"/>
      <c r="CY145" s="711"/>
      <c r="CZ145" s="711"/>
      <c r="DA145" s="711"/>
      <c r="DB145" s="711"/>
      <c r="DC145" s="711"/>
      <c r="DD145" s="711"/>
      <c r="DE145" s="711"/>
      <c r="DF145" s="711"/>
      <c r="DG145" s="711"/>
      <c r="DH145" s="711"/>
      <c r="DI145" s="711"/>
      <c r="DJ145" s="711"/>
      <c r="DK145" s="711"/>
      <c r="DL145" s="711"/>
      <c r="DM145" s="711"/>
      <c r="DN145" s="711"/>
      <c r="DO145" s="711"/>
      <c r="DP145" s="711"/>
      <c r="DQ145" s="711"/>
      <c r="DR145" s="711"/>
      <c r="DS145" s="711"/>
      <c r="DT145" s="711"/>
      <c r="DU145" s="711"/>
      <c r="DV145" s="711"/>
      <c r="DW145" s="711"/>
      <c r="DX145" s="711"/>
      <c r="DY145" s="711"/>
      <c r="DZ145" s="711"/>
      <c r="EA145" s="711"/>
      <c r="EB145" s="711"/>
      <c r="EC145" s="711"/>
      <c r="ED145" s="711"/>
      <c r="EE145" s="711"/>
      <c r="EF145" s="711"/>
      <c r="EG145" s="711"/>
      <c r="EH145" s="711"/>
      <c r="EI145" s="711"/>
      <c r="EJ145" s="711"/>
      <c r="EK145" s="711"/>
      <c r="EL145" s="711"/>
      <c r="EM145" s="711"/>
      <c r="EN145" s="711"/>
      <c r="EO145" s="711"/>
      <c r="EP145" s="711"/>
      <c r="EQ145" s="711"/>
      <c r="ER145" s="711"/>
      <c r="ES145" s="711"/>
      <c r="ET145" s="711"/>
      <c r="EU145" s="711"/>
      <c r="EV145" s="711"/>
      <c r="EW145" s="711"/>
      <c r="EX145" s="711"/>
      <c r="EY145" s="711"/>
      <c r="EZ145" s="711"/>
      <c r="FA145" s="711"/>
      <c r="FB145" s="711"/>
      <c r="FC145" s="711"/>
      <c r="FD145" s="711"/>
      <c r="FE145" s="711"/>
      <c r="FF145" s="711"/>
      <c r="FG145" s="711"/>
      <c r="FH145" s="711"/>
      <c r="FI145" s="711"/>
      <c r="FJ145" s="711"/>
      <c r="FK145" s="711"/>
      <c r="FL145" s="711"/>
      <c r="FM145" s="711"/>
      <c r="FN145" s="711"/>
      <c r="FO145" s="711"/>
      <c r="FP145" s="711"/>
      <c r="FQ145" s="711"/>
      <c r="FR145" s="711"/>
      <c r="FS145" s="711"/>
      <c r="FT145" s="711"/>
      <c r="FU145" s="711"/>
      <c r="FV145" s="711"/>
      <c r="FW145" s="711"/>
      <c r="FX145" s="711"/>
      <c r="FY145" s="711"/>
      <c r="FZ145" s="711"/>
      <c r="GA145" s="711"/>
      <c r="GB145" s="711"/>
      <c r="GC145" s="711"/>
      <c r="GD145" s="711"/>
      <c r="GE145" s="711"/>
      <c r="GF145" s="711"/>
      <c r="GG145" s="711"/>
      <c r="GH145" s="711"/>
      <c r="GI145" s="711"/>
      <c r="GJ145" s="711"/>
      <c r="GK145" s="711"/>
      <c r="GL145" s="711"/>
      <c r="GM145" s="711"/>
      <c r="GN145" s="711"/>
      <c r="GO145" s="711"/>
      <c r="GP145" s="711"/>
      <c r="GQ145" s="711"/>
      <c r="GR145" s="711"/>
      <c r="GS145" s="711"/>
      <c r="GT145" s="711"/>
      <c r="GU145" s="711"/>
      <c r="GV145" s="711"/>
      <c r="GW145" s="711"/>
      <c r="GX145" s="711"/>
      <c r="GY145" s="711"/>
      <c r="GZ145" s="711"/>
      <c r="HA145" s="711"/>
      <c r="HB145" s="711"/>
      <c r="HC145" s="711"/>
      <c r="HD145" s="711"/>
      <c r="HE145" s="711"/>
      <c r="HF145" s="711"/>
      <c r="HG145" s="711"/>
      <c r="HH145" s="711"/>
      <c r="HI145" s="711"/>
      <c r="HJ145" s="711"/>
      <c r="HK145" s="711"/>
      <c r="HL145" s="711"/>
      <c r="HM145" s="711"/>
      <c r="HN145" s="711"/>
      <c r="HO145" s="711"/>
      <c r="HP145" s="711"/>
      <c r="HQ145" s="711"/>
      <c r="HR145" s="711"/>
      <c r="HS145" s="711"/>
      <c r="HT145" s="711"/>
      <c r="HU145" s="711"/>
      <c r="HV145" s="711"/>
      <c r="HW145" s="711"/>
      <c r="HX145" s="711"/>
      <c r="HY145" s="711"/>
      <c r="HZ145" s="711"/>
      <c r="IA145" s="711"/>
      <c r="IB145" s="711"/>
      <c r="IC145" s="711"/>
      <c r="ID145" s="711"/>
      <c r="IE145" s="711"/>
      <c r="IF145" s="711"/>
      <c r="IG145" s="711"/>
      <c r="IH145" s="711"/>
      <c r="II145" s="711"/>
      <c r="IJ145" s="711"/>
      <c r="IK145" s="711"/>
      <c r="IL145" s="711"/>
      <c r="IM145" s="711"/>
      <c r="IN145" s="711"/>
      <c r="IO145" s="711"/>
      <c r="IP145" s="711"/>
      <c r="IQ145" s="711"/>
      <c r="IR145" s="711"/>
      <c r="IS145" s="711"/>
      <c r="IT145" s="711"/>
      <c r="IU145" s="711"/>
      <c r="IV145" s="711"/>
    </row>
    <row r="146" spans="1:256" ht="15.75" hidden="1" customHeight="1">
      <c r="A146" s="708" t="s">
        <v>345</v>
      </c>
      <c r="B146" s="715">
        <v>13.701458460000003</v>
      </c>
      <c r="C146" s="716">
        <v>17.3943309</v>
      </c>
      <c r="D146" s="691"/>
      <c r="E146" s="716">
        <v>-6.1341946099999975E-3</v>
      </c>
      <c r="F146" s="717">
        <v>12.812926800000001</v>
      </c>
      <c r="G146" s="715">
        <v>-6.6787321799999999</v>
      </c>
      <c r="H146" s="716">
        <f t="shared" ref="H146:H157" si="21">F146+G146</f>
        <v>6.1341946200000015</v>
      </c>
      <c r="I146" s="695"/>
      <c r="J146" s="716">
        <v>0</v>
      </c>
      <c r="K146" s="716">
        <f t="shared" ref="K146:K157" si="22">J146+H146</f>
        <v>6.1341946200000015</v>
      </c>
      <c r="L146" s="693"/>
      <c r="M146" s="711"/>
      <c r="N146" s="711"/>
      <c r="O146" s="711"/>
      <c r="P146" s="711"/>
      <c r="Q146" s="711"/>
      <c r="R146" s="711"/>
      <c r="S146" s="711"/>
      <c r="T146" s="711"/>
      <c r="U146" s="711"/>
      <c r="V146" s="711"/>
      <c r="W146" s="711"/>
      <c r="X146" s="711"/>
      <c r="Y146" s="711"/>
      <c r="Z146" s="711"/>
      <c r="AA146" s="711"/>
      <c r="AB146" s="711"/>
      <c r="AC146" s="711"/>
      <c r="AD146" s="711"/>
      <c r="AE146" s="711"/>
      <c r="AF146" s="711"/>
      <c r="AG146" s="711"/>
      <c r="AH146" s="711"/>
      <c r="AI146" s="711"/>
      <c r="AJ146" s="711"/>
      <c r="AK146" s="711"/>
      <c r="AL146" s="711"/>
      <c r="AM146" s="711"/>
      <c r="AN146" s="711"/>
      <c r="AO146" s="711"/>
      <c r="AP146" s="711"/>
      <c r="AQ146" s="711"/>
      <c r="AR146" s="711"/>
      <c r="AS146" s="711"/>
      <c r="AT146" s="711"/>
      <c r="AU146" s="711"/>
      <c r="AV146" s="711"/>
      <c r="AW146" s="711"/>
      <c r="AX146" s="711"/>
      <c r="AY146" s="711"/>
      <c r="AZ146" s="711"/>
      <c r="BA146" s="711"/>
      <c r="BB146" s="711"/>
      <c r="BC146" s="711"/>
      <c r="BD146" s="711"/>
      <c r="BE146" s="711"/>
      <c r="BF146" s="711"/>
      <c r="BG146" s="711"/>
      <c r="BH146" s="711"/>
      <c r="BI146" s="711"/>
      <c r="BJ146" s="711"/>
      <c r="BK146" s="711"/>
      <c r="BL146" s="711"/>
      <c r="BM146" s="711"/>
      <c r="BN146" s="711"/>
      <c r="BO146" s="711"/>
      <c r="BP146" s="711"/>
      <c r="BQ146" s="711"/>
      <c r="BR146" s="711"/>
      <c r="BS146" s="711"/>
      <c r="BT146" s="711"/>
      <c r="BU146" s="711"/>
      <c r="BV146" s="711"/>
      <c r="BW146" s="711"/>
      <c r="BX146" s="711"/>
      <c r="BY146" s="711"/>
      <c r="BZ146" s="711"/>
      <c r="CA146" s="711"/>
      <c r="CB146" s="711"/>
      <c r="CC146" s="711"/>
      <c r="CD146" s="711"/>
      <c r="CE146" s="711"/>
      <c r="CF146" s="711"/>
      <c r="CG146" s="711"/>
      <c r="CH146" s="711"/>
      <c r="CI146" s="711"/>
      <c r="CJ146" s="711"/>
      <c r="CK146" s="711"/>
      <c r="CL146" s="711"/>
      <c r="CM146" s="711"/>
      <c r="CN146" s="711"/>
      <c r="CO146" s="711"/>
      <c r="CP146" s="711"/>
      <c r="CQ146" s="711"/>
      <c r="CR146" s="711"/>
      <c r="CS146" s="711"/>
      <c r="CT146" s="711"/>
      <c r="CU146" s="711"/>
      <c r="CV146" s="711"/>
      <c r="CW146" s="711"/>
      <c r="CX146" s="711"/>
      <c r="CY146" s="711"/>
      <c r="CZ146" s="711"/>
      <c r="DA146" s="711"/>
      <c r="DB146" s="711"/>
      <c r="DC146" s="711"/>
      <c r="DD146" s="711"/>
      <c r="DE146" s="711"/>
      <c r="DF146" s="711"/>
      <c r="DG146" s="711"/>
      <c r="DH146" s="711"/>
      <c r="DI146" s="711"/>
      <c r="DJ146" s="711"/>
      <c r="DK146" s="711"/>
      <c r="DL146" s="711"/>
      <c r="DM146" s="711"/>
      <c r="DN146" s="711"/>
      <c r="DO146" s="711"/>
      <c r="DP146" s="711"/>
      <c r="DQ146" s="711"/>
      <c r="DR146" s="711"/>
      <c r="DS146" s="711"/>
      <c r="DT146" s="711"/>
      <c r="DU146" s="711"/>
      <c r="DV146" s="711"/>
      <c r="DW146" s="711"/>
      <c r="DX146" s="711"/>
      <c r="DY146" s="711"/>
      <c r="DZ146" s="711"/>
      <c r="EA146" s="711"/>
      <c r="EB146" s="711"/>
      <c r="EC146" s="711"/>
      <c r="ED146" s="711"/>
      <c r="EE146" s="711"/>
      <c r="EF146" s="711"/>
      <c r="EG146" s="711"/>
      <c r="EH146" s="711"/>
      <c r="EI146" s="711"/>
      <c r="EJ146" s="711"/>
      <c r="EK146" s="711"/>
      <c r="EL146" s="711"/>
      <c r="EM146" s="711"/>
      <c r="EN146" s="711"/>
      <c r="EO146" s="711"/>
      <c r="EP146" s="711"/>
      <c r="EQ146" s="711"/>
      <c r="ER146" s="711"/>
      <c r="ES146" s="711"/>
      <c r="ET146" s="711"/>
      <c r="EU146" s="711"/>
      <c r="EV146" s="711"/>
      <c r="EW146" s="711"/>
      <c r="EX146" s="711"/>
      <c r="EY146" s="711"/>
      <c r="EZ146" s="711"/>
      <c r="FA146" s="711"/>
      <c r="FB146" s="711"/>
      <c r="FC146" s="711"/>
      <c r="FD146" s="711"/>
      <c r="FE146" s="711"/>
      <c r="FF146" s="711"/>
      <c r="FG146" s="711"/>
      <c r="FH146" s="711"/>
      <c r="FI146" s="711"/>
      <c r="FJ146" s="711"/>
      <c r="FK146" s="711"/>
      <c r="FL146" s="711"/>
      <c r="FM146" s="711"/>
      <c r="FN146" s="711"/>
      <c r="FO146" s="711"/>
      <c r="FP146" s="711"/>
      <c r="FQ146" s="711"/>
      <c r="FR146" s="711"/>
      <c r="FS146" s="711"/>
      <c r="FT146" s="711"/>
      <c r="FU146" s="711"/>
      <c r="FV146" s="711"/>
      <c r="FW146" s="711"/>
      <c r="FX146" s="711"/>
      <c r="FY146" s="711"/>
      <c r="FZ146" s="711"/>
      <c r="GA146" s="711"/>
      <c r="GB146" s="711"/>
      <c r="GC146" s="711"/>
      <c r="GD146" s="711"/>
      <c r="GE146" s="711"/>
      <c r="GF146" s="711"/>
      <c r="GG146" s="711"/>
      <c r="GH146" s="711"/>
      <c r="GI146" s="711"/>
      <c r="GJ146" s="711"/>
      <c r="GK146" s="711"/>
      <c r="GL146" s="711"/>
      <c r="GM146" s="711"/>
      <c r="GN146" s="711"/>
      <c r="GO146" s="711"/>
      <c r="GP146" s="711"/>
      <c r="GQ146" s="711"/>
      <c r="GR146" s="711"/>
      <c r="GS146" s="711"/>
      <c r="GT146" s="711"/>
      <c r="GU146" s="711"/>
      <c r="GV146" s="711"/>
      <c r="GW146" s="711"/>
      <c r="GX146" s="711"/>
      <c r="GY146" s="711"/>
      <c r="GZ146" s="711"/>
      <c r="HA146" s="711"/>
      <c r="HB146" s="711"/>
      <c r="HC146" s="711"/>
      <c r="HD146" s="711"/>
      <c r="HE146" s="711"/>
      <c r="HF146" s="711"/>
      <c r="HG146" s="711"/>
      <c r="HH146" s="711"/>
      <c r="HI146" s="711"/>
      <c r="HJ146" s="711"/>
      <c r="HK146" s="711"/>
      <c r="HL146" s="711"/>
      <c r="HM146" s="711"/>
      <c r="HN146" s="711"/>
      <c r="HO146" s="711"/>
      <c r="HP146" s="711"/>
      <c r="HQ146" s="711"/>
      <c r="HR146" s="711"/>
      <c r="HS146" s="711"/>
      <c r="HT146" s="711"/>
      <c r="HU146" s="711"/>
      <c r="HV146" s="711"/>
      <c r="HW146" s="711"/>
      <c r="HX146" s="711"/>
      <c r="HY146" s="711"/>
      <c r="HZ146" s="711"/>
      <c r="IA146" s="711"/>
      <c r="IB146" s="711"/>
      <c r="IC146" s="711"/>
      <c r="ID146" s="711"/>
      <c r="IE146" s="711"/>
      <c r="IF146" s="711"/>
      <c r="IG146" s="711"/>
      <c r="IH146" s="711"/>
      <c r="II146" s="711"/>
      <c r="IJ146" s="711"/>
      <c r="IK146" s="711"/>
      <c r="IL146" s="711"/>
      <c r="IM146" s="711"/>
      <c r="IN146" s="711"/>
      <c r="IO146" s="711"/>
      <c r="IP146" s="711"/>
      <c r="IQ146" s="711"/>
      <c r="IR146" s="711"/>
      <c r="IS146" s="711"/>
      <c r="IT146" s="711"/>
      <c r="IU146" s="711"/>
      <c r="IV146" s="711"/>
    </row>
    <row r="147" spans="1:256" ht="15.75" hidden="1" customHeight="1">
      <c r="A147" s="708" t="s">
        <v>334</v>
      </c>
      <c r="B147" s="716">
        <v>29.947961000999996</v>
      </c>
      <c r="C147" s="716">
        <v>39.252942699999998</v>
      </c>
      <c r="D147" s="691"/>
      <c r="E147" s="716">
        <v>-1.2744229178999998E-2</v>
      </c>
      <c r="F147" s="716">
        <v>18.20885024</v>
      </c>
      <c r="G147" s="717">
        <v>-5.4646210599999989</v>
      </c>
      <c r="H147" s="716">
        <f t="shared" si="21"/>
        <v>12.744229180000001</v>
      </c>
      <c r="I147" s="695"/>
      <c r="J147" s="716">
        <v>0</v>
      </c>
      <c r="K147" s="716">
        <f t="shared" si="22"/>
        <v>12.744229180000001</v>
      </c>
      <c r="L147" s="693"/>
      <c r="M147" s="711"/>
      <c r="N147" s="711"/>
      <c r="O147" s="711"/>
      <c r="P147" s="711"/>
      <c r="Q147" s="711"/>
      <c r="R147" s="711"/>
      <c r="S147" s="711"/>
      <c r="T147" s="711"/>
      <c r="U147" s="711"/>
      <c r="V147" s="711"/>
      <c r="W147" s="711"/>
      <c r="X147" s="711"/>
      <c r="Y147" s="711"/>
      <c r="Z147" s="711"/>
      <c r="AA147" s="711"/>
      <c r="AB147" s="711"/>
      <c r="AC147" s="711"/>
      <c r="AD147" s="711"/>
      <c r="AE147" s="711"/>
      <c r="AF147" s="711"/>
      <c r="AG147" s="711"/>
      <c r="AH147" s="711"/>
      <c r="AI147" s="711"/>
      <c r="AJ147" s="711"/>
      <c r="AK147" s="711"/>
      <c r="AL147" s="711"/>
      <c r="AM147" s="711"/>
      <c r="AN147" s="711"/>
      <c r="AO147" s="711"/>
      <c r="AP147" s="711"/>
      <c r="AQ147" s="711"/>
      <c r="AR147" s="711"/>
      <c r="AS147" s="711"/>
      <c r="AT147" s="711"/>
      <c r="AU147" s="711"/>
      <c r="AV147" s="711"/>
      <c r="AW147" s="711"/>
      <c r="AX147" s="711"/>
      <c r="AY147" s="711"/>
      <c r="AZ147" s="711"/>
      <c r="BA147" s="711"/>
      <c r="BB147" s="711"/>
      <c r="BC147" s="711"/>
      <c r="BD147" s="711"/>
      <c r="BE147" s="711"/>
      <c r="BF147" s="711"/>
      <c r="BG147" s="711"/>
      <c r="BH147" s="711"/>
      <c r="BI147" s="711"/>
      <c r="BJ147" s="711"/>
      <c r="BK147" s="711"/>
      <c r="BL147" s="711"/>
      <c r="BM147" s="711"/>
      <c r="BN147" s="711"/>
      <c r="BO147" s="711"/>
      <c r="BP147" s="711"/>
      <c r="BQ147" s="711"/>
      <c r="BR147" s="711"/>
      <c r="BS147" s="711"/>
      <c r="BT147" s="711"/>
      <c r="BU147" s="711"/>
      <c r="BV147" s="711"/>
      <c r="BW147" s="711"/>
      <c r="BX147" s="711"/>
      <c r="BY147" s="711"/>
      <c r="BZ147" s="711"/>
      <c r="CA147" s="711"/>
      <c r="CB147" s="711"/>
      <c r="CC147" s="711"/>
      <c r="CD147" s="711"/>
      <c r="CE147" s="711"/>
      <c r="CF147" s="711"/>
      <c r="CG147" s="711"/>
      <c r="CH147" s="711"/>
      <c r="CI147" s="711"/>
      <c r="CJ147" s="711"/>
      <c r="CK147" s="711"/>
      <c r="CL147" s="711"/>
      <c r="CM147" s="711"/>
      <c r="CN147" s="711"/>
      <c r="CO147" s="711"/>
      <c r="CP147" s="711"/>
      <c r="CQ147" s="711"/>
      <c r="CR147" s="711"/>
      <c r="CS147" s="711"/>
      <c r="CT147" s="711"/>
      <c r="CU147" s="711"/>
      <c r="CV147" s="711"/>
      <c r="CW147" s="711"/>
      <c r="CX147" s="711"/>
      <c r="CY147" s="711"/>
      <c r="CZ147" s="711"/>
      <c r="DA147" s="711"/>
      <c r="DB147" s="711"/>
      <c r="DC147" s="711"/>
      <c r="DD147" s="711"/>
      <c r="DE147" s="711"/>
      <c r="DF147" s="711"/>
      <c r="DG147" s="711"/>
      <c r="DH147" s="711"/>
      <c r="DI147" s="711"/>
      <c r="DJ147" s="711"/>
      <c r="DK147" s="711"/>
      <c r="DL147" s="711"/>
      <c r="DM147" s="711"/>
      <c r="DN147" s="711"/>
      <c r="DO147" s="711"/>
      <c r="DP147" s="711"/>
      <c r="DQ147" s="711"/>
      <c r="DR147" s="711"/>
      <c r="DS147" s="711"/>
      <c r="DT147" s="711"/>
      <c r="DU147" s="711"/>
      <c r="DV147" s="711"/>
      <c r="DW147" s="711"/>
      <c r="DX147" s="711"/>
      <c r="DY147" s="711"/>
      <c r="DZ147" s="711"/>
      <c r="EA147" s="711"/>
      <c r="EB147" s="711"/>
      <c r="EC147" s="711"/>
      <c r="ED147" s="711"/>
      <c r="EE147" s="711"/>
      <c r="EF147" s="711"/>
      <c r="EG147" s="711"/>
      <c r="EH147" s="711"/>
      <c r="EI147" s="711"/>
      <c r="EJ147" s="711"/>
      <c r="EK147" s="711"/>
      <c r="EL147" s="711"/>
      <c r="EM147" s="711"/>
      <c r="EN147" s="711"/>
      <c r="EO147" s="711"/>
      <c r="EP147" s="711"/>
      <c r="EQ147" s="711"/>
      <c r="ER147" s="711"/>
      <c r="ES147" s="711"/>
      <c r="ET147" s="711"/>
      <c r="EU147" s="711"/>
      <c r="EV147" s="711"/>
      <c r="EW147" s="711"/>
      <c r="EX147" s="711"/>
      <c r="EY147" s="711"/>
      <c r="EZ147" s="711"/>
      <c r="FA147" s="711"/>
      <c r="FB147" s="711"/>
      <c r="FC147" s="711"/>
      <c r="FD147" s="711"/>
      <c r="FE147" s="711"/>
      <c r="FF147" s="711"/>
      <c r="FG147" s="711"/>
      <c r="FH147" s="711"/>
      <c r="FI147" s="711"/>
      <c r="FJ147" s="711"/>
      <c r="FK147" s="711"/>
      <c r="FL147" s="711"/>
      <c r="FM147" s="711"/>
      <c r="FN147" s="711"/>
      <c r="FO147" s="711"/>
      <c r="FP147" s="711"/>
      <c r="FQ147" s="711"/>
      <c r="FR147" s="711"/>
      <c r="FS147" s="711"/>
      <c r="FT147" s="711"/>
      <c r="FU147" s="711"/>
      <c r="FV147" s="711"/>
      <c r="FW147" s="711"/>
      <c r="FX147" s="711"/>
      <c r="FY147" s="711"/>
      <c r="FZ147" s="711"/>
      <c r="GA147" s="711"/>
      <c r="GB147" s="711"/>
      <c r="GC147" s="711"/>
      <c r="GD147" s="711"/>
      <c r="GE147" s="711"/>
      <c r="GF147" s="711"/>
      <c r="GG147" s="711"/>
      <c r="GH147" s="711"/>
      <c r="GI147" s="711"/>
      <c r="GJ147" s="711"/>
      <c r="GK147" s="711"/>
      <c r="GL147" s="711"/>
      <c r="GM147" s="711"/>
      <c r="GN147" s="711"/>
      <c r="GO147" s="711"/>
      <c r="GP147" s="711"/>
      <c r="GQ147" s="711"/>
      <c r="GR147" s="711"/>
      <c r="GS147" s="711"/>
      <c r="GT147" s="711"/>
      <c r="GU147" s="711"/>
      <c r="GV147" s="711"/>
      <c r="GW147" s="711"/>
      <c r="GX147" s="711"/>
      <c r="GY147" s="711"/>
      <c r="GZ147" s="711"/>
      <c r="HA147" s="711"/>
      <c r="HB147" s="711"/>
      <c r="HC147" s="711"/>
      <c r="HD147" s="711"/>
      <c r="HE147" s="711"/>
      <c r="HF147" s="711"/>
      <c r="HG147" s="711"/>
      <c r="HH147" s="711"/>
      <c r="HI147" s="711"/>
      <c r="HJ147" s="711"/>
      <c r="HK147" s="711"/>
      <c r="HL147" s="711"/>
      <c r="HM147" s="711"/>
      <c r="HN147" s="711"/>
      <c r="HO147" s="711"/>
      <c r="HP147" s="711"/>
      <c r="HQ147" s="711"/>
      <c r="HR147" s="711"/>
      <c r="HS147" s="711"/>
      <c r="HT147" s="711"/>
      <c r="HU147" s="711"/>
      <c r="HV147" s="711"/>
      <c r="HW147" s="711"/>
      <c r="HX147" s="711"/>
      <c r="HY147" s="711"/>
      <c r="HZ147" s="711"/>
      <c r="IA147" s="711"/>
      <c r="IB147" s="711"/>
      <c r="IC147" s="711"/>
      <c r="ID147" s="711"/>
      <c r="IE147" s="711"/>
      <c r="IF147" s="711"/>
      <c r="IG147" s="711"/>
      <c r="IH147" s="711"/>
      <c r="II147" s="711"/>
      <c r="IJ147" s="711"/>
      <c r="IK147" s="711"/>
      <c r="IL147" s="711"/>
      <c r="IM147" s="711"/>
      <c r="IN147" s="711"/>
      <c r="IO147" s="711"/>
      <c r="IP147" s="711"/>
      <c r="IQ147" s="711"/>
      <c r="IR147" s="711"/>
      <c r="IS147" s="711"/>
      <c r="IT147" s="711"/>
      <c r="IU147" s="711"/>
      <c r="IV147" s="711"/>
    </row>
    <row r="148" spans="1:256" ht="15.75" hidden="1" customHeight="1">
      <c r="A148" s="708" t="s">
        <v>335</v>
      </c>
      <c r="B148" s="716">
        <v>35.1195722</v>
      </c>
      <c r="C148" s="716">
        <v>102.77195192000001</v>
      </c>
      <c r="D148" s="691"/>
      <c r="E148" s="716">
        <v>-5.5669424159999988E-2</v>
      </c>
      <c r="F148" s="716">
        <v>46.675569320000008</v>
      </c>
      <c r="G148" s="716">
        <v>-4.8791222799999998</v>
      </c>
      <c r="H148" s="716">
        <f t="shared" si="21"/>
        <v>41.796447040000011</v>
      </c>
      <c r="I148" s="695"/>
      <c r="J148" s="716">
        <v>0</v>
      </c>
      <c r="K148" s="716">
        <f t="shared" si="22"/>
        <v>41.796447040000011</v>
      </c>
      <c r="L148" s="693"/>
      <c r="M148" s="711"/>
      <c r="N148" s="711"/>
      <c r="O148" s="711"/>
      <c r="P148" s="711"/>
      <c r="Q148" s="711"/>
      <c r="R148" s="711"/>
      <c r="S148" s="711"/>
      <c r="T148" s="711"/>
      <c r="U148" s="711"/>
      <c r="V148" s="711"/>
      <c r="W148" s="711"/>
      <c r="X148" s="711"/>
      <c r="Y148" s="711"/>
      <c r="Z148" s="711"/>
      <c r="AA148" s="711"/>
      <c r="AB148" s="711"/>
      <c r="AC148" s="711"/>
      <c r="AD148" s="711"/>
      <c r="AE148" s="711"/>
      <c r="AF148" s="711"/>
      <c r="AG148" s="711"/>
      <c r="AH148" s="711"/>
      <c r="AI148" s="711"/>
      <c r="AJ148" s="711"/>
      <c r="AK148" s="711"/>
      <c r="AL148" s="711"/>
      <c r="AM148" s="711"/>
      <c r="AN148" s="711"/>
      <c r="AO148" s="711"/>
      <c r="AP148" s="711"/>
      <c r="AQ148" s="711"/>
      <c r="AR148" s="711"/>
      <c r="AS148" s="711"/>
      <c r="AT148" s="711"/>
      <c r="AU148" s="711"/>
      <c r="AV148" s="711"/>
      <c r="AW148" s="711"/>
      <c r="AX148" s="711"/>
      <c r="AY148" s="711"/>
      <c r="AZ148" s="711"/>
      <c r="BA148" s="711"/>
      <c r="BB148" s="711"/>
      <c r="BC148" s="711"/>
      <c r="BD148" s="711"/>
      <c r="BE148" s="711"/>
      <c r="BF148" s="711"/>
      <c r="BG148" s="711"/>
      <c r="BH148" s="711"/>
      <c r="BI148" s="711"/>
      <c r="BJ148" s="711"/>
      <c r="BK148" s="711"/>
      <c r="BL148" s="711"/>
      <c r="BM148" s="711"/>
      <c r="BN148" s="711"/>
      <c r="BO148" s="711"/>
      <c r="BP148" s="711"/>
      <c r="BQ148" s="711"/>
      <c r="BR148" s="711"/>
      <c r="BS148" s="711"/>
      <c r="BT148" s="711"/>
      <c r="BU148" s="711"/>
      <c r="BV148" s="711"/>
      <c r="BW148" s="711"/>
      <c r="BX148" s="711"/>
      <c r="BY148" s="711"/>
      <c r="BZ148" s="711"/>
      <c r="CA148" s="711"/>
      <c r="CB148" s="711"/>
      <c r="CC148" s="711"/>
      <c r="CD148" s="711"/>
      <c r="CE148" s="711"/>
      <c r="CF148" s="711"/>
      <c r="CG148" s="711"/>
      <c r="CH148" s="711"/>
      <c r="CI148" s="711"/>
      <c r="CJ148" s="711"/>
      <c r="CK148" s="711"/>
      <c r="CL148" s="711"/>
      <c r="CM148" s="711"/>
      <c r="CN148" s="711"/>
      <c r="CO148" s="711"/>
      <c r="CP148" s="711"/>
      <c r="CQ148" s="711"/>
      <c r="CR148" s="711"/>
      <c r="CS148" s="711"/>
      <c r="CT148" s="711"/>
      <c r="CU148" s="711"/>
      <c r="CV148" s="711"/>
      <c r="CW148" s="711"/>
      <c r="CX148" s="711"/>
      <c r="CY148" s="711"/>
      <c r="CZ148" s="711"/>
      <c r="DA148" s="711"/>
      <c r="DB148" s="711"/>
      <c r="DC148" s="711"/>
      <c r="DD148" s="711"/>
      <c r="DE148" s="711"/>
      <c r="DF148" s="711"/>
      <c r="DG148" s="711"/>
      <c r="DH148" s="711"/>
      <c r="DI148" s="711"/>
      <c r="DJ148" s="711"/>
      <c r="DK148" s="711"/>
      <c r="DL148" s="711"/>
      <c r="DM148" s="711"/>
      <c r="DN148" s="711"/>
      <c r="DO148" s="711"/>
      <c r="DP148" s="711"/>
      <c r="DQ148" s="711"/>
      <c r="DR148" s="711"/>
      <c r="DS148" s="711"/>
      <c r="DT148" s="711"/>
      <c r="DU148" s="711"/>
      <c r="DV148" s="711"/>
      <c r="DW148" s="711"/>
      <c r="DX148" s="711"/>
      <c r="DY148" s="711"/>
      <c r="DZ148" s="711"/>
      <c r="EA148" s="711"/>
      <c r="EB148" s="711"/>
      <c r="EC148" s="711"/>
      <c r="ED148" s="711"/>
      <c r="EE148" s="711"/>
      <c r="EF148" s="711"/>
      <c r="EG148" s="711"/>
      <c r="EH148" s="711"/>
      <c r="EI148" s="711"/>
      <c r="EJ148" s="711"/>
      <c r="EK148" s="711"/>
      <c r="EL148" s="711"/>
      <c r="EM148" s="711"/>
      <c r="EN148" s="711"/>
      <c r="EO148" s="711"/>
      <c r="EP148" s="711"/>
      <c r="EQ148" s="711"/>
      <c r="ER148" s="711"/>
      <c r="ES148" s="711"/>
      <c r="ET148" s="711"/>
      <c r="EU148" s="711"/>
      <c r="EV148" s="711"/>
      <c r="EW148" s="711"/>
      <c r="EX148" s="711"/>
      <c r="EY148" s="711"/>
      <c r="EZ148" s="711"/>
      <c r="FA148" s="711"/>
      <c r="FB148" s="711"/>
      <c r="FC148" s="711"/>
      <c r="FD148" s="711"/>
      <c r="FE148" s="711"/>
      <c r="FF148" s="711"/>
      <c r="FG148" s="711"/>
      <c r="FH148" s="711"/>
      <c r="FI148" s="711"/>
      <c r="FJ148" s="711"/>
      <c r="FK148" s="711"/>
      <c r="FL148" s="711"/>
      <c r="FM148" s="711"/>
      <c r="FN148" s="711"/>
      <c r="FO148" s="711"/>
      <c r="FP148" s="711"/>
      <c r="FQ148" s="711"/>
      <c r="FR148" s="711"/>
      <c r="FS148" s="711"/>
      <c r="FT148" s="711"/>
      <c r="FU148" s="711"/>
      <c r="FV148" s="711"/>
      <c r="FW148" s="711"/>
      <c r="FX148" s="711"/>
      <c r="FY148" s="711"/>
      <c r="FZ148" s="711"/>
      <c r="GA148" s="711"/>
      <c r="GB148" s="711"/>
      <c r="GC148" s="711"/>
      <c r="GD148" s="711"/>
      <c r="GE148" s="711"/>
      <c r="GF148" s="711"/>
      <c r="GG148" s="711"/>
      <c r="GH148" s="711"/>
      <c r="GI148" s="711"/>
      <c r="GJ148" s="711"/>
      <c r="GK148" s="711"/>
      <c r="GL148" s="711"/>
      <c r="GM148" s="711"/>
      <c r="GN148" s="711"/>
      <c r="GO148" s="711"/>
      <c r="GP148" s="711"/>
      <c r="GQ148" s="711"/>
      <c r="GR148" s="711"/>
      <c r="GS148" s="711"/>
      <c r="GT148" s="711"/>
      <c r="GU148" s="711"/>
      <c r="GV148" s="711"/>
      <c r="GW148" s="711"/>
      <c r="GX148" s="711"/>
      <c r="GY148" s="711"/>
      <c r="GZ148" s="711"/>
      <c r="HA148" s="711"/>
      <c r="HB148" s="711"/>
      <c r="HC148" s="711"/>
      <c r="HD148" s="711"/>
      <c r="HE148" s="711"/>
      <c r="HF148" s="711"/>
      <c r="HG148" s="711"/>
      <c r="HH148" s="711"/>
      <c r="HI148" s="711"/>
      <c r="HJ148" s="711"/>
      <c r="HK148" s="711"/>
      <c r="HL148" s="711"/>
      <c r="HM148" s="711"/>
      <c r="HN148" s="711"/>
      <c r="HO148" s="711"/>
      <c r="HP148" s="711"/>
      <c r="HQ148" s="711"/>
      <c r="HR148" s="711"/>
      <c r="HS148" s="711"/>
      <c r="HT148" s="711"/>
      <c r="HU148" s="711"/>
      <c r="HV148" s="711"/>
      <c r="HW148" s="711"/>
      <c r="HX148" s="711"/>
      <c r="HY148" s="711"/>
      <c r="HZ148" s="711"/>
      <c r="IA148" s="711"/>
      <c r="IB148" s="711"/>
      <c r="IC148" s="711"/>
      <c r="ID148" s="711"/>
      <c r="IE148" s="711"/>
      <c r="IF148" s="711"/>
      <c r="IG148" s="711"/>
      <c r="IH148" s="711"/>
      <c r="II148" s="711"/>
      <c r="IJ148" s="711"/>
      <c r="IK148" s="711"/>
      <c r="IL148" s="711"/>
      <c r="IM148" s="711"/>
      <c r="IN148" s="711"/>
      <c r="IO148" s="711"/>
      <c r="IP148" s="711"/>
      <c r="IQ148" s="711"/>
      <c r="IR148" s="711"/>
      <c r="IS148" s="711"/>
      <c r="IT148" s="711"/>
      <c r="IU148" s="711"/>
      <c r="IV148" s="711"/>
    </row>
    <row r="149" spans="1:256" ht="12.75" hidden="1" customHeight="1">
      <c r="A149" s="708" t="s">
        <v>336</v>
      </c>
      <c r="B149" s="716">
        <v>35.164552100000002</v>
      </c>
      <c r="C149" s="716">
        <v>55.922348379999995</v>
      </c>
      <c r="D149" s="691"/>
      <c r="E149" s="716">
        <f t="shared" ref="E149:E157" si="23">B149-C149</f>
        <v>-20.757796279999994</v>
      </c>
      <c r="F149" s="716">
        <v>23.035992099999998</v>
      </c>
      <c r="G149" s="716">
        <v>-2.2781958200000001</v>
      </c>
      <c r="H149" s="716">
        <f t="shared" si="21"/>
        <v>20.757796279999997</v>
      </c>
      <c r="I149" s="695"/>
      <c r="J149" s="716">
        <v>0</v>
      </c>
      <c r="K149" s="716">
        <f t="shared" si="22"/>
        <v>20.757796279999997</v>
      </c>
      <c r="L149" s="693"/>
      <c r="M149" s="711"/>
      <c r="N149" s="711"/>
      <c r="O149" s="711"/>
      <c r="P149" s="711"/>
      <c r="Q149" s="711"/>
      <c r="R149" s="711"/>
      <c r="S149" s="711"/>
      <c r="T149" s="711"/>
      <c r="U149" s="711"/>
      <c r="V149" s="711"/>
      <c r="W149" s="711"/>
      <c r="X149" s="711"/>
      <c r="Y149" s="711"/>
      <c r="Z149" s="711"/>
      <c r="AA149" s="711"/>
      <c r="AB149" s="711"/>
      <c r="AC149" s="711"/>
      <c r="AD149" s="711"/>
      <c r="AE149" s="711"/>
      <c r="AF149" s="711"/>
      <c r="AG149" s="711"/>
      <c r="AH149" s="711"/>
      <c r="AI149" s="711"/>
      <c r="AJ149" s="711"/>
      <c r="AK149" s="711"/>
      <c r="AL149" s="711"/>
      <c r="AM149" s="711"/>
      <c r="AN149" s="711"/>
      <c r="AO149" s="711"/>
      <c r="AP149" s="711"/>
      <c r="AQ149" s="711"/>
      <c r="AR149" s="711"/>
      <c r="AS149" s="711"/>
      <c r="AT149" s="711"/>
      <c r="AU149" s="711"/>
      <c r="AV149" s="711"/>
      <c r="AW149" s="711"/>
      <c r="AX149" s="711"/>
      <c r="AY149" s="711"/>
      <c r="AZ149" s="711"/>
      <c r="BA149" s="711"/>
      <c r="BB149" s="711"/>
      <c r="BC149" s="711"/>
      <c r="BD149" s="711"/>
      <c r="BE149" s="711"/>
      <c r="BF149" s="711"/>
      <c r="BG149" s="711"/>
      <c r="BH149" s="711"/>
      <c r="BI149" s="711"/>
      <c r="BJ149" s="711"/>
      <c r="BK149" s="711"/>
      <c r="BL149" s="711"/>
      <c r="BM149" s="711"/>
      <c r="BN149" s="711"/>
      <c r="BO149" s="711"/>
      <c r="BP149" s="711"/>
      <c r="BQ149" s="711"/>
      <c r="BR149" s="711"/>
      <c r="BS149" s="711"/>
      <c r="BT149" s="711"/>
      <c r="BU149" s="711"/>
      <c r="BV149" s="711"/>
      <c r="BW149" s="711"/>
      <c r="BX149" s="711"/>
      <c r="BY149" s="711"/>
      <c r="BZ149" s="711"/>
      <c r="CA149" s="711"/>
      <c r="CB149" s="711"/>
      <c r="CC149" s="711"/>
      <c r="CD149" s="711"/>
      <c r="CE149" s="711"/>
      <c r="CF149" s="711"/>
      <c r="CG149" s="711"/>
      <c r="CH149" s="711"/>
      <c r="CI149" s="711"/>
      <c r="CJ149" s="711"/>
      <c r="CK149" s="711"/>
      <c r="CL149" s="711"/>
      <c r="CM149" s="711"/>
      <c r="CN149" s="711"/>
      <c r="CO149" s="711"/>
      <c r="CP149" s="711"/>
      <c r="CQ149" s="711"/>
      <c r="CR149" s="711"/>
      <c r="CS149" s="711"/>
      <c r="CT149" s="711"/>
      <c r="CU149" s="711"/>
      <c r="CV149" s="711"/>
      <c r="CW149" s="711"/>
      <c r="CX149" s="711"/>
      <c r="CY149" s="711"/>
      <c r="CZ149" s="711"/>
      <c r="DA149" s="711"/>
      <c r="DB149" s="711"/>
      <c r="DC149" s="711"/>
      <c r="DD149" s="711"/>
      <c r="DE149" s="711"/>
      <c r="DF149" s="711"/>
      <c r="DG149" s="711"/>
      <c r="DH149" s="711"/>
      <c r="DI149" s="711"/>
      <c r="DJ149" s="711"/>
      <c r="DK149" s="711"/>
      <c r="DL149" s="711"/>
      <c r="DM149" s="711"/>
      <c r="DN149" s="711"/>
      <c r="DO149" s="711"/>
      <c r="DP149" s="711"/>
      <c r="DQ149" s="711"/>
      <c r="DR149" s="711"/>
      <c r="DS149" s="711"/>
      <c r="DT149" s="711"/>
      <c r="DU149" s="711"/>
      <c r="DV149" s="711"/>
      <c r="DW149" s="711"/>
      <c r="DX149" s="711"/>
      <c r="DY149" s="711"/>
      <c r="DZ149" s="711"/>
      <c r="EA149" s="711"/>
      <c r="EB149" s="711"/>
      <c r="EC149" s="711"/>
      <c r="ED149" s="711"/>
      <c r="EE149" s="711"/>
      <c r="EF149" s="711"/>
      <c r="EG149" s="711"/>
      <c r="EH149" s="711"/>
      <c r="EI149" s="711"/>
      <c r="EJ149" s="711"/>
      <c r="EK149" s="711"/>
      <c r="EL149" s="711"/>
      <c r="EM149" s="711"/>
      <c r="EN149" s="711"/>
      <c r="EO149" s="711"/>
      <c r="EP149" s="711"/>
      <c r="EQ149" s="711"/>
      <c r="ER149" s="711"/>
      <c r="ES149" s="711"/>
      <c r="ET149" s="711"/>
      <c r="EU149" s="711"/>
      <c r="EV149" s="711"/>
      <c r="EW149" s="711"/>
      <c r="EX149" s="711"/>
      <c r="EY149" s="711"/>
      <c r="EZ149" s="711"/>
      <c r="FA149" s="711"/>
      <c r="FB149" s="711"/>
      <c r="FC149" s="711"/>
      <c r="FD149" s="711"/>
      <c r="FE149" s="711"/>
      <c r="FF149" s="711"/>
      <c r="FG149" s="711"/>
      <c r="FH149" s="711"/>
      <c r="FI149" s="711"/>
      <c r="FJ149" s="711"/>
      <c r="FK149" s="711"/>
      <c r="FL149" s="711"/>
      <c r="FM149" s="711"/>
      <c r="FN149" s="711"/>
      <c r="FO149" s="711"/>
      <c r="FP149" s="711"/>
      <c r="FQ149" s="711"/>
      <c r="FR149" s="711"/>
      <c r="FS149" s="711"/>
      <c r="FT149" s="711"/>
      <c r="FU149" s="711"/>
      <c r="FV149" s="711"/>
      <c r="FW149" s="711"/>
      <c r="FX149" s="711"/>
      <c r="FY149" s="711"/>
      <c r="FZ149" s="711"/>
      <c r="GA149" s="711"/>
      <c r="GB149" s="711"/>
      <c r="GC149" s="711"/>
      <c r="GD149" s="711"/>
      <c r="GE149" s="711"/>
      <c r="GF149" s="711"/>
      <c r="GG149" s="711"/>
      <c r="GH149" s="711"/>
      <c r="GI149" s="711"/>
      <c r="GJ149" s="711"/>
      <c r="GK149" s="711"/>
      <c r="GL149" s="711"/>
      <c r="GM149" s="711"/>
      <c r="GN149" s="711"/>
      <c r="GO149" s="711"/>
      <c r="GP149" s="711"/>
      <c r="GQ149" s="711"/>
      <c r="GR149" s="711"/>
      <c r="GS149" s="711"/>
      <c r="GT149" s="711"/>
      <c r="GU149" s="711"/>
      <c r="GV149" s="711"/>
      <c r="GW149" s="711"/>
      <c r="GX149" s="711"/>
      <c r="GY149" s="711"/>
      <c r="GZ149" s="711"/>
      <c r="HA149" s="711"/>
      <c r="HB149" s="711"/>
      <c r="HC149" s="711"/>
      <c r="HD149" s="711"/>
      <c r="HE149" s="711"/>
      <c r="HF149" s="711"/>
      <c r="HG149" s="711"/>
      <c r="HH149" s="711"/>
      <c r="HI149" s="711"/>
      <c r="HJ149" s="711"/>
      <c r="HK149" s="711"/>
      <c r="HL149" s="711"/>
      <c r="HM149" s="711"/>
      <c r="HN149" s="711"/>
      <c r="HO149" s="711"/>
      <c r="HP149" s="711"/>
      <c r="HQ149" s="711"/>
      <c r="HR149" s="711"/>
      <c r="HS149" s="711"/>
      <c r="HT149" s="711"/>
      <c r="HU149" s="711"/>
      <c r="HV149" s="711"/>
      <c r="HW149" s="711"/>
      <c r="HX149" s="711"/>
      <c r="HY149" s="711"/>
      <c r="HZ149" s="711"/>
      <c r="IA149" s="711"/>
      <c r="IB149" s="711"/>
      <c r="IC149" s="711"/>
      <c r="ID149" s="711"/>
      <c r="IE149" s="711"/>
      <c r="IF149" s="711"/>
      <c r="IG149" s="711"/>
      <c r="IH149" s="711"/>
      <c r="II149" s="711"/>
      <c r="IJ149" s="711"/>
      <c r="IK149" s="711"/>
      <c r="IL149" s="711"/>
      <c r="IM149" s="711"/>
      <c r="IN149" s="711"/>
      <c r="IO149" s="711"/>
      <c r="IP149" s="711"/>
      <c r="IQ149" s="711"/>
      <c r="IR149" s="711"/>
      <c r="IS149" s="711"/>
      <c r="IT149" s="711"/>
      <c r="IU149" s="711"/>
      <c r="IV149" s="711"/>
    </row>
    <row r="150" spans="1:256" ht="12.75" hidden="1" customHeight="1">
      <c r="A150" s="708" t="s">
        <v>337</v>
      </c>
      <c r="B150" s="716">
        <v>61.295305210000002</v>
      </c>
      <c r="C150" s="716">
        <v>105.45309229</v>
      </c>
      <c r="D150" s="691"/>
      <c r="E150" s="716">
        <f t="shared" si="23"/>
        <v>-44.157787079999999</v>
      </c>
      <c r="F150" s="716">
        <v>45.124118870000004</v>
      </c>
      <c r="G150" s="716">
        <v>-0.96633183000000011</v>
      </c>
      <c r="H150" s="716">
        <f t="shared" si="21"/>
        <v>44.157787040000002</v>
      </c>
      <c r="I150" s="695"/>
      <c r="J150" s="716">
        <v>0</v>
      </c>
      <c r="K150" s="716">
        <f t="shared" si="22"/>
        <v>44.157787040000002</v>
      </c>
      <c r="L150" s="693"/>
      <c r="M150" s="711"/>
      <c r="N150" s="711"/>
      <c r="O150" s="711"/>
      <c r="P150" s="711"/>
      <c r="Q150" s="711"/>
      <c r="R150" s="711"/>
      <c r="S150" s="711"/>
      <c r="T150" s="711"/>
      <c r="U150" s="711"/>
      <c r="V150" s="711"/>
      <c r="W150" s="711"/>
      <c r="X150" s="711"/>
      <c r="Y150" s="711"/>
      <c r="Z150" s="711"/>
      <c r="AA150" s="711"/>
      <c r="AB150" s="711"/>
      <c r="AC150" s="711"/>
      <c r="AD150" s="711"/>
      <c r="AE150" s="711"/>
      <c r="AF150" s="711"/>
      <c r="AG150" s="711"/>
      <c r="AH150" s="711"/>
      <c r="AI150" s="711"/>
      <c r="AJ150" s="711"/>
      <c r="AK150" s="711"/>
      <c r="AL150" s="711"/>
      <c r="AM150" s="711"/>
      <c r="AN150" s="711"/>
      <c r="AO150" s="711"/>
      <c r="AP150" s="711"/>
      <c r="AQ150" s="711"/>
      <c r="AR150" s="711"/>
      <c r="AS150" s="711"/>
      <c r="AT150" s="711"/>
      <c r="AU150" s="711"/>
      <c r="AV150" s="711"/>
      <c r="AW150" s="711"/>
      <c r="AX150" s="711"/>
      <c r="AY150" s="711"/>
      <c r="AZ150" s="711"/>
      <c r="BA150" s="711"/>
      <c r="BB150" s="711"/>
      <c r="BC150" s="711"/>
      <c r="BD150" s="711"/>
      <c r="BE150" s="711"/>
      <c r="BF150" s="711"/>
      <c r="BG150" s="711"/>
      <c r="BH150" s="711"/>
      <c r="BI150" s="711"/>
      <c r="BJ150" s="711"/>
      <c r="BK150" s="711"/>
      <c r="BL150" s="711"/>
      <c r="BM150" s="711"/>
      <c r="BN150" s="711"/>
      <c r="BO150" s="711"/>
      <c r="BP150" s="711"/>
      <c r="BQ150" s="711"/>
      <c r="BR150" s="711"/>
      <c r="BS150" s="711"/>
      <c r="BT150" s="711"/>
      <c r="BU150" s="711"/>
      <c r="BV150" s="711"/>
      <c r="BW150" s="711"/>
      <c r="BX150" s="711"/>
      <c r="BY150" s="711"/>
      <c r="BZ150" s="711"/>
      <c r="CA150" s="711"/>
      <c r="CB150" s="711"/>
      <c r="CC150" s="711"/>
      <c r="CD150" s="711"/>
      <c r="CE150" s="711"/>
      <c r="CF150" s="711"/>
      <c r="CG150" s="711"/>
      <c r="CH150" s="711"/>
      <c r="CI150" s="711"/>
      <c r="CJ150" s="711"/>
      <c r="CK150" s="711"/>
      <c r="CL150" s="711"/>
      <c r="CM150" s="711"/>
      <c r="CN150" s="711"/>
      <c r="CO150" s="711"/>
      <c r="CP150" s="711"/>
      <c r="CQ150" s="711"/>
      <c r="CR150" s="711"/>
      <c r="CS150" s="711"/>
      <c r="CT150" s="711"/>
      <c r="CU150" s="711"/>
      <c r="CV150" s="711"/>
      <c r="CW150" s="711"/>
      <c r="CX150" s="711"/>
      <c r="CY150" s="711"/>
      <c r="CZ150" s="711"/>
      <c r="DA150" s="711"/>
      <c r="DB150" s="711"/>
      <c r="DC150" s="711"/>
      <c r="DD150" s="711"/>
      <c r="DE150" s="711"/>
      <c r="DF150" s="711"/>
      <c r="DG150" s="711"/>
      <c r="DH150" s="711"/>
      <c r="DI150" s="711"/>
      <c r="DJ150" s="711"/>
      <c r="DK150" s="711"/>
      <c r="DL150" s="711"/>
      <c r="DM150" s="711"/>
      <c r="DN150" s="711"/>
      <c r="DO150" s="711"/>
      <c r="DP150" s="711"/>
      <c r="DQ150" s="711"/>
      <c r="DR150" s="711"/>
      <c r="DS150" s="711"/>
      <c r="DT150" s="711"/>
      <c r="DU150" s="711"/>
      <c r="DV150" s="711"/>
      <c r="DW150" s="711"/>
      <c r="DX150" s="711"/>
      <c r="DY150" s="711"/>
      <c r="DZ150" s="711"/>
      <c r="EA150" s="711"/>
      <c r="EB150" s="711"/>
      <c r="EC150" s="711"/>
      <c r="ED150" s="711"/>
      <c r="EE150" s="711"/>
      <c r="EF150" s="711"/>
      <c r="EG150" s="711"/>
      <c r="EH150" s="711"/>
      <c r="EI150" s="711"/>
      <c r="EJ150" s="711"/>
      <c r="EK150" s="711"/>
      <c r="EL150" s="711"/>
      <c r="EM150" s="711"/>
      <c r="EN150" s="711"/>
      <c r="EO150" s="711"/>
      <c r="EP150" s="711"/>
      <c r="EQ150" s="711"/>
      <c r="ER150" s="711"/>
      <c r="ES150" s="711"/>
      <c r="ET150" s="711"/>
      <c r="EU150" s="711"/>
      <c r="EV150" s="711"/>
      <c r="EW150" s="711"/>
      <c r="EX150" s="711"/>
      <c r="EY150" s="711"/>
      <c r="EZ150" s="711"/>
      <c r="FA150" s="711"/>
      <c r="FB150" s="711"/>
      <c r="FC150" s="711"/>
      <c r="FD150" s="711"/>
      <c r="FE150" s="711"/>
      <c r="FF150" s="711"/>
      <c r="FG150" s="711"/>
      <c r="FH150" s="711"/>
      <c r="FI150" s="711"/>
      <c r="FJ150" s="711"/>
      <c r="FK150" s="711"/>
      <c r="FL150" s="711"/>
      <c r="FM150" s="711"/>
      <c r="FN150" s="711"/>
      <c r="FO150" s="711"/>
      <c r="FP150" s="711"/>
      <c r="FQ150" s="711"/>
      <c r="FR150" s="711"/>
      <c r="FS150" s="711"/>
      <c r="FT150" s="711"/>
      <c r="FU150" s="711"/>
      <c r="FV150" s="711"/>
      <c r="FW150" s="711"/>
      <c r="FX150" s="711"/>
      <c r="FY150" s="711"/>
      <c r="FZ150" s="711"/>
      <c r="GA150" s="711"/>
      <c r="GB150" s="711"/>
      <c r="GC150" s="711"/>
      <c r="GD150" s="711"/>
      <c r="GE150" s="711"/>
      <c r="GF150" s="711"/>
      <c r="GG150" s="711"/>
      <c r="GH150" s="711"/>
      <c r="GI150" s="711"/>
      <c r="GJ150" s="711"/>
      <c r="GK150" s="711"/>
      <c r="GL150" s="711"/>
      <c r="GM150" s="711"/>
      <c r="GN150" s="711"/>
      <c r="GO150" s="711"/>
      <c r="GP150" s="711"/>
      <c r="GQ150" s="711"/>
      <c r="GR150" s="711"/>
      <c r="GS150" s="711"/>
      <c r="GT150" s="711"/>
      <c r="GU150" s="711"/>
      <c r="GV150" s="711"/>
      <c r="GW150" s="711"/>
      <c r="GX150" s="711"/>
      <c r="GY150" s="711"/>
      <c r="GZ150" s="711"/>
      <c r="HA150" s="711"/>
      <c r="HB150" s="711"/>
      <c r="HC150" s="711"/>
      <c r="HD150" s="711"/>
      <c r="HE150" s="711"/>
      <c r="HF150" s="711"/>
      <c r="HG150" s="711"/>
      <c r="HH150" s="711"/>
      <c r="HI150" s="711"/>
      <c r="HJ150" s="711"/>
      <c r="HK150" s="711"/>
      <c r="HL150" s="711"/>
      <c r="HM150" s="711"/>
      <c r="HN150" s="711"/>
      <c r="HO150" s="711"/>
      <c r="HP150" s="711"/>
      <c r="HQ150" s="711"/>
      <c r="HR150" s="711"/>
      <c r="HS150" s="711"/>
      <c r="HT150" s="711"/>
      <c r="HU150" s="711"/>
      <c r="HV150" s="711"/>
      <c r="HW150" s="711"/>
      <c r="HX150" s="711"/>
      <c r="HY150" s="711"/>
      <c r="HZ150" s="711"/>
      <c r="IA150" s="711"/>
      <c r="IB150" s="711"/>
      <c r="IC150" s="711"/>
      <c r="ID150" s="711"/>
      <c r="IE150" s="711"/>
      <c r="IF150" s="711"/>
      <c r="IG150" s="711"/>
      <c r="IH150" s="711"/>
      <c r="II150" s="711"/>
      <c r="IJ150" s="711"/>
      <c r="IK150" s="711"/>
      <c r="IL150" s="711"/>
      <c r="IM150" s="711"/>
      <c r="IN150" s="711"/>
      <c r="IO150" s="711"/>
      <c r="IP150" s="711"/>
      <c r="IQ150" s="711"/>
      <c r="IR150" s="711"/>
      <c r="IS150" s="711"/>
      <c r="IT150" s="711"/>
      <c r="IU150" s="711"/>
      <c r="IV150" s="711"/>
    </row>
    <row r="151" spans="1:256" ht="12.75" hidden="1" customHeight="1">
      <c r="A151" s="708" t="s">
        <v>346</v>
      </c>
      <c r="B151" s="716">
        <v>0.34048733679999998</v>
      </c>
      <c r="C151" s="716">
        <v>0.58489271770000006</v>
      </c>
      <c r="D151" s="691"/>
      <c r="E151" s="716">
        <f t="shared" si="23"/>
        <v>-0.24440538090000008</v>
      </c>
      <c r="F151" s="716">
        <v>0.25195800270000002</v>
      </c>
      <c r="G151" s="716">
        <v>-7.5526217999999992E-3</v>
      </c>
      <c r="H151" s="716">
        <f t="shared" si="21"/>
        <v>0.24440538090000002</v>
      </c>
      <c r="I151" s="695"/>
      <c r="J151" s="716">
        <v>0</v>
      </c>
      <c r="K151" s="716">
        <f t="shared" si="22"/>
        <v>0.24440538090000002</v>
      </c>
      <c r="L151" s="693"/>
      <c r="M151" s="711"/>
      <c r="N151" s="711"/>
      <c r="O151" s="711"/>
      <c r="P151" s="711"/>
      <c r="Q151" s="711"/>
      <c r="R151" s="711"/>
      <c r="S151" s="711"/>
      <c r="T151" s="711"/>
      <c r="U151" s="711"/>
      <c r="V151" s="711"/>
      <c r="W151" s="711"/>
      <c r="X151" s="711"/>
      <c r="Y151" s="711"/>
      <c r="Z151" s="711"/>
      <c r="AA151" s="711"/>
      <c r="AB151" s="711"/>
      <c r="AC151" s="711"/>
      <c r="AD151" s="711"/>
      <c r="AE151" s="711"/>
      <c r="AF151" s="711"/>
      <c r="AG151" s="711"/>
      <c r="AH151" s="711"/>
      <c r="AI151" s="711"/>
      <c r="AJ151" s="711"/>
      <c r="AK151" s="711"/>
      <c r="AL151" s="711"/>
      <c r="AM151" s="711"/>
      <c r="AN151" s="711"/>
      <c r="AO151" s="711"/>
      <c r="AP151" s="711"/>
      <c r="AQ151" s="711"/>
      <c r="AR151" s="711"/>
      <c r="AS151" s="711"/>
      <c r="AT151" s="711"/>
      <c r="AU151" s="711"/>
      <c r="AV151" s="711"/>
      <c r="AW151" s="711"/>
      <c r="AX151" s="711"/>
      <c r="AY151" s="711"/>
      <c r="AZ151" s="711"/>
      <c r="BA151" s="711"/>
      <c r="BB151" s="711"/>
      <c r="BC151" s="711"/>
      <c r="BD151" s="711"/>
      <c r="BE151" s="711"/>
      <c r="BF151" s="711"/>
      <c r="BG151" s="711"/>
      <c r="BH151" s="711"/>
      <c r="BI151" s="711"/>
      <c r="BJ151" s="711"/>
      <c r="BK151" s="711"/>
      <c r="BL151" s="711"/>
      <c r="BM151" s="711"/>
      <c r="BN151" s="711"/>
      <c r="BO151" s="711"/>
      <c r="BP151" s="711"/>
      <c r="BQ151" s="711"/>
      <c r="BR151" s="711"/>
      <c r="BS151" s="711"/>
      <c r="BT151" s="711"/>
      <c r="BU151" s="711"/>
      <c r="BV151" s="711"/>
      <c r="BW151" s="711"/>
      <c r="BX151" s="711"/>
      <c r="BY151" s="711"/>
      <c r="BZ151" s="711"/>
      <c r="CA151" s="711"/>
      <c r="CB151" s="711"/>
      <c r="CC151" s="711"/>
      <c r="CD151" s="711"/>
      <c r="CE151" s="711"/>
      <c r="CF151" s="711"/>
      <c r="CG151" s="711"/>
      <c r="CH151" s="711"/>
      <c r="CI151" s="711"/>
      <c r="CJ151" s="711"/>
      <c r="CK151" s="711"/>
      <c r="CL151" s="711"/>
      <c r="CM151" s="711"/>
      <c r="CN151" s="711"/>
      <c r="CO151" s="711"/>
      <c r="CP151" s="711"/>
      <c r="CQ151" s="711"/>
      <c r="CR151" s="711"/>
      <c r="CS151" s="711"/>
      <c r="CT151" s="711"/>
      <c r="CU151" s="711"/>
      <c r="CV151" s="711"/>
      <c r="CW151" s="711"/>
      <c r="CX151" s="711"/>
      <c r="CY151" s="711"/>
      <c r="CZ151" s="711"/>
      <c r="DA151" s="711"/>
      <c r="DB151" s="711"/>
      <c r="DC151" s="711"/>
      <c r="DD151" s="711"/>
      <c r="DE151" s="711"/>
      <c r="DF151" s="711"/>
      <c r="DG151" s="711"/>
      <c r="DH151" s="711"/>
      <c r="DI151" s="711"/>
      <c r="DJ151" s="711"/>
      <c r="DK151" s="711"/>
      <c r="DL151" s="711"/>
      <c r="DM151" s="711"/>
      <c r="DN151" s="711"/>
      <c r="DO151" s="711"/>
      <c r="DP151" s="711"/>
      <c r="DQ151" s="711"/>
      <c r="DR151" s="711"/>
      <c r="DS151" s="711"/>
      <c r="DT151" s="711"/>
      <c r="DU151" s="711"/>
      <c r="DV151" s="711"/>
      <c r="DW151" s="711"/>
      <c r="DX151" s="711"/>
      <c r="DY151" s="711"/>
      <c r="DZ151" s="711"/>
      <c r="EA151" s="711"/>
      <c r="EB151" s="711"/>
      <c r="EC151" s="711"/>
      <c r="ED151" s="711"/>
      <c r="EE151" s="711"/>
      <c r="EF151" s="711"/>
      <c r="EG151" s="711"/>
      <c r="EH151" s="711"/>
      <c r="EI151" s="711"/>
      <c r="EJ151" s="711"/>
      <c r="EK151" s="711"/>
      <c r="EL151" s="711"/>
      <c r="EM151" s="711"/>
      <c r="EN151" s="711"/>
      <c r="EO151" s="711"/>
      <c r="EP151" s="711"/>
      <c r="EQ151" s="711"/>
      <c r="ER151" s="711"/>
      <c r="ES151" s="711"/>
      <c r="ET151" s="711"/>
      <c r="EU151" s="711"/>
      <c r="EV151" s="711"/>
      <c r="EW151" s="711"/>
      <c r="EX151" s="711"/>
      <c r="EY151" s="711"/>
      <c r="EZ151" s="711"/>
      <c r="FA151" s="711"/>
      <c r="FB151" s="711"/>
      <c r="FC151" s="711"/>
      <c r="FD151" s="711"/>
      <c r="FE151" s="711"/>
      <c r="FF151" s="711"/>
      <c r="FG151" s="711"/>
      <c r="FH151" s="711"/>
      <c r="FI151" s="711"/>
      <c r="FJ151" s="711"/>
      <c r="FK151" s="711"/>
      <c r="FL151" s="711"/>
      <c r="FM151" s="711"/>
      <c r="FN151" s="711"/>
      <c r="FO151" s="711"/>
      <c r="FP151" s="711"/>
      <c r="FQ151" s="711"/>
      <c r="FR151" s="711"/>
      <c r="FS151" s="711"/>
      <c r="FT151" s="711"/>
      <c r="FU151" s="711"/>
      <c r="FV151" s="711"/>
      <c r="FW151" s="711"/>
      <c r="FX151" s="711"/>
      <c r="FY151" s="711"/>
      <c r="FZ151" s="711"/>
      <c r="GA151" s="711"/>
      <c r="GB151" s="711"/>
      <c r="GC151" s="711"/>
      <c r="GD151" s="711"/>
      <c r="GE151" s="711"/>
      <c r="GF151" s="711"/>
      <c r="GG151" s="711"/>
      <c r="GH151" s="711"/>
      <c r="GI151" s="711"/>
      <c r="GJ151" s="711"/>
      <c r="GK151" s="711"/>
      <c r="GL151" s="711"/>
      <c r="GM151" s="711"/>
      <c r="GN151" s="711"/>
      <c r="GO151" s="711"/>
      <c r="GP151" s="711"/>
      <c r="GQ151" s="711"/>
      <c r="GR151" s="711"/>
      <c r="GS151" s="711"/>
      <c r="GT151" s="711"/>
      <c r="GU151" s="711"/>
      <c r="GV151" s="711"/>
      <c r="GW151" s="711"/>
      <c r="GX151" s="711"/>
      <c r="GY151" s="711"/>
      <c r="GZ151" s="711"/>
      <c r="HA151" s="711"/>
      <c r="HB151" s="711"/>
      <c r="HC151" s="711"/>
      <c r="HD151" s="711"/>
      <c r="HE151" s="711"/>
      <c r="HF151" s="711"/>
      <c r="HG151" s="711"/>
      <c r="HH151" s="711"/>
      <c r="HI151" s="711"/>
      <c r="HJ151" s="711"/>
      <c r="HK151" s="711"/>
      <c r="HL151" s="711"/>
      <c r="HM151" s="711"/>
      <c r="HN151" s="711"/>
      <c r="HO151" s="711"/>
      <c r="HP151" s="711"/>
      <c r="HQ151" s="711"/>
      <c r="HR151" s="711"/>
      <c r="HS151" s="711"/>
      <c r="HT151" s="711"/>
      <c r="HU151" s="711"/>
      <c r="HV151" s="711"/>
      <c r="HW151" s="711"/>
      <c r="HX151" s="711"/>
      <c r="HY151" s="711"/>
      <c r="HZ151" s="711"/>
      <c r="IA151" s="711"/>
      <c r="IB151" s="711"/>
      <c r="IC151" s="711"/>
      <c r="ID151" s="711"/>
      <c r="IE151" s="711"/>
      <c r="IF151" s="711"/>
      <c r="IG151" s="711"/>
      <c r="IH151" s="711"/>
      <c r="II151" s="711"/>
      <c r="IJ151" s="711"/>
      <c r="IK151" s="711"/>
      <c r="IL151" s="711"/>
      <c r="IM151" s="711"/>
      <c r="IN151" s="711"/>
      <c r="IO151" s="711"/>
      <c r="IP151" s="711"/>
      <c r="IQ151" s="711"/>
      <c r="IR151" s="711"/>
      <c r="IS151" s="711"/>
      <c r="IT151" s="711"/>
      <c r="IU151" s="711"/>
      <c r="IV151" s="711"/>
    </row>
    <row r="152" spans="1:256" ht="12.75" hidden="1" customHeight="1">
      <c r="A152" s="708" t="s">
        <v>347</v>
      </c>
      <c r="B152" s="716">
        <v>278.94213191</v>
      </c>
      <c r="C152" s="716">
        <v>354.88400255999994</v>
      </c>
      <c r="D152" s="691"/>
      <c r="E152" s="716">
        <f t="shared" si="23"/>
        <v>-75.941870649999942</v>
      </c>
      <c r="F152" s="716">
        <v>75.951870650000004</v>
      </c>
      <c r="G152" s="716">
        <v>-0.01</v>
      </c>
      <c r="H152" s="716">
        <f t="shared" si="21"/>
        <v>75.941870649999998</v>
      </c>
      <c r="I152" s="695"/>
      <c r="J152" s="716">
        <v>0</v>
      </c>
      <c r="K152" s="716">
        <f t="shared" si="22"/>
        <v>75.941870649999998</v>
      </c>
      <c r="L152" s="693"/>
      <c r="M152" s="711"/>
      <c r="N152" s="711"/>
      <c r="O152" s="711"/>
      <c r="P152" s="711"/>
      <c r="Q152" s="711"/>
      <c r="R152" s="711"/>
      <c r="S152" s="711"/>
      <c r="T152" s="711"/>
      <c r="U152" s="711"/>
      <c r="V152" s="711"/>
      <c r="W152" s="711"/>
      <c r="X152" s="711"/>
      <c r="Y152" s="711"/>
      <c r="Z152" s="711"/>
      <c r="AA152" s="711"/>
      <c r="AB152" s="711"/>
      <c r="AC152" s="711"/>
      <c r="AD152" s="711"/>
      <c r="AE152" s="711"/>
      <c r="AF152" s="711"/>
      <c r="AG152" s="711"/>
      <c r="AH152" s="711"/>
      <c r="AI152" s="711"/>
      <c r="AJ152" s="711"/>
      <c r="AK152" s="711"/>
      <c r="AL152" s="711"/>
      <c r="AM152" s="711"/>
      <c r="AN152" s="711"/>
      <c r="AO152" s="711"/>
      <c r="AP152" s="711"/>
      <c r="AQ152" s="711"/>
      <c r="AR152" s="711"/>
      <c r="AS152" s="711"/>
      <c r="AT152" s="711"/>
      <c r="AU152" s="711"/>
      <c r="AV152" s="711"/>
      <c r="AW152" s="711"/>
      <c r="AX152" s="711"/>
      <c r="AY152" s="711"/>
      <c r="AZ152" s="711"/>
      <c r="BA152" s="711"/>
      <c r="BB152" s="711"/>
      <c r="BC152" s="711"/>
      <c r="BD152" s="711"/>
      <c r="BE152" s="711"/>
      <c r="BF152" s="711"/>
      <c r="BG152" s="711"/>
      <c r="BH152" s="711"/>
      <c r="BI152" s="711"/>
      <c r="BJ152" s="711"/>
      <c r="BK152" s="711"/>
      <c r="BL152" s="711"/>
      <c r="BM152" s="711"/>
      <c r="BN152" s="711"/>
      <c r="BO152" s="711"/>
      <c r="BP152" s="711"/>
      <c r="BQ152" s="711"/>
      <c r="BR152" s="711"/>
      <c r="BS152" s="711"/>
      <c r="BT152" s="711"/>
      <c r="BU152" s="711"/>
      <c r="BV152" s="711"/>
      <c r="BW152" s="711"/>
      <c r="BX152" s="711"/>
      <c r="BY152" s="711"/>
      <c r="BZ152" s="711"/>
      <c r="CA152" s="711"/>
      <c r="CB152" s="711"/>
      <c r="CC152" s="711"/>
      <c r="CD152" s="711"/>
      <c r="CE152" s="711"/>
      <c r="CF152" s="711"/>
      <c r="CG152" s="711"/>
      <c r="CH152" s="711"/>
      <c r="CI152" s="711"/>
      <c r="CJ152" s="711"/>
      <c r="CK152" s="711"/>
      <c r="CL152" s="711"/>
      <c r="CM152" s="711"/>
      <c r="CN152" s="711"/>
      <c r="CO152" s="711"/>
      <c r="CP152" s="711"/>
      <c r="CQ152" s="711"/>
      <c r="CR152" s="711"/>
      <c r="CS152" s="711"/>
      <c r="CT152" s="711"/>
      <c r="CU152" s="711"/>
      <c r="CV152" s="711"/>
      <c r="CW152" s="711"/>
      <c r="CX152" s="711"/>
      <c r="CY152" s="711"/>
      <c r="CZ152" s="711"/>
      <c r="DA152" s="711"/>
      <c r="DB152" s="711"/>
      <c r="DC152" s="711"/>
      <c r="DD152" s="711"/>
      <c r="DE152" s="711"/>
      <c r="DF152" s="711"/>
      <c r="DG152" s="711"/>
      <c r="DH152" s="711"/>
      <c r="DI152" s="711"/>
      <c r="DJ152" s="711"/>
      <c r="DK152" s="711"/>
      <c r="DL152" s="711"/>
      <c r="DM152" s="711"/>
      <c r="DN152" s="711"/>
      <c r="DO152" s="711"/>
      <c r="DP152" s="711"/>
      <c r="DQ152" s="711"/>
      <c r="DR152" s="711"/>
      <c r="DS152" s="711"/>
      <c r="DT152" s="711"/>
      <c r="DU152" s="711"/>
      <c r="DV152" s="711"/>
      <c r="DW152" s="711"/>
      <c r="DX152" s="711"/>
      <c r="DY152" s="711"/>
      <c r="DZ152" s="711"/>
      <c r="EA152" s="711"/>
      <c r="EB152" s="711"/>
      <c r="EC152" s="711"/>
      <c r="ED152" s="711"/>
      <c r="EE152" s="711"/>
      <c r="EF152" s="711"/>
      <c r="EG152" s="711"/>
      <c r="EH152" s="711"/>
      <c r="EI152" s="711"/>
      <c r="EJ152" s="711"/>
      <c r="EK152" s="711"/>
      <c r="EL152" s="711"/>
      <c r="EM152" s="711"/>
      <c r="EN152" s="711"/>
      <c r="EO152" s="711"/>
      <c r="EP152" s="711"/>
      <c r="EQ152" s="711"/>
      <c r="ER152" s="711"/>
      <c r="ES152" s="711"/>
      <c r="ET152" s="711"/>
      <c r="EU152" s="711"/>
      <c r="EV152" s="711"/>
      <c r="EW152" s="711"/>
      <c r="EX152" s="711"/>
      <c r="EY152" s="711"/>
      <c r="EZ152" s="711"/>
      <c r="FA152" s="711"/>
      <c r="FB152" s="711"/>
      <c r="FC152" s="711"/>
      <c r="FD152" s="711"/>
      <c r="FE152" s="711"/>
      <c r="FF152" s="711"/>
      <c r="FG152" s="711"/>
      <c r="FH152" s="711"/>
      <c r="FI152" s="711"/>
      <c r="FJ152" s="711"/>
      <c r="FK152" s="711"/>
      <c r="FL152" s="711"/>
      <c r="FM152" s="711"/>
      <c r="FN152" s="711"/>
      <c r="FO152" s="711"/>
      <c r="FP152" s="711"/>
      <c r="FQ152" s="711"/>
      <c r="FR152" s="711"/>
      <c r="FS152" s="711"/>
      <c r="FT152" s="711"/>
      <c r="FU152" s="711"/>
      <c r="FV152" s="711"/>
      <c r="FW152" s="711"/>
      <c r="FX152" s="711"/>
      <c r="FY152" s="711"/>
      <c r="FZ152" s="711"/>
      <c r="GA152" s="711"/>
      <c r="GB152" s="711"/>
      <c r="GC152" s="711"/>
      <c r="GD152" s="711"/>
      <c r="GE152" s="711"/>
      <c r="GF152" s="711"/>
      <c r="GG152" s="711"/>
      <c r="GH152" s="711"/>
      <c r="GI152" s="711"/>
      <c r="GJ152" s="711"/>
      <c r="GK152" s="711"/>
      <c r="GL152" s="711"/>
      <c r="GM152" s="711"/>
      <c r="GN152" s="711"/>
      <c r="GO152" s="711"/>
      <c r="GP152" s="711"/>
      <c r="GQ152" s="711"/>
      <c r="GR152" s="711"/>
      <c r="GS152" s="711"/>
      <c r="GT152" s="711"/>
      <c r="GU152" s="711"/>
      <c r="GV152" s="711"/>
      <c r="GW152" s="711"/>
      <c r="GX152" s="711"/>
      <c r="GY152" s="711"/>
      <c r="GZ152" s="711"/>
      <c r="HA152" s="711"/>
      <c r="HB152" s="711"/>
      <c r="HC152" s="711"/>
      <c r="HD152" s="711"/>
      <c r="HE152" s="711"/>
      <c r="HF152" s="711"/>
      <c r="HG152" s="711"/>
      <c r="HH152" s="711"/>
      <c r="HI152" s="711"/>
      <c r="HJ152" s="711"/>
      <c r="HK152" s="711"/>
      <c r="HL152" s="711"/>
      <c r="HM152" s="711"/>
      <c r="HN152" s="711"/>
      <c r="HO152" s="711"/>
      <c r="HP152" s="711"/>
      <c r="HQ152" s="711"/>
      <c r="HR152" s="711"/>
      <c r="HS152" s="711"/>
      <c r="HT152" s="711"/>
      <c r="HU152" s="711"/>
      <c r="HV152" s="711"/>
      <c r="HW152" s="711"/>
      <c r="HX152" s="711"/>
      <c r="HY152" s="711"/>
      <c r="HZ152" s="711"/>
      <c r="IA152" s="711"/>
      <c r="IB152" s="711"/>
      <c r="IC152" s="711"/>
      <c r="ID152" s="711"/>
      <c r="IE152" s="711"/>
      <c r="IF152" s="711"/>
      <c r="IG152" s="711"/>
      <c r="IH152" s="711"/>
      <c r="II152" s="711"/>
      <c r="IJ152" s="711"/>
      <c r="IK152" s="711"/>
      <c r="IL152" s="711"/>
      <c r="IM152" s="711"/>
      <c r="IN152" s="711"/>
      <c r="IO152" s="711"/>
      <c r="IP152" s="711"/>
      <c r="IQ152" s="711"/>
      <c r="IR152" s="711"/>
      <c r="IS152" s="711"/>
      <c r="IT152" s="711"/>
      <c r="IU152" s="711"/>
      <c r="IV152" s="711"/>
    </row>
    <row r="153" spans="1:256" ht="12.75" hidden="1" customHeight="1">
      <c r="A153" s="708" t="s">
        <v>12</v>
      </c>
      <c r="B153" s="716">
        <v>445.18537789999999</v>
      </c>
      <c r="C153" s="716">
        <v>268.33420715</v>
      </c>
      <c r="D153" s="691"/>
      <c r="E153" s="716">
        <f t="shared" si="23"/>
        <v>176.85117074999999</v>
      </c>
      <c r="F153" s="716">
        <v>-181.96754239000001</v>
      </c>
      <c r="G153" s="716">
        <v>5.1163716099999998</v>
      </c>
      <c r="H153" s="716">
        <f t="shared" si="21"/>
        <v>-176.85117078000002</v>
      </c>
      <c r="I153" s="695"/>
      <c r="J153" s="716">
        <v>0</v>
      </c>
      <c r="K153" s="716">
        <f t="shared" si="22"/>
        <v>-176.85117078000002</v>
      </c>
      <c r="L153" s="693"/>
      <c r="M153" s="711"/>
      <c r="N153" s="711"/>
      <c r="O153" s="711"/>
      <c r="P153" s="711"/>
      <c r="Q153" s="711"/>
      <c r="R153" s="711"/>
      <c r="S153" s="711"/>
      <c r="T153" s="711"/>
      <c r="U153" s="711"/>
      <c r="V153" s="711"/>
      <c r="W153" s="711"/>
      <c r="X153" s="711"/>
      <c r="Y153" s="711"/>
      <c r="Z153" s="711"/>
      <c r="AA153" s="711"/>
      <c r="AB153" s="711"/>
      <c r="AC153" s="711"/>
      <c r="AD153" s="711"/>
      <c r="AE153" s="711"/>
      <c r="AF153" s="711"/>
      <c r="AG153" s="711"/>
      <c r="AH153" s="711"/>
      <c r="AI153" s="711"/>
      <c r="AJ153" s="711"/>
      <c r="AK153" s="711"/>
      <c r="AL153" s="711"/>
      <c r="AM153" s="711"/>
      <c r="AN153" s="711"/>
      <c r="AO153" s="711"/>
      <c r="AP153" s="711"/>
      <c r="AQ153" s="711"/>
      <c r="AR153" s="711"/>
      <c r="AS153" s="711"/>
      <c r="AT153" s="711"/>
      <c r="AU153" s="711"/>
      <c r="AV153" s="711"/>
      <c r="AW153" s="711"/>
      <c r="AX153" s="711"/>
      <c r="AY153" s="711"/>
      <c r="AZ153" s="711"/>
      <c r="BA153" s="711"/>
      <c r="BB153" s="711"/>
      <c r="BC153" s="711"/>
      <c r="BD153" s="711"/>
      <c r="BE153" s="711"/>
      <c r="BF153" s="711"/>
      <c r="BG153" s="711"/>
      <c r="BH153" s="711"/>
      <c r="BI153" s="711"/>
      <c r="BJ153" s="711"/>
      <c r="BK153" s="711"/>
      <c r="BL153" s="711"/>
      <c r="BM153" s="711"/>
      <c r="BN153" s="711"/>
      <c r="BO153" s="711"/>
      <c r="BP153" s="711"/>
      <c r="BQ153" s="711"/>
      <c r="BR153" s="711"/>
      <c r="BS153" s="711"/>
      <c r="BT153" s="711"/>
      <c r="BU153" s="711"/>
      <c r="BV153" s="711"/>
      <c r="BW153" s="711"/>
      <c r="BX153" s="711"/>
      <c r="BY153" s="711"/>
      <c r="BZ153" s="711"/>
      <c r="CA153" s="711"/>
      <c r="CB153" s="711"/>
      <c r="CC153" s="711"/>
      <c r="CD153" s="711"/>
      <c r="CE153" s="711"/>
      <c r="CF153" s="711"/>
      <c r="CG153" s="711"/>
      <c r="CH153" s="711"/>
      <c r="CI153" s="711"/>
      <c r="CJ153" s="711"/>
      <c r="CK153" s="711"/>
      <c r="CL153" s="711"/>
      <c r="CM153" s="711"/>
      <c r="CN153" s="711"/>
      <c r="CO153" s="711"/>
      <c r="CP153" s="711"/>
      <c r="CQ153" s="711"/>
      <c r="CR153" s="711"/>
      <c r="CS153" s="711"/>
      <c r="CT153" s="711"/>
      <c r="CU153" s="711"/>
      <c r="CV153" s="711"/>
      <c r="CW153" s="711"/>
      <c r="CX153" s="711"/>
      <c r="CY153" s="711"/>
      <c r="CZ153" s="711"/>
      <c r="DA153" s="711"/>
      <c r="DB153" s="711"/>
      <c r="DC153" s="711"/>
      <c r="DD153" s="711"/>
      <c r="DE153" s="711"/>
      <c r="DF153" s="711"/>
      <c r="DG153" s="711"/>
      <c r="DH153" s="711"/>
      <c r="DI153" s="711"/>
      <c r="DJ153" s="711"/>
      <c r="DK153" s="711"/>
      <c r="DL153" s="711"/>
      <c r="DM153" s="711"/>
      <c r="DN153" s="711"/>
      <c r="DO153" s="711"/>
      <c r="DP153" s="711"/>
      <c r="DQ153" s="711"/>
      <c r="DR153" s="711"/>
      <c r="DS153" s="711"/>
      <c r="DT153" s="711"/>
      <c r="DU153" s="711"/>
      <c r="DV153" s="711"/>
      <c r="DW153" s="711"/>
      <c r="DX153" s="711"/>
      <c r="DY153" s="711"/>
      <c r="DZ153" s="711"/>
      <c r="EA153" s="711"/>
      <c r="EB153" s="711"/>
      <c r="EC153" s="711"/>
      <c r="ED153" s="711"/>
      <c r="EE153" s="711"/>
      <c r="EF153" s="711"/>
      <c r="EG153" s="711"/>
      <c r="EH153" s="711"/>
      <c r="EI153" s="711"/>
      <c r="EJ153" s="711"/>
      <c r="EK153" s="711"/>
      <c r="EL153" s="711"/>
      <c r="EM153" s="711"/>
      <c r="EN153" s="711"/>
      <c r="EO153" s="711"/>
      <c r="EP153" s="711"/>
      <c r="EQ153" s="711"/>
      <c r="ER153" s="711"/>
      <c r="ES153" s="711"/>
      <c r="ET153" s="711"/>
      <c r="EU153" s="711"/>
      <c r="EV153" s="711"/>
      <c r="EW153" s="711"/>
      <c r="EX153" s="711"/>
      <c r="EY153" s="711"/>
      <c r="EZ153" s="711"/>
      <c r="FA153" s="711"/>
      <c r="FB153" s="711"/>
      <c r="FC153" s="711"/>
      <c r="FD153" s="711"/>
      <c r="FE153" s="711"/>
      <c r="FF153" s="711"/>
      <c r="FG153" s="711"/>
      <c r="FH153" s="711"/>
      <c r="FI153" s="711"/>
      <c r="FJ153" s="711"/>
      <c r="FK153" s="711"/>
      <c r="FL153" s="711"/>
      <c r="FM153" s="711"/>
      <c r="FN153" s="711"/>
      <c r="FO153" s="711"/>
      <c r="FP153" s="711"/>
      <c r="FQ153" s="711"/>
      <c r="FR153" s="711"/>
      <c r="FS153" s="711"/>
      <c r="FT153" s="711"/>
      <c r="FU153" s="711"/>
      <c r="FV153" s="711"/>
      <c r="FW153" s="711"/>
      <c r="FX153" s="711"/>
      <c r="FY153" s="711"/>
      <c r="FZ153" s="711"/>
      <c r="GA153" s="711"/>
      <c r="GB153" s="711"/>
      <c r="GC153" s="711"/>
      <c r="GD153" s="711"/>
      <c r="GE153" s="711"/>
      <c r="GF153" s="711"/>
      <c r="GG153" s="711"/>
      <c r="GH153" s="711"/>
      <c r="GI153" s="711"/>
      <c r="GJ153" s="711"/>
      <c r="GK153" s="711"/>
      <c r="GL153" s="711"/>
      <c r="GM153" s="711"/>
      <c r="GN153" s="711"/>
      <c r="GO153" s="711"/>
      <c r="GP153" s="711"/>
      <c r="GQ153" s="711"/>
      <c r="GR153" s="711"/>
      <c r="GS153" s="711"/>
      <c r="GT153" s="711"/>
      <c r="GU153" s="711"/>
      <c r="GV153" s="711"/>
      <c r="GW153" s="711"/>
      <c r="GX153" s="711"/>
      <c r="GY153" s="711"/>
      <c r="GZ153" s="711"/>
      <c r="HA153" s="711"/>
      <c r="HB153" s="711"/>
      <c r="HC153" s="711"/>
      <c r="HD153" s="711"/>
      <c r="HE153" s="711"/>
      <c r="HF153" s="711"/>
      <c r="HG153" s="711"/>
      <c r="HH153" s="711"/>
      <c r="HI153" s="711"/>
      <c r="HJ153" s="711"/>
      <c r="HK153" s="711"/>
      <c r="HL153" s="711"/>
      <c r="HM153" s="711"/>
      <c r="HN153" s="711"/>
      <c r="HO153" s="711"/>
      <c r="HP153" s="711"/>
      <c r="HQ153" s="711"/>
      <c r="HR153" s="711"/>
      <c r="HS153" s="711"/>
      <c r="HT153" s="711"/>
      <c r="HU153" s="711"/>
      <c r="HV153" s="711"/>
      <c r="HW153" s="711"/>
      <c r="HX153" s="711"/>
      <c r="HY153" s="711"/>
      <c r="HZ153" s="711"/>
      <c r="IA153" s="711"/>
      <c r="IB153" s="711"/>
      <c r="IC153" s="711"/>
      <c r="ID153" s="711"/>
      <c r="IE153" s="711"/>
      <c r="IF153" s="711"/>
      <c r="IG153" s="711"/>
      <c r="IH153" s="711"/>
      <c r="II153" s="711"/>
      <c r="IJ153" s="711"/>
      <c r="IK153" s="711"/>
      <c r="IL153" s="711"/>
      <c r="IM153" s="711"/>
      <c r="IN153" s="711"/>
      <c r="IO153" s="711"/>
      <c r="IP153" s="711"/>
      <c r="IQ153" s="711"/>
      <c r="IR153" s="711"/>
      <c r="IS153" s="711"/>
      <c r="IT153" s="711"/>
      <c r="IU153" s="711"/>
      <c r="IV153" s="711"/>
    </row>
    <row r="154" spans="1:256" ht="12.75" hidden="1" customHeight="1">
      <c r="A154" s="708" t="s">
        <v>13</v>
      </c>
      <c r="B154" s="716">
        <v>819.26293978000001</v>
      </c>
      <c r="C154" s="716">
        <v>620.68130101999998</v>
      </c>
      <c r="D154" s="691"/>
      <c r="E154" s="716">
        <f t="shared" si="23"/>
        <v>198.58163876000003</v>
      </c>
      <c r="F154" s="716">
        <v>-155.44037269999998</v>
      </c>
      <c r="G154" s="716">
        <v>-43.141266109999997</v>
      </c>
      <c r="H154" s="716">
        <f t="shared" si="21"/>
        <v>-198.58163880999999</v>
      </c>
      <c r="I154" s="695"/>
      <c r="J154" s="716">
        <v>0</v>
      </c>
      <c r="K154" s="716">
        <f t="shared" si="22"/>
        <v>-198.58163880999999</v>
      </c>
      <c r="L154" s="693"/>
      <c r="M154" s="711"/>
      <c r="N154" s="711"/>
      <c r="O154" s="711"/>
      <c r="P154" s="711"/>
      <c r="Q154" s="711"/>
      <c r="R154" s="711"/>
      <c r="S154" s="711"/>
      <c r="T154" s="711"/>
      <c r="U154" s="711"/>
      <c r="V154" s="711"/>
      <c r="W154" s="711"/>
      <c r="X154" s="711"/>
      <c r="Y154" s="711"/>
      <c r="Z154" s="711"/>
      <c r="AA154" s="711"/>
      <c r="AB154" s="711"/>
      <c r="AC154" s="711"/>
      <c r="AD154" s="711"/>
      <c r="AE154" s="711"/>
      <c r="AF154" s="711"/>
      <c r="AG154" s="711"/>
      <c r="AH154" s="711"/>
      <c r="AI154" s="711"/>
      <c r="AJ154" s="711"/>
      <c r="AK154" s="711"/>
      <c r="AL154" s="711"/>
      <c r="AM154" s="711"/>
      <c r="AN154" s="711"/>
      <c r="AO154" s="711"/>
      <c r="AP154" s="711"/>
      <c r="AQ154" s="711"/>
      <c r="AR154" s="711"/>
      <c r="AS154" s="711"/>
      <c r="AT154" s="711"/>
      <c r="AU154" s="711"/>
      <c r="AV154" s="711"/>
      <c r="AW154" s="711"/>
      <c r="AX154" s="711"/>
      <c r="AY154" s="711"/>
      <c r="AZ154" s="711"/>
      <c r="BA154" s="711"/>
      <c r="BB154" s="711"/>
      <c r="BC154" s="711"/>
      <c r="BD154" s="711"/>
      <c r="BE154" s="711"/>
      <c r="BF154" s="711"/>
      <c r="BG154" s="711"/>
      <c r="BH154" s="711"/>
      <c r="BI154" s="711"/>
      <c r="BJ154" s="711"/>
      <c r="BK154" s="711"/>
      <c r="BL154" s="711"/>
      <c r="BM154" s="711"/>
      <c r="BN154" s="711"/>
      <c r="BO154" s="711"/>
      <c r="BP154" s="711"/>
      <c r="BQ154" s="711"/>
      <c r="BR154" s="711"/>
      <c r="BS154" s="711"/>
      <c r="BT154" s="711"/>
      <c r="BU154" s="711"/>
      <c r="BV154" s="711"/>
      <c r="BW154" s="711"/>
      <c r="BX154" s="711"/>
      <c r="BY154" s="711"/>
      <c r="BZ154" s="711"/>
      <c r="CA154" s="711"/>
      <c r="CB154" s="711"/>
      <c r="CC154" s="711"/>
      <c r="CD154" s="711"/>
      <c r="CE154" s="711"/>
      <c r="CF154" s="711"/>
      <c r="CG154" s="711"/>
      <c r="CH154" s="711"/>
      <c r="CI154" s="711"/>
      <c r="CJ154" s="711"/>
      <c r="CK154" s="711"/>
      <c r="CL154" s="711"/>
      <c r="CM154" s="711"/>
      <c r="CN154" s="711"/>
      <c r="CO154" s="711"/>
      <c r="CP154" s="711"/>
      <c r="CQ154" s="711"/>
      <c r="CR154" s="711"/>
      <c r="CS154" s="711"/>
      <c r="CT154" s="711"/>
      <c r="CU154" s="711"/>
      <c r="CV154" s="711"/>
      <c r="CW154" s="711"/>
      <c r="CX154" s="711"/>
      <c r="CY154" s="711"/>
      <c r="CZ154" s="711"/>
      <c r="DA154" s="711"/>
      <c r="DB154" s="711"/>
      <c r="DC154" s="711"/>
      <c r="DD154" s="711"/>
      <c r="DE154" s="711"/>
      <c r="DF154" s="711"/>
      <c r="DG154" s="711"/>
      <c r="DH154" s="711"/>
      <c r="DI154" s="711"/>
      <c r="DJ154" s="711"/>
      <c r="DK154" s="711"/>
      <c r="DL154" s="711"/>
      <c r="DM154" s="711"/>
      <c r="DN154" s="711"/>
      <c r="DO154" s="711"/>
      <c r="DP154" s="711"/>
      <c r="DQ154" s="711"/>
      <c r="DR154" s="711"/>
      <c r="DS154" s="711"/>
      <c r="DT154" s="711"/>
      <c r="DU154" s="711"/>
      <c r="DV154" s="711"/>
      <c r="DW154" s="711"/>
      <c r="DX154" s="711"/>
      <c r="DY154" s="711"/>
      <c r="DZ154" s="711"/>
      <c r="EA154" s="711"/>
      <c r="EB154" s="711"/>
      <c r="EC154" s="711"/>
      <c r="ED154" s="711"/>
      <c r="EE154" s="711"/>
      <c r="EF154" s="711"/>
      <c r="EG154" s="711"/>
      <c r="EH154" s="711"/>
      <c r="EI154" s="711"/>
      <c r="EJ154" s="711"/>
      <c r="EK154" s="711"/>
      <c r="EL154" s="711"/>
      <c r="EM154" s="711"/>
      <c r="EN154" s="711"/>
      <c r="EO154" s="711"/>
      <c r="EP154" s="711"/>
      <c r="EQ154" s="711"/>
      <c r="ER154" s="711"/>
      <c r="ES154" s="711"/>
      <c r="ET154" s="711"/>
      <c r="EU154" s="711"/>
      <c r="EV154" s="711"/>
      <c r="EW154" s="711"/>
      <c r="EX154" s="711"/>
      <c r="EY154" s="711"/>
      <c r="EZ154" s="711"/>
      <c r="FA154" s="711"/>
      <c r="FB154" s="711"/>
      <c r="FC154" s="711"/>
      <c r="FD154" s="711"/>
      <c r="FE154" s="711"/>
      <c r="FF154" s="711"/>
      <c r="FG154" s="711"/>
      <c r="FH154" s="711"/>
      <c r="FI154" s="711"/>
      <c r="FJ154" s="711"/>
      <c r="FK154" s="711"/>
      <c r="FL154" s="711"/>
      <c r="FM154" s="711"/>
      <c r="FN154" s="711"/>
      <c r="FO154" s="711"/>
      <c r="FP154" s="711"/>
      <c r="FQ154" s="711"/>
      <c r="FR154" s="711"/>
      <c r="FS154" s="711"/>
      <c r="FT154" s="711"/>
      <c r="FU154" s="711"/>
      <c r="FV154" s="711"/>
      <c r="FW154" s="711"/>
      <c r="FX154" s="711"/>
      <c r="FY154" s="711"/>
      <c r="FZ154" s="711"/>
      <c r="GA154" s="711"/>
      <c r="GB154" s="711"/>
      <c r="GC154" s="711"/>
      <c r="GD154" s="711"/>
      <c r="GE154" s="711"/>
      <c r="GF154" s="711"/>
      <c r="GG154" s="711"/>
      <c r="GH154" s="711"/>
      <c r="GI154" s="711"/>
      <c r="GJ154" s="711"/>
      <c r="GK154" s="711"/>
      <c r="GL154" s="711"/>
      <c r="GM154" s="711"/>
      <c r="GN154" s="711"/>
      <c r="GO154" s="711"/>
      <c r="GP154" s="711"/>
      <c r="GQ154" s="711"/>
      <c r="GR154" s="711"/>
      <c r="GS154" s="711"/>
      <c r="GT154" s="711"/>
      <c r="GU154" s="711"/>
      <c r="GV154" s="711"/>
      <c r="GW154" s="711"/>
      <c r="GX154" s="711"/>
      <c r="GY154" s="711"/>
      <c r="GZ154" s="711"/>
      <c r="HA154" s="711"/>
      <c r="HB154" s="711"/>
      <c r="HC154" s="711"/>
      <c r="HD154" s="711"/>
      <c r="HE154" s="711"/>
      <c r="HF154" s="711"/>
      <c r="HG154" s="711"/>
      <c r="HH154" s="711"/>
      <c r="HI154" s="711"/>
      <c r="HJ154" s="711"/>
      <c r="HK154" s="711"/>
      <c r="HL154" s="711"/>
      <c r="HM154" s="711"/>
      <c r="HN154" s="711"/>
      <c r="HO154" s="711"/>
      <c r="HP154" s="711"/>
      <c r="HQ154" s="711"/>
      <c r="HR154" s="711"/>
      <c r="HS154" s="711"/>
      <c r="HT154" s="711"/>
      <c r="HU154" s="711"/>
      <c r="HV154" s="711"/>
      <c r="HW154" s="711"/>
      <c r="HX154" s="711"/>
      <c r="HY154" s="711"/>
      <c r="HZ154" s="711"/>
      <c r="IA154" s="711"/>
      <c r="IB154" s="711"/>
      <c r="IC154" s="711"/>
      <c r="ID154" s="711"/>
      <c r="IE154" s="711"/>
      <c r="IF154" s="711"/>
      <c r="IG154" s="711"/>
      <c r="IH154" s="711"/>
      <c r="II154" s="711"/>
      <c r="IJ154" s="711"/>
      <c r="IK154" s="711"/>
      <c r="IL154" s="711"/>
      <c r="IM154" s="711"/>
      <c r="IN154" s="711"/>
      <c r="IO154" s="711"/>
      <c r="IP154" s="711"/>
      <c r="IQ154" s="711"/>
      <c r="IR154" s="711"/>
      <c r="IS154" s="711"/>
      <c r="IT154" s="711"/>
      <c r="IU154" s="711"/>
      <c r="IV154" s="711"/>
    </row>
    <row r="155" spans="1:256" ht="12.75" hidden="1" customHeight="1">
      <c r="A155" s="708" t="s">
        <v>14</v>
      </c>
      <c r="B155" s="716">
        <v>918.20198272000005</v>
      </c>
      <c r="C155" s="716">
        <v>1840.26559892</v>
      </c>
      <c r="D155" s="691"/>
      <c r="E155" s="716">
        <f t="shared" si="23"/>
        <v>-922.06361619999996</v>
      </c>
      <c r="F155" s="716">
        <v>438.00423531000007</v>
      </c>
      <c r="G155" s="716">
        <v>484.05938086000003</v>
      </c>
      <c r="H155" s="716">
        <f t="shared" si="21"/>
        <v>922.06361617000016</v>
      </c>
      <c r="I155" s="695"/>
      <c r="J155" s="716">
        <v>0</v>
      </c>
      <c r="K155" s="716">
        <f t="shared" si="22"/>
        <v>922.06361617000016</v>
      </c>
      <c r="L155" s="693"/>
      <c r="M155" s="711"/>
      <c r="N155" s="711"/>
      <c r="O155" s="711"/>
      <c r="P155" s="711"/>
      <c r="Q155" s="711"/>
      <c r="R155" s="711"/>
      <c r="S155" s="711"/>
      <c r="T155" s="711"/>
      <c r="U155" s="711"/>
      <c r="V155" s="711"/>
      <c r="W155" s="711"/>
      <c r="X155" s="711"/>
      <c r="Y155" s="711"/>
      <c r="Z155" s="711"/>
      <c r="AA155" s="711"/>
      <c r="AB155" s="711"/>
      <c r="AC155" s="711"/>
      <c r="AD155" s="711"/>
      <c r="AE155" s="711"/>
      <c r="AF155" s="711"/>
      <c r="AG155" s="711"/>
      <c r="AH155" s="711"/>
      <c r="AI155" s="711"/>
      <c r="AJ155" s="711"/>
      <c r="AK155" s="711"/>
      <c r="AL155" s="711"/>
      <c r="AM155" s="711"/>
      <c r="AN155" s="711"/>
      <c r="AO155" s="711"/>
      <c r="AP155" s="711"/>
      <c r="AQ155" s="711"/>
      <c r="AR155" s="711"/>
      <c r="AS155" s="711"/>
      <c r="AT155" s="711"/>
      <c r="AU155" s="711"/>
      <c r="AV155" s="711"/>
      <c r="AW155" s="711"/>
      <c r="AX155" s="711"/>
      <c r="AY155" s="711"/>
      <c r="AZ155" s="711"/>
      <c r="BA155" s="711"/>
      <c r="BB155" s="711"/>
      <c r="BC155" s="711"/>
      <c r="BD155" s="711"/>
      <c r="BE155" s="711"/>
      <c r="BF155" s="711"/>
      <c r="BG155" s="711"/>
      <c r="BH155" s="711"/>
      <c r="BI155" s="711"/>
      <c r="BJ155" s="711"/>
      <c r="BK155" s="711"/>
      <c r="BL155" s="711"/>
      <c r="BM155" s="711"/>
      <c r="BN155" s="711"/>
      <c r="BO155" s="711"/>
      <c r="BP155" s="711"/>
      <c r="BQ155" s="711"/>
      <c r="BR155" s="711"/>
      <c r="BS155" s="711"/>
      <c r="BT155" s="711"/>
      <c r="BU155" s="711"/>
      <c r="BV155" s="711"/>
      <c r="BW155" s="711"/>
      <c r="BX155" s="711"/>
      <c r="BY155" s="711"/>
      <c r="BZ155" s="711"/>
      <c r="CA155" s="711"/>
      <c r="CB155" s="711"/>
      <c r="CC155" s="711"/>
      <c r="CD155" s="711"/>
      <c r="CE155" s="711"/>
      <c r="CF155" s="711"/>
      <c r="CG155" s="711"/>
      <c r="CH155" s="711"/>
      <c r="CI155" s="711"/>
      <c r="CJ155" s="711"/>
      <c r="CK155" s="711"/>
      <c r="CL155" s="711"/>
      <c r="CM155" s="711"/>
      <c r="CN155" s="711"/>
      <c r="CO155" s="711"/>
      <c r="CP155" s="711"/>
      <c r="CQ155" s="711"/>
      <c r="CR155" s="711"/>
      <c r="CS155" s="711"/>
      <c r="CT155" s="711"/>
      <c r="CU155" s="711"/>
      <c r="CV155" s="711"/>
      <c r="CW155" s="711"/>
      <c r="CX155" s="711"/>
      <c r="CY155" s="711"/>
      <c r="CZ155" s="711"/>
      <c r="DA155" s="711"/>
      <c r="DB155" s="711"/>
      <c r="DC155" s="711"/>
      <c r="DD155" s="711"/>
      <c r="DE155" s="711"/>
      <c r="DF155" s="711"/>
      <c r="DG155" s="711"/>
      <c r="DH155" s="711"/>
      <c r="DI155" s="711"/>
      <c r="DJ155" s="711"/>
      <c r="DK155" s="711"/>
      <c r="DL155" s="711"/>
      <c r="DM155" s="711"/>
      <c r="DN155" s="711"/>
      <c r="DO155" s="711"/>
      <c r="DP155" s="711"/>
      <c r="DQ155" s="711"/>
      <c r="DR155" s="711"/>
      <c r="DS155" s="711"/>
      <c r="DT155" s="711"/>
      <c r="DU155" s="711"/>
      <c r="DV155" s="711"/>
      <c r="DW155" s="711"/>
      <c r="DX155" s="711"/>
      <c r="DY155" s="711"/>
      <c r="DZ155" s="711"/>
      <c r="EA155" s="711"/>
      <c r="EB155" s="711"/>
      <c r="EC155" s="711"/>
      <c r="ED155" s="711"/>
      <c r="EE155" s="711"/>
      <c r="EF155" s="711"/>
      <c r="EG155" s="711"/>
      <c r="EH155" s="711"/>
      <c r="EI155" s="711"/>
      <c r="EJ155" s="711"/>
      <c r="EK155" s="711"/>
      <c r="EL155" s="711"/>
      <c r="EM155" s="711"/>
      <c r="EN155" s="711"/>
      <c r="EO155" s="711"/>
      <c r="EP155" s="711"/>
      <c r="EQ155" s="711"/>
      <c r="ER155" s="711"/>
      <c r="ES155" s="711"/>
      <c r="ET155" s="711"/>
      <c r="EU155" s="711"/>
      <c r="EV155" s="711"/>
      <c r="EW155" s="711"/>
      <c r="EX155" s="711"/>
      <c r="EY155" s="711"/>
      <c r="EZ155" s="711"/>
      <c r="FA155" s="711"/>
      <c r="FB155" s="711"/>
      <c r="FC155" s="711"/>
      <c r="FD155" s="711"/>
      <c r="FE155" s="711"/>
      <c r="FF155" s="711"/>
      <c r="FG155" s="711"/>
      <c r="FH155" s="711"/>
      <c r="FI155" s="711"/>
      <c r="FJ155" s="711"/>
      <c r="FK155" s="711"/>
      <c r="FL155" s="711"/>
      <c r="FM155" s="711"/>
      <c r="FN155" s="711"/>
      <c r="FO155" s="711"/>
      <c r="FP155" s="711"/>
      <c r="FQ155" s="711"/>
      <c r="FR155" s="711"/>
      <c r="FS155" s="711"/>
      <c r="FT155" s="711"/>
      <c r="FU155" s="711"/>
      <c r="FV155" s="711"/>
      <c r="FW155" s="711"/>
      <c r="FX155" s="711"/>
      <c r="FY155" s="711"/>
      <c r="FZ155" s="711"/>
      <c r="GA155" s="711"/>
      <c r="GB155" s="711"/>
      <c r="GC155" s="711"/>
      <c r="GD155" s="711"/>
      <c r="GE155" s="711"/>
      <c r="GF155" s="711"/>
      <c r="GG155" s="711"/>
      <c r="GH155" s="711"/>
      <c r="GI155" s="711"/>
      <c r="GJ155" s="711"/>
      <c r="GK155" s="711"/>
      <c r="GL155" s="711"/>
      <c r="GM155" s="711"/>
      <c r="GN155" s="711"/>
      <c r="GO155" s="711"/>
      <c r="GP155" s="711"/>
      <c r="GQ155" s="711"/>
      <c r="GR155" s="711"/>
      <c r="GS155" s="711"/>
      <c r="GT155" s="711"/>
      <c r="GU155" s="711"/>
      <c r="GV155" s="711"/>
      <c r="GW155" s="711"/>
      <c r="GX155" s="711"/>
      <c r="GY155" s="711"/>
      <c r="GZ155" s="711"/>
      <c r="HA155" s="711"/>
      <c r="HB155" s="711"/>
      <c r="HC155" s="711"/>
      <c r="HD155" s="711"/>
      <c r="HE155" s="711"/>
      <c r="HF155" s="711"/>
      <c r="HG155" s="711"/>
      <c r="HH155" s="711"/>
      <c r="HI155" s="711"/>
      <c r="HJ155" s="711"/>
      <c r="HK155" s="711"/>
      <c r="HL155" s="711"/>
      <c r="HM155" s="711"/>
      <c r="HN155" s="711"/>
      <c r="HO155" s="711"/>
      <c r="HP155" s="711"/>
      <c r="HQ155" s="711"/>
      <c r="HR155" s="711"/>
      <c r="HS155" s="711"/>
      <c r="HT155" s="711"/>
      <c r="HU155" s="711"/>
      <c r="HV155" s="711"/>
      <c r="HW155" s="711"/>
      <c r="HX155" s="711"/>
      <c r="HY155" s="711"/>
      <c r="HZ155" s="711"/>
      <c r="IA155" s="711"/>
      <c r="IB155" s="711"/>
      <c r="IC155" s="711"/>
      <c r="ID155" s="711"/>
      <c r="IE155" s="711"/>
      <c r="IF155" s="711"/>
      <c r="IG155" s="711"/>
      <c r="IH155" s="711"/>
      <c r="II155" s="711"/>
      <c r="IJ155" s="711"/>
      <c r="IK155" s="711"/>
      <c r="IL155" s="711"/>
      <c r="IM155" s="711"/>
      <c r="IN155" s="711"/>
      <c r="IO155" s="711"/>
      <c r="IP155" s="711"/>
      <c r="IQ155" s="711"/>
      <c r="IR155" s="711"/>
      <c r="IS155" s="711"/>
      <c r="IT155" s="711"/>
      <c r="IU155" s="711"/>
      <c r="IV155" s="711"/>
    </row>
    <row r="156" spans="1:256" ht="12.75" hidden="1" customHeight="1">
      <c r="A156" s="708" t="s">
        <v>15</v>
      </c>
      <c r="B156" s="716">
        <v>1753.0660206999999</v>
      </c>
      <c r="C156" s="716">
        <v>2241.3462385599996</v>
      </c>
      <c r="D156" s="691"/>
      <c r="E156" s="716">
        <f t="shared" si="23"/>
        <v>-488.28021785999977</v>
      </c>
      <c r="F156" s="716">
        <v>504.69808059999997</v>
      </c>
      <c r="G156" s="716">
        <v>-16.41786274</v>
      </c>
      <c r="H156" s="716">
        <f t="shared" si="21"/>
        <v>488.28021785999999</v>
      </c>
      <c r="I156" s="695"/>
      <c r="J156" s="716">
        <v>0</v>
      </c>
      <c r="K156" s="716">
        <f t="shared" si="22"/>
        <v>488.28021785999999</v>
      </c>
      <c r="L156" s="693"/>
      <c r="M156" s="711"/>
      <c r="N156" s="711"/>
      <c r="O156" s="711"/>
      <c r="P156" s="711"/>
      <c r="Q156" s="711"/>
      <c r="R156" s="711"/>
      <c r="S156" s="711"/>
      <c r="T156" s="711"/>
      <c r="U156" s="711"/>
      <c r="V156" s="711"/>
      <c r="W156" s="711"/>
      <c r="X156" s="711"/>
      <c r="Y156" s="711"/>
      <c r="Z156" s="711"/>
      <c r="AA156" s="711"/>
      <c r="AB156" s="711"/>
      <c r="AC156" s="711"/>
      <c r="AD156" s="711"/>
      <c r="AE156" s="711"/>
      <c r="AF156" s="711"/>
      <c r="AG156" s="711"/>
      <c r="AH156" s="711"/>
      <c r="AI156" s="711"/>
      <c r="AJ156" s="711"/>
      <c r="AK156" s="711"/>
      <c r="AL156" s="711"/>
      <c r="AM156" s="711"/>
      <c r="AN156" s="711"/>
      <c r="AO156" s="711"/>
      <c r="AP156" s="711"/>
      <c r="AQ156" s="711"/>
      <c r="AR156" s="711"/>
      <c r="AS156" s="711"/>
      <c r="AT156" s="711"/>
      <c r="AU156" s="711"/>
      <c r="AV156" s="711"/>
      <c r="AW156" s="711"/>
      <c r="AX156" s="711"/>
      <c r="AY156" s="711"/>
      <c r="AZ156" s="711"/>
      <c r="BA156" s="711"/>
      <c r="BB156" s="711"/>
      <c r="BC156" s="711"/>
      <c r="BD156" s="711"/>
      <c r="BE156" s="711"/>
      <c r="BF156" s="711"/>
      <c r="BG156" s="711"/>
      <c r="BH156" s="711"/>
      <c r="BI156" s="711"/>
      <c r="BJ156" s="711"/>
      <c r="BK156" s="711"/>
      <c r="BL156" s="711"/>
      <c r="BM156" s="711"/>
      <c r="BN156" s="711"/>
      <c r="BO156" s="711"/>
      <c r="BP156" s="711"/>
      <c r="BQ156" s="711"/>
      <c r="BR156" s="711"/>
      <c r="BS156" s="711"/>
      <c r="BT156" s="711"/>
      <c r="BU156" s="711"/>
      <c r="BV156" s="711"/>
      <c r="BW156" s="711"/>
      <c r="BX156" s="711"/>
      <c r="BY156" s="711"/>
      <c r="BZ156" s="711"/>
      <c r="CA156" s="711"/>
      <c r="CB156" s="711"/>
      <c r="CC156" s="711"/>
      <c r="CD156" s="711"/>
      <c r="CE156" s="711"/>
      <c r="CF156" s="711"/>
      <c r="CG156" s="711"/>
      <c r="CH156" s="711"/>
      <c r="CI156" s="711"/>
      <c r="CJ156" s="711"/>
      <c r="CK156" s="711"/>
      <c r="CL156" s="711"/>
      <c r="CM156" s="711"/>
      <c r="CN156" s="711"/>
      <c r="CO156" s="711"/>
      <c r="CP156" s="711"/>
      <c r="CQ156" s="711"/>
      <c r="CR156" s="711"/>
      <c r="CS156" s="711"/>
      <c r="CT156" s="711"/>
      <c r="CU156" s="711"/>
      <c r="CV156" s="711"/>
      <c r="CW156" s="711"/>
      <c r="CX156" s="711"/>
      <c r="CY156" s="711"/>
      <c r="CZ156" s="711"/>
      <c r="DA156" s="711"/>
      <c r="DB156" s="711"/>
      <c r="DC156" s="711"/>
      <c r="DD156" s="711"/>
      <c r="DE156" s="711"/>
      <c r="DF156" s="711"/>
      <c r="DG156" s="711"/>
      <c r="DH156" s="711"/>
      <c r="DI156" s="711"/>
      <c r="DJ156" s="711"/>
      <c r="DK156" s="711"/>
      <c r="DL156" s="711"/>
      <c r="DM156" s="711"/>
      <c r="DN156" s="711"/>
      <c r="DO156" s="711"/>
      <c r="DP156" s="711"/>
      <c r="DQ156" s="711"/>
      <c r="DR156" s="711"/>
      <c r="DS156" s="711"/>
      <c r="DT156" s="711"/>
      <c r="DU156" s="711"/>
      <c r="DV156" s="711"/>
      <c r="DW156" s="711"/>
      <c r="DX156" s="711"/>
      <c r="DY156" s="711"/>
      <c r="DZ156" s="711"/>
      <c r="EA156" s="711"/>
      <c r="EB156" s="711"/>
      <c r="EC156" s="711"/>
      <c r="ED156" s="711"/>
      <c r="EE156" s="711"/>
      <c r="EF156" s="711"/>
      <c r="EG156" s="711"/>
      <c r="EH156" s="711"/>
      <c r="EI156" s="711"/>
      <c r="EJ156" s="711"/>
      <c r="EK156" s="711"/>
      <c r="EL156" s="711"/>
      <c r="EM156" s="711"/>
      <c r="EN156" s="711"/>
      <c r="EO156" s="711"/>
      <c r="EP156" s="711"/>
      <c r="EQ156" s="711"/>
      <c r="ER156" s="711"/>
      <c r="ES156" s="711"/>
      <c r="ET156" s="711"/>
      <c r="EU156" s="711"/>
      <c r="EV156" s="711"/>
      <c r="EW156" s="711"/>
      <c r="EX156" s="711"/>
      <c r="EY156" s="711"/>
      <c r="EZ156" s="711"/>
      <c r="FA156" s="711"/>
      <c r="FB156" s="711"/>
      <c r="FC156" s="711"/>
      <c r="FD156" s="711"/>
      <c r="FE156" s="711"/>
      <c r="FF156" s="711"/>
      <c r="FG156" s="711"/>
      <c r="FH156" s="711"/>
      <c r="FI156" s="711"/>
      <c r="FJ156" s="711"/>
      <c r="FK156" s="711"/>
      <c r="FL156" s="711"/>
      <c r="FM156" s="711"/>
      <c r="FN156" s="711"/>
      <c r="FO156" s="711"/>
      <c r="FP156" s="711"/>
      <c r="FQ156" s="711"/>
      <c r="FR156" s="711"/>
      <c r="FS156" s="711"/>
      <c r="FT156" s="711"/>
      <c r="FU156" s="711"/>
      <c r="FV156" s="711"/>
      <c r="FW156" s="711"/>
      <c r="FX156" s="711"/>
      <c r="FY156" s="711"/>
      <c r="FZ156" s="711"/>
      <c r="GA156" s="711"/>
      <c r="GB156" s="711"/>
      <c r="GC156" s="711"/>
      <c r="GD156" s="711"/>
      <c r="GE156" s="711"/>
      <c r="GF156" s="711"/>
      <c r="GG156" s="711"/>
      <c r="GH156" s="711"/>
      <c r="GI156" s="711"/>
      <c r="GJ156" s="711"/>
      <c r="GK156" s="711"/>
      <c r="GL156" s="711"/>
      <c r="GM156" s="711"/>
      <c r="GN156" s="711"/>
      <c r="GO156" s="711"/>
      <c r="GP156" s="711"/>
      <c r="GQ156" s="711"/>
      <c r="GR156" s="711"/>
      <c r="GS156" s="711"/>
      <c r="GT156" s="711"/>
      <c r="GU156" s="711"/>
      <c r="GV156" s="711"/>
      <c r="GW156" s="711"/>
      <c r="GX156" s="711"/>
      <c r="GY156" s="711"/>
      <c r="GZ156" s="711"/>
      <c r="HA156" s="711"/>
      <c r="HB156" s="711"/>
      <c r="HC156" s="711"/>
      <c r="HD156" s="711"/>
      <c r="HE156" s="711"/>
      <c r="HF156" s="711"/>
      <c r="HG156" s="711"/>
      <c r="HH156" s="711"/>
      <c r="HI156" s="711"/>
      <c r="HJ156" s="711"/>
      <c r="HK156" s="711"/>
      <c r="HL156" s="711"/>
      <c r="HM156" s="711"/>
      <c r="HN156" s="711"/>
      <c r="HO156" s="711"/>
      <c r="HP156" s="711"/>
      <c r="HQ156" s="711"/>
      <c r="HR156" s="711"/>
      <c r="HS156" s="711"/>
      <c r="HT156" s="711"/>
      <c r="HU156" s="711"/>
      <c r="HV156" s="711"/>
      <c r="HW156" s="711"/>
      <c r="HX156" s="711"/>
      <c r="HY156" s="711"/>
      <c r="HZ156" s="711"/>
      <c r="IA156" s="711"/>
      <c r="IB156" s="711"/>
      <c r="IC156" s="711"/>
      <c r="ID156" s="711"/>
      <c r="IE156" s="711"/>
      <c r="IF156" s="711"/>
      <c r="IG156" s="711"/>
      <c r="IH156" s="711"/>
      <c r="II156" s="711"/>
      <c r="IJ156" s="711"/>
      <c r="IK156" s="711"/>
      <c r="IL156" s="711"/>
      <c r="IM156" s="711"/>
      <c r="IN156" s="711"/>
      <c r="IO156" s="711"/>
      <c r="IP156" s="711"/>
      <c r="IQ156" s="711"/>
      <c r="IR156" s="711"/>
      <c r="IS156" s="711"/>
      <c r="IT156" s="711"/>
      <c r="IU156" s="711"/>
      <c r="IV156" s="711"/>
    </row>
    <row r="157" spans="1:256" ht="12.75" hidden="1" customHeight="1">
      <c r="A157" s="708" t="s">
        <v>16</v>
      </c>
      <c r="B157" s="716">
        <v>4503.71837529</v>
      </c>
      <c r="C157" s="716">
        <v>2753.2926036200001</v>
      </c>
      <c r="D157" s="691"/>
      <c r="E157" s="716">
        <f t="shared" si="23"/>
        <v>1750.4257716699999</v>
      </c>
      <c r="F157" s="716">
        <v>-1669.3020883500001</v>
      </c>
      <c r="G157" s="716">
        <v>-81.123683319999998</v>
      </c>
      <c r="H157" s="716">
        <f t="shared" si="21"/>
        <v>-1750.4257716700001</v>
      </c>
      <c r="I157" s="695"/>
      <c r="J157" s="716">
        <v>0</v>
      </c>
      <c r="K157" s="716">
        <f t="shared" si="22"/>
        <v>-1750.4257716700001</v>
      </c>
      <c r="L157" s="693"/>
      <c r="M157" s="711"/>
      <c r="N157" s="711"/>
      <c r="O157" s="711"/>
      <c r="P157" s="711"/>
      <c r="Q157" s="711"/>
      <c r="R157" s="711"/>
      <c r="S157" s="711"/>
      <c r="T157" s="711"/>
      <c r="U157" s="711"/>
      <c r="V157" s="711"/>
      <c r="W157" s="711"/>
      <c r="X157" s="711"/>
      <c r="Y157" s="711"/>
      <c r="Z157" s="711"/>
      <c r="AA157" s="711"/>
      <c r="AB157" s="711"/>
      <c r="AC157" s="711"/>
      <c r="AD157" s="711"/>
      <c r="AE157" s="711"/>
      <c r="AF157" s="711"/>
      <c r="AG157" s="711"/>
      <c r="AH157" s="711"/>
      <c r="AI157" s="711"/>
      <c r="AJ157" s="711"/>
      <c r="AK157" s="711"/>
      <c r="AL157" s="711"/>
      <c r="AM157" s="711"/>
      <c r="AN157" s="711"/>
      <c r="AO157" s="711"/>
      <c r="AP157" s="711"/>
      <c r="AQ157" s="711"/>
      <c r="AR157" s="711"/>
      <c r="AS157" s="711"/>
      <c r="AT157" s="711"/>
      <c r="AU157" s="711"/>
      <c r="AV157" s="711"/>
      <c r="AW157" s="711"/>
      <c r="AX157" s="711"/>
      <c r="AY157" s="711"/>
      <c r="AZ157" s="711"/>
      <c r="BA157" s="711"/>
      <c r="BB157" s="711"/>
      <c r="BC157" s="711"/>
      <c r="BD157" s="711"/>
      <c r="BE157" s="711"/>
      <c r="BF157" s="711"/>
      <c r="BG157" s="711"/>
      <c r="BH157" s="711"/>
      <c r="BI157" s="711"/>
      <c r="BJ157" s="711"/>
      <c r="BK157" s="711"/>
      <c r="BL157" s="711"/>
      <c r="BM157" s="711"/>
      <c r="BN157" s="711"/>
      <c r="BO157" s="711"/>
      <c r="BP157" s="711"/>
      <c r="BQ157" s="711"/>
      <c r="BR157" s="711"/>
      <c r="BS157" s="711"/>
      <c r="BT157" s="711"/>
      <c r="BU157" s="711"/>
      <c r="BV157" s="711"/>
      <c r="BW157" s="711"/>
      <c r="BX157" s="711"/>
      <c r="BY157" s="711"/>
      <c r="BZ157" s="711"/>
      <c r="CA157" s="711"/>
      <c r="CB157" s="711"/>
      <c r="CC157" s="711"/>
      <c r="CD157" s="711"/>
      <c r="CE157" s="711"/>
      <c r="CF157" s="711"/>
      <c r="CG157" s="711"/>
      <c r="CH157" s="711"/>
      <c r="CI157" s="711"/>
      <c r="CJ157" s="711"/>
      <c r="CK157" s="711"/>
      <c r="CL157" s="711"/>
      <c r="CM157" s="711"/>
      <c r="CN157" s="711"/>
      <c r="CO157" s="711"/>
      <c r="CP157" s="711"/>
      <c r="CQ157" s="711"/>
      <c r="CR157" s="711"/>
      <c r="CS157" s="711"/>
      <c r="CT157" s="711"/>
      <c r="CU157" s="711"/>
      <c r="CV157" s="711"/>
      <c r="CW157" s="711"/>
      <c r="CX157" s="711"/>
      <c r="CY157" s="711"/>
      <c r="CZ157" s="711"/>
      <c r="DA157" s="711"/>
      <c r="DB157" s="711"/>
      <c r="DC157" s="711"/>
      <c r="DD157" s="711"/>
      <c r="DE157" s="711"/>
      <c r="DF157" s="711"/>
      <c r="DG157" s="711"/>
      <c r="DH157" s="711"/>
      <c r="DI157" s="711"/>
      <c r="DJ157" s="711"/>
      <c r="DK157" s="711"/>
      <c r="DL157" s="711"/>
      <c r="DM157" s="711"/>
      <c r="DN157" s="711"/>
      <c r="DO157" s="711"/>
      <c r="DP157" s="711"/>
      <c r="DQ157" s="711"/>
      <c r="DR157" s="711"/>
      <c r="DS157" s="711"/>
      <c r="DT157" s="711"/>
      <c r="DU157" s="711"/>
      <c r="DV157" s="711"/>
      <c r="DW157" s="711"/>
      <c r="DX157" s="711"/>
      <c r="DY157" s="711"/>
      <c r="DZ157" s="711"/>
      <c r="EA157" s="711"/>
      <c r="EB157" s="711"/>
      <c r="EC157" s="711"/>
      <c r="ED157" s="711"/>
      <c r="EE157" s="711"/>
      <c r="EF157" s="711"/>
      <c r="EG157" s="711"/>
      <c r="EH157" s="711"/>
      <c r="EI157" s="711"/>
      <c r="EJ157" s="711"/>
      <c r="EK157" s="711"/>
      <c r="EL157" s="711"/>
      <c r="EM157" s="711"/>
      <c r="EN157" s="711"/>
      <c r="EO157" s="711"/>
      <c r="EP157" s="711"/>
      <c r="EQ157" s="711"/>
      <c r="ER157" s="711"/>
      <c r="ES157" s="711"/>
      <c r="ET157" s="711"/>
      <c r="EU157" s="711"/>
      <c r="EV157" s="711"/>
      <c r="EW157" s="711"/>
      <c r="EX157" s="711"/>
      <c r="EY157" s="711"/>
      <c r="EZ157" s="711"/>
      <c r="FA157" s="711"/>
      <c r="FB157" s="711"/>
      <c r="FC157" s="711"/>
      <c r="FD157" s="711"/>
      <c r="FE157" s="711"/>
      <c r="FF157" s="711"/>
      <c r="FG157" s="711"/>
      <c r="FH157" s="711"/>
      <c r="FI157" s="711"/>
      <c r="FJ157" s="711"/>
      <c r="FK157" s="711"/>
      <c r="FL157" s="711"/>
      <c r="FM157" s="711"/>
      <c r="FN157" s="711"/>
      <c r="FO157" s="711"/>
      <c r="FP157" s="711"/>
      <c r="FQ157" s="711"/>
      <c r="FR157" s="711"/>
      <c r="FS157" s="711"/>
      <c r="FT157" s="711"/>
      <c r="FU157" s="711"/>
      <c r="FV157" s="711"/>
      <c r="FW157" s="711"/>
      <c r="FX157" s="711"/>
      <c r="FY157" s="711"/>
      <c r="FZ157" s="711"/>
      <c r="GA157" s="711"/>
      <c r="GB157" s="711"/>
      <c r="GC157" s="711"/>
      <c r="GD157" s="711"/>
      <c r="GE157" s="711"/>
      <c r="GF157" s="711"/>
      <c r="GG157" s="711"/>
      <c r="GH157" s="711"/>
      <c r="GI157" s="711"/>
      <c r="GJ157" s="711"/>
      <c r="GK157" s="711"/>
      <c r="GL157" s="711"/>
      <c r="GM157" s="711"/>
      <c r="GN157" s="711"/>
      <c r="GO157" s="711"/>
      <c r="GP157" s="711"/>
      <c r="GQ157" s="711"/>
      <c r="GR157" s="711"/>
      <c r="GS157" s="711"/>
      <c r="GT157" s="711"/>
      <c r="GU157" s="711"/>
      <c r="GV157" s="711"/>
      <c r="GW157" s="711"/>
      <c r="GX157" s="711"/>
      <c r="GY157" s="711"/>
      <c r="GZ157" s="711"/>
      <c r="HA157" s="711"/>
      <c r="HB157" s="711"/>
      <c r="HC157" s="711"/>
      <c r="HD157" s="711"/>
      <c r="HE157" s="711"/>
      <c r="HF157" s="711"/>
      <c r="HG157" s="711"/>
      <c r="HH157" s="711"/>
      <c r="HI157" s="711"/>
      <c r="HJ157" s="711"/>
      <c r="HK157" s="711"/>
      <c r="HL157" s="711"/>
      <c r="HM157" s="711"/>
      <c r="HN157" s="711"/>
      <c r="HO157" s="711"/>
      <c r="HP157" s="711"/>
      <c r="HQ157" s="711"/>
      <c r="HR157" s="711"/>
      <c r="HS157" s="711"/>
      <c r="HT157" s="711"/>
      <c r="HU157" s="711"/>
      <c r="HV157" s="711"/>
      <c r="HW157" s="711"/>
      <c r="HX157" s="711"/>
      <c r="HY157" s="711"/>
      <c r="HZ157" s="711"/>
      <c r="IA157" s="711"/>
      <c r="IB157" s="711"/>
      <c r="IC157" s="711"/>
      <c r="ID157" s="711"/>
      <c r="IE157" s="711"/>
      <c r="IF157" s="711"/>
      <c r="IG157" s="711"/>
      <c r="IH157" s="711"/>
      <c r="II157" s="711"/>
      <c r="IJ157" s="711"/>
      <c r="IK157" s="711"/>
      <c r="IL157" s="711"/>
      <c r="IM157" s="711"/>
      <c r="IN157" s="711"/>
      <c r="IO157" s="711"/>
      <c r="IP157" s="711"/>
      <c r="IQ157" s="711"/>
      <c r="IR157" s="711"/>
      <c r="IS157" s="711"/>
      <c r="IT157" s="711"/>
      <c r="IU157" s="711"/>
      <c r="IV157" s="711"/>
    </row>
    <row r="158" spans="1:256" ht="12.75" hidden="1" customHeight="1">
      <c r="A158" s="708"/>
      <c r="B158" s="690"/>
      <c r="C158" s="708"/>
      <c r="D158" s="691"/>
      <c r="E158" s="708"/>
      <c r="F158" s="690"/>
      <c r="G158" s="708"/>
      <c r="H158" s="708"/>
      <c r="I158" s="695"/>
      <c r="J158" s="708"/>
      <c r="K158" s="708"/>
      <c r="L158" s="693"/>
      <c r="M158" s="711"/>
      <c r="N158" s="711"/>
      <c r="O158" s="711"/>
      <c r="P158" s="711"/>
      <c r="Q158" s="711"/>
      <c r="R158" s="711"/>
      <c r="S158" s="711"/>
      <c r="T158" s="711"/>
      <c r="U158" s="711"/>
      <c r="V158" s="711"/>
      <c r="W158" s="711"/>
      <c r="X158" s="711"/>
      <c r="Y158" s="711"/>
      <c r="Z158" s="711"/>
      <c r="AA158" s="711"/>
      <c r="AB158" s="711"/>
      <c r="AC158" s="711"/>
      <c r="AD158" s="711"/>
      <c r="AE158" s="711"/>
      <c r="AF158" s="711"/>
      <c r="AG158" s="711"/>
      <c r="AH158" s="711"/>
      <c r="AI158" s="711"/>
      <c r="AJ158" s="711"/>
      <c r="AK158" s="711"/>
      <c r="AL158" s="711"/>
      <c r="AM158" s="711"/>
      <c r="AN158" s="711"/>
      <c r="AO158" s="711"/>
      <c r="AP158" s="711"/>
      <c r="AQ158" s="711"/>
      <c r="AR158" s="711"/>
      <c r="AS158" s="711"/>
      <c r="AT158" s="711"/>
      <c r="AU158" s="711"/>
      <c r="AV158" s="711"/>
      <c r="AW158" s="711"/>
      <c r="AX158" s="711"/>
      <c r="AY158" s="711"/>
      <c r="AZ158" s="711"/>
      <c r="BA158" s="711"/>
      <c r="BB158" s="711"/>
      <c r="BC158" s="711"/>
      <c r="BD158" s="711"/>
      <c r="BE158" s="711"/>
      <c r="BF158" s="711"/>
      <c r="BG158" s="711"/>
      <c r="BH158" s="711"/>
      <c r="BI158" s="711"/>
      <c r="BJ158" s="711"/>
      <c r="BK158" s="711"/>
      <c r="BL158" s="711"/>
      <c r="BM158" s="711"/>
      <c r="BN158" s="711"/>
      <c r="BO158" s="711"/>
      <c r="BP158" s="711"/>
      <c r="BQ158" s="711"/>
      <c r="BR158" s="711"/>
      <c r="BS158" s="711"/>
      <c r="BT158" s="711"/>
      <c r="BU158" s="711"/>
      <c r="BV158" s="711"/>
      <c r="BW158" s="711"/>
      <c r="BX158" s="711"/>
      <c r="BY158" s="711"/>
      <c r="BZ158" s="711"/>
      <c r="CA158" s="711"/>
      <c r="CB158" s="711"/>
      <c r="CC158" s="711"/>
      <c r="CD158" s="711"/>
      <c r="CE158" s="711"/>
      <c r="CF158" s="711"/>
      <c r="CG158" s="711"/>
      <c r="CH158" s="711"/>
      <c r="CI158" s="711"/>
      <c r="CJ158" s="711"/>
      <c r="CK158" s="711"/>
      <c r="CL158" s="711"/>
      <c r="CM158" s="711"/>
      <c r="CN158" s="711"/>
      <c r="CO158" s="711"/>
      <c r="CP158" s="711"/>
      <c r="CQ158" s="711"/>
      <c r="CR158" s="711"/>
      <c r="CS158" s="711"/>
      <c r="CT158" s="711"/>
      <c r="CU158" s="711"/>
      <c r="CV158" s="711"/>
      <c r="CW158" s="711"/>
      <c r="CX158" s="711"/>
      <c r="CY158" s="711"/>
      <c r="CZ158" s="711"/>
      <c r="DA158" s="711"/>
      <c r="DB158" s="711"/>
      <c r="DC158" s="711"/>
      <c r="DD158" s="711"/>
      <c r="DE158" s="711"/>
      <c r="DF158" s="711"/>
      <c r="DG158" s="711"/>
      <c r="DH158" s="711"/>
      <c r="DI158" s="711"/>
      <c r="DJ158" s="711"/>
      <c r="DK158" s="711"/>
      <c r="DL158" s="711"/>
      <c r="DM158" s="711"/>
      <c r="DN158" s="711"/>
      <c r="DO158" s="711"/>
      <c r="DP158" s="711"/>
      <c r="DQ158" s="711"/>
      <c r="DR158" s="711"/>
      <c r="DS158" s="711"/>
      <c r="DT158" s="711"/>
      <c r="DU158" s="711"/>
      <c r="DV158" s="711"/>
      <c r="DW158" s="711"/>
      <c r="DX158" s="711"/>
      <c r="DY158" s="711"/>
      <c r="DZ158" s="711"/>
      <c r="EA158" s="711"/>
      <c r="EB158" s="711"/>
      <c r="EC158" s="711"/>
      <c r="ED158" s="711"/>
      <c r="EE158" s="711"/>
      <c r="EF158" s="711"/>
      <c r="EG158" s="711"/>
      <c r="EH158" s="711"/>
      <c r="EI158" s="711"/>
      <c r="EJ158" s="711"/>
      <c r="EK158" s="711"/>
      <c r="EL158" s="711"/>
      <c r="EM158" s="711"/>
      <c r="EN158" s="711"/>
      <c r="EO158" s="711"/>
      <c r="EP158" s="711"/>
      <c r="EQ158" s="711"/>
      <c r="ER158" s="711"/>
      <c r="ES158" s="711"/>
      <c r="ET158" s="711"/>
      <c r="EU158" s="711"/>
      <c r="EV158" s="711"/>
      <c r="EW158" s="711"/>
      <c r="EX158" s="711"/>
      <c r="EY158" s="711"/>
      <c r="EZ158" s="711"/>
      <c r="FA158" s="711"/>
      <c r="FB158" s="711"/>
      <c r="FC158" s="711"/>
      <c r="FD158" s="711"/>
      <c r="FE158" s="711"/>
      <c r="FF158" s="711"/>
      <c r="FG158" s="711"/>
      <c r="FH158" s="711"/>
      <c r="FI158" s="711"/>
      <c r="FJ158" s="711"/>
      <c r="FK158" s="711"/>
      <c r="FL158" s="711"/>
      <c r="FM158" s="711"/>
      <c r="FN158" s="711"/>
      <c r="FO158" s="711"/>
      <c r="FP158" s="711"/>
      <c r="FQ158" s="711"/>
      <c r="FR158" s="711"/>
      <c r="FS158" s="711"/>
      <c r="FT158" s="711"/>
      <c r="FU158" s="711"/>
      <c r="FV158" s="711"/>
      <c r="FW158" s="711"/>
      <c r="FX158" s="711"/>
      <c r="FY158" s="711"/>
      <c r="FZ158" s="711"/>
      <c r="GA158" s="711"/>
      <c r="GB158" s="711"/>
      <c r="GC158" s="711"/>
      <c r="GD158" s="711"/>
      <c r="GE158" s="711"/>
      <c r="GF158" s="711"/>
      <c r="GG158" s="711"/>
      <c r="GH158" s="711"/>
      <c r="GI158" s="711"/>
      <c r="GJ158" s="711"/>
      <c r="GK158" s="711"/>
      <c r="GL158" s="711"/>
      <c r="GM158" s="711"/>
      <c r="GN158" s="711"/>
      <c r="GO158" s="711"/>
      <c r="GP158" s="711"/>
      <c r="GQ158" s="711"/>
      <c r="GR158" s="711"/>
      <c r="GS158" s="711"/>
      <c r="GT158" s="711"/>
      <c r="GU158" s="711"/>
      <c r="GV158" s="711"/>
      <c r="GW158" s="711"/>
      <c r="GX158" s="711"/>
      <c r="GY158" s="711"/>
      <c r="GZ158" s="711"/>
      <c r="HA158" s="711"/>
      <c r="HB158" s="711"/>
      <c r="HC158" s="711"/>
      <c r="HD158" s="711"/>
      <c r="HE158" s="711"/>
      <c r="HF158" s="711"/>
      <c r="HG158" s="711"/>
      <c r="HH158" s="711"/>
      <c r="HI158" s="711"/>
      <c r="HJ158" s="711"/>
      <c r="HK158" s="711"/>
      <c r="HL158" s="711"/>
      <c r="HM158" s="711"/>
      <c r="HN158" s="711"/>
      <c r="HO158" s="711"/>
      <c r="HP158" s="711"/>
      <c r="HQ158" s="711"/>
      <c r="HR158" s="711"/>
      <c r="HS158" s="711"/>
      <c r="HT158" s="711"/>
      <c r="HU158" s="711"/>
      <c r="HV158" s="711"/>
      <c r="HW158" s="711"/>
      <c r="HX158" s="711"/>
      <c r="HY158" s="711"/>
      <c r="HZ158" s="711"/>
      <c r="IA158" s="711"/>
      <c r="IB158" s="711"/>
      <c r="IC158" s="711"/>
      <c r="ID158" s="711"/>
      <c r="IE158" s="711"/>
      <c r="IF158" s="711"/>
      <c r="IG158" s="711"/>
      <c r="IH158" s="711"/>
      <c r="II158" s="711"/>
      <c r="IJ158" s="711"/>
      <c r="IK158" s="711"/>
      <c r="IL158" s="711"/>
      <c r="IM158" s="711"/>
      <c r="IN158" s="711"/>
      <c r="IO158" s="711"/>
      <c r="IP158" s="711"/>
      <c r="IQ158" s="711"/>
      <c r="IR158" s="711"/>
      <c r="IS158" s="711"/>
      <c r="IT158" s="711"/>
      <c r="IU158" s="711"/>
      <c r="IV158" s="711"/>
    </row>
    <row r="159" spans="1:256" ht="12.75" hidden="1" customHeight="1">
      <c r="A159" s="712">
        <v>2008</v>
      </c>
      <c r="B159" s="690"/>
      <c r="C159" s="708"/>
      <c r="D159" s="691"/>
      <c r="E159" s="708"/>
      <c r="F159" s="690"/>
      <c r="G159" s="708"/>
      <c r="H159" s="708"/>
      <c r="I159" s="695"/>
      <c r="J159" s="708"/>
      <c r="K159" s="708"/>
      <c r="L159" s="693"/>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711"/>
      <c r="AL159" s="711"/>
      <c r="AM159" s="711"/>
      <c r="AN159" s="711"/>
      <c r="AO159" s="711"/>
      <c r="AP159" s="711"/>
      <c r="AQ159" s="711"/>
      <c r="AR159" s="711"/>
      <c r="AS159" s="711"/>
      <c r="AT159" s="711"/>
      <c r="AU159" s="711"/>
      <c r="AV159" s="711"/>
      <c r="AW159" s="711"/>
      <c r="AX159" s="711"/>
      <c r="AY159" s="711"/>
      <c r="AZ159" s="711"/>
      <c r="BA159" s="711"/>
      <c r="BB159" s="711"/>
      <c r="BC159" s="711"/>
      <c r="BD159" s="711"/>
      <c r="BE159" s="711"/>
      <c r="BF159" s="711"/>
      <c r="BG159" s="711"/>
      <c r="BH159" s="711"/>
      <c r="BI159" s="711"/>
      <c r="BJ159" s="711"/>
      <c r="BK159" s="711"/>
      <c r="BL159" s="711"/>
      <c r="BM159" s="711"/>
      <c r="BN159" s="711"/>
      <c r="BO159" s="711"/>
      <c r="BP159" s="711"/>
      <c r="BQ159" s="711"/>
      <c r="BR159" s="711"/>
      <c r="BS159" s="711"/>
      <c r="BT159" s="711"/>
      <c r="BU159" s="711"/>
      <c r="BV159" s="711"/>
      <c r="BW159" s="711"/>
      <c r="BX159" s="711"/>
      <c r="BY159" s="711"/>
      <c r="BZ159" s="711"/>
      <c r="CA159" s="711"/>
      <c r="CB159" s="711"/>
      <c r="CC159" s="711"/>
      <c r="CD159" s="711"/>
      <c r="CE159" s="711"/>
      <c r="CF159" s="711"/>
      <c r="CG159" s="711"/>
      <c r="CH159" s="711"/>
      <c r="CI159" s="711"/>
      <c r="CJ159" s="711"/>
      <c r="CK159" s="711"/>
      <c r="CL159" s="711"/>
      <c r="CM159" s="711"/>
      <c r="CN159" s="711"/>
      <c r="CO159" s="711"/>
      <c r="CP159" s="711"/>
      <c r="CQ159" s="711"/>
      <c r="CR159" s="711"/>
      <c r="CS159" s="711"/>
      <c r="CT159" s="711"/>
      <c r="CU159" s="711"/>
      <c r="CV159" s="711"/>
      <c r="CW159" s="711"/>
      <c r="CX159" s="711"/>
      <c r="CY159" s="711"/>
      <c r="CZ159" s="711"/>
      <c r="DA159" s="711"/>
      <c r="DB159" s="711"/>
      <c r="DC159" s="711"/>
      <c r="DD159" s="711"/>
      <c r="DE159" s="711"/>
      <c r="DF159" s="711"/>
      <c r="DG159" s="711"/>
      <c r="DH159" s="711"/>
      <c r="DI159" s="711"/>
      <c r="DJ159" s="711"/>
      <c r="DK159" s="711"/>
      <c r="DL159" s="711"/>
      <c r="DM159" s="711"/>
      <c r="DN159" s="711"/>
      <c r="DO159" s="711"/>
      <c r="DP159" s="711"/>
      <c r="DQ159" s="711"/>
      <c r="DR159" s="711"/>
      <c r="DS159" s="711"/>
      <c r="DT159" s="711"/>
      <c r="DU159" s="711"/>
      <c r="DV159" s="711"/>
      <c r="DW159" s="711"/>
      <c r="DX159" s="711"/>
      <c r="DY159" s="711"/>
      <c r="DZ159" s="711"/>
      <c r="EA159" s="711"/>
      <c r="EB159" s="711"/>
      <c r="EC159" s="711"/>
      <c r="ED159" s="711"/>
      <c r="EE159" s="711"/>
      <c r="EF159" s="711"/>
      <c r="EG159" s="711"/>
      <c r="EH159" s="711"/>
      <c r="EI159" s="711"/>
      <c r="EJ159" s="711"/>
      <c r="EK159" s="711"/>
      <c r="EL159" s="711"/>
      <c r="EM159" s="711"/>
      <c r="EN159" s="711"/>
      <c r="EO159" s="711"/>
      <c r="EP159" s="711"/>
      <c r="EQ159" s="711"/>
      <c r="ER159" s="711"/>
      <c r="ES159" s="711"/>
      <c r="ET159" s="711"/>
      <c r="EU159" s="711"/>
      <c r="EV159" s="711"/>
      <c r="EW159" s="711"/>
      <c r="EX159" s="711"/>
      <c r="EY159" s="711"/>
      <c r="EZ159" s="711"/>
      <c r="FA159" s="711"/>
      <c r="FB159" s="711"/>
      <c r="FC159" s="711"/>
      <c r="FD159" s="711"/>
      <c r="FE159" s="711"/>
      <c r="FF159" s="711"/>
      <c r="FG159" s="711"/>
      <c r="FH159" s="711"/>
      <c r="FI159" s="711"/>
      <c r="FJ159" s="711"/>
      <c r="FK159" s="711"/>
      <c r="FL159" s="711"/>
      <c r="FM159" s="711"/>
      <c r="FN159" s="711"/>
      <c r="FO159" s="711"/>
      <c r="FP159" s="711"/>
      <c r="FQ159" s="711"/>
      <c r="FR159" s="711"/>
      <c r="FS159" s="711"/>
      <c r="FT159" s="711"/>
      <c r="FU159" s="711"/>
      <c r="FV159" s="711"/>
      <c r="FW159" s="711"/>
      <c r="FX159" s="711"/>
      <c r="FY159" s="711"/>
      <c r="FZ159" s="711"/>
      <c r="GA159" s="711"/>
      <c r="GB159" s="711"/>
      <c r="GC159" s="711"/>
      <c r="GD159" s="711"/>
      <c r="GE159" s="711"/>
      <c r="GF159" s="711"/>
      <c r="GG159" s="711"/>
      <c r="GH159" s="711"/>
      <c r="GI159" s="711"/>
      <c r="GJ159" s="711"/>
      <c r="GK159" s="711"/>
      <c r="GL159" s="711"/>
      <c r="GM159" s="711"/>
      <c r="GN159" s="711"/>
      <c r="GO159" s="711"/>
      <c r="GP159" s="711"/>
      <c r="GQ159" s="711"/>
      <c r="GR159" s="711"/>
      <c r="GS159" s="711"/>
      <c r="GT159" s="711"/>
      <c r="GU159" s="711"/>
      <c r="GV159" s="711"/>
      <c r="GW159" s="711"/>
      <c r="GX159" s="711"/>
      <c r="GY159" s="711"/>
      <c r="GZ159" s="711"/>
      <c r="HA159" s="711"/>
      <c r="HB159" s="711"/>
      <c r="HC159" s="711"/>
      <c r="HD159" s="711"/>
      <c r="HE159" s="711"/>
      <c r="HF159" s="711"/>
      <c r="HG159" s="711"/>
      <c r="HH159" s="711"/>
      <c r="HI159" s="711"/>
      <c r="HJ159" s="711"/>
      <c r="HK159" s="711"/>
      <c r="HL159" s="711"/>
      <c r="HM159" s="711"/>
      <c r="HN159" s="711"/>
      <c r="HO159" s="711"/>
      <c r="HP159" s="711"/>
      <c r="HQ159" s="711"/>
      <c r="HR159" s="711"/>
      <c r="HS159" s="711"/>
      <c r="HT159" s="711"/>
      <c r="HU159" s="711"/>
      <c r="HV159" s="711"/>
      <c r="HW159" s="711"/>
      <c r="HX159" s="711"/>
      <c r="HY159" s="711"/>
      <c r="HZ159" s="711"/>
      <c r="IA159" s="711"/>
      <c r="IB159" s="711"/>
      <c r="IC159" s="711"/>
      <c r="ID159" s="711"/>
      <c r="IE159" s="711"/>
      <c r="IF159" s="711"/>
      <c r="IG159" s="711"/>
      <c r="IH159" s="711"/>
      <c r="II159" s="711"/>
      <c r="IJ159" s="711"/>
      <c r="IK159" s="711"/>
      <c r="IL159" s="711"/>
      <c r="IM159" s="711"/>
      <c r="IN159" s="711"/>
      <c r="IO159" s="711"/>
      <c r="IP159" s="711"/>
      <c r="IQ159" s="711"/>
      <c r="IR159" s="711"/>
      <c r="IS159" s="711"/>
      <c r="IT159" s="711"/>
      <c r="IU159" s="711"/>
      <c r="IV159" s="711"/>
    </row>
    <row r="160" spans="1:256" ht="12.75" hidden="1" customHeight="1">
      <c r="A160" s="708"/>
      <c r="B160" s="690"/>
      <c r="C160" s="708"/>
      <c r="D160" s="691"/>
      <c r="E160" s="708"/>
      <c r="F160" s="690"/>
      <c r="G160" s="708"/>
      <c r="H160" s="708"/>
      <c r="I160" s="695"/>
      <c r="J160" s="708"/>
      <c r="K160" s="708"/>
      <c r="L160" s="693"/>
      <c r="M160" s="711"/>
      <c r="N160" s="711"/>
      <c r="O160" s="711"/>
      <c r="P160" s="711"/>
      <c r="Q160" s="711"/>
      <c r="R160" s="711"/>
      <c r="S160" s="711"/>
      <c r="T160" s="711"/>
      <c r="U160" s="711"/>
      <c r="V160" s="711"/>
      <c r="W160" s="711"/>
      <c r="X160" s="711"/>
      <c r="Y160" s="711"/>
      <c r="Z160" s="711"/>
      <c r="AA160" s="711"/>
      <c r="AB160" s="711"/>
      <c r="AC160" s="711"/>
      <c r="AD160" s="711"/>
      <c r="AE160" s="711"/>
      <c r="AF160" s="711"/>
      <c r="AG160" s="711"/>
      <c r="AH160" s="711"/>
      <c r="AI160" s="711"/>
      <c r="AJ160" s="711"/>
      <c r="AK160" s="711"/>
      <c r="AL160" s="711"/>
      <c r="AM160" s="711"/>
      <c r="AN160" s="711"/>
      <c r="AO160" s="711"/>
      <c r="AP160" s="711"/>
      <c r="AQ160" s="711"/>
      <c r="AR160" s="711"/>
      <c r="AS160" s="711"/>
      <c r="AT160" s="711"/>
      <c r="AU160" s="711"/>
      <c r="AV160" s="711"/>
      <c r="AW160" s="711"/>
      <c r="AX160" s="711"/>
      <c r="AY160" s="711"/>
      <c r="AZ160" s="711"/>
      <c r="BA160" s="711"/>
      <c r="BB160" s="711"/>
      <c r="BC160" s="711"/>
      <c r="BD160" s="711"/>
      <c r="BE160" s="711"/>
      <c r="BF160" s="711"/>
      <c r="BG160" s="711"/>
      <c r="BH160" s="711"/>
      <c r="BI160" s="711"/>
      <c r="BJ160" s="711"/>
      <c r="BK160" s="711"/>
      <c r="BL160" s="711"/>
      <c r="BM160" s="711"/>
      <c r="BN160" s="711"/>
      <c r="BO160" s="711"/>
      <c r="BP160" s="711"/>
      <c r="BQ160" s="711"/>
      <c r="BR160" s="711"/>
      <c r="BS160" s="711"/>
      <c r="BT160" s="711"/>
      <c r="BU160" s="711"/>
      <c r="BV160" s="711"/>
      <c r="BW160" s="711"/>
      <c r="BX160" s="711"/>
      <c r="BY160" s="711"/>
      <c r="BZ160" s="711"/>
      <c r="CA160" s="711"/>
      <c r="CB160" s="711"/>
      <c r="CC160" s="711"/>
      <c r="CD160" s="711"/>
      <c r="CE160" s="711"/>
      <c r="CF160" s="711"/>
      <c r="CG160" s="711"/>
      <c r="CH160" s="711"/>
      <c r="CI160" s="711"/>
      <c r="CJ160" s="711"/>
      <c r="CK160" s="711"/>
      <c r="CL160" s="711"/>
      <c r="CM160" s="711"/>
      <c r="CN160" s="711"/>
      <c r="CO160" s="711"/>
      <c r="CP160" s="711"/>
      <c r="CQ160" s="711"/>
      <c r="CR160" s="711"/>
      <c r="CS160" s="711"/>
      <c r="CT160" s="711"/>
      <c r="CU160" s="711"/>
      <c r="CV160" s="711"/>
      <c r="CW160" s="711"/>
      <c r="CX160" s="711"/>
      <c r="CY160" s="711"/>
      <c r="CZ160" s="711"/>
      <c r="DA160" s="711"/>
      <c r="DB160" s="711"/>
      <c r="DC160" s="711"/>
      <c r="DD160" s="711"/>
      <c r="DE160" s="711"/>
      <c r="DF160" s="711"/>
      <c r="DG160" s="711"/>
      <c r="DH160" s="711"/>
      <c r="DI160" s="711"/>
      <c r="DJ160" s="711"/>
      <c r="DK160" s="711"/>
      <c r="DL160" s="711"/>
      <c r="DM160" s="711"/>
      <c r="DN160" s="711"/>
      <c r="DO160" s="711"/>
      <c r="DP160" s="711"/>
      <c r="DQ160" s="711"/>
      <c r="DR160" s="711"/>
      <c r="DS160" s="711"/>
      <c r="DT160" s="711"/>
      <c r="DU160" s="711"/>
      <c r="DV160" s="711"/>
      <c r="DW160" s="711"/>
      <c r="DX160" s="711"/>
      <c r="DY160" s="711"/>
      <c r="DZ160" s="711"/>
      <c r="EA160" s="711"/>
      <c r="EB160" s="711"/>
      <c r="EC160" s="711"/>
      <c r="ED160" s="711"/>
      <c r="EE160" s="711"/>
      <c r="EF160" s="711"/>
      <c r="EG160" s="711"/>
      <c r="EH160" s="711"/>
      <c r="EI160" s="711"/>
      <c r="EJ160" s="711"/>
      <c r="EK160" s="711"/>
      <c r="EL160" s="711"/>
      <c r="EM160" s="711"/>
      <c r="EN160" s="711"/>
      <c r="EO160" s="711"/>
      <c r="EP160" s="711"/>
      <c r="EQ160" s="711"/>
      <c r="ER160" s="711"/>
      <c r="ES160" s="711"/>
      <c r="ET160" s="711"/>
      <c r="EU160" s="711"/>
      <c r="EV160" s="711"/>
      <c r="EW160" s="711"/>
      <c r="EX160" s="711"/>
      <c r="EY160" s="711"/>
      <c r="EZ160" s="711"/>
      <c r="FA160" s="711"/>
      <c r="FB160" s="711"/>
      <c r="FC160" s="711"/>
      <c r="FD160" s="711"/>
      <c r="FE160" s="711"/>
      <c r="FF160" s="711"/>
      <c r="FG160" s="711"/>
      <c r="FH160" s="711"/>
      <c r="FI160" s="711"/>
      <c r="FJ160" s="711"/>
      <c r="FK160" s="711"/>
      <c r="FL160" s="711"/>
      <c r="FM160" s="711"/>
      <c r="FN160" s="711"/>
      <c r="FO160" s="711"/>
      <c r="FP160" s="711"/>
      <c r="FQ160" s="711"/>
      <c r="FR160" s="711"/>
      <c r="FS160" s="711"/>
      <c r="FT160" s="711"/>
      <c r="FU160" s="711"/>
      <c r="FV160" s="711"/>
      <c r="FW160" s="711"/>
      <c r="FX160" s="711"/>
      <c r="FY160" s="711"/>
      <c r="FZ160" s="711"/>
      <c r="GA160" s="711"/>
      <c r="GB160" s="711"/>
      <c r="GC160" s="711"/>
      <c r="GD160" s="711"/>
      <c r="GE160" s="711"/>
      <c r="GF160" s="711"/>
      <c r="GG160" s="711"/>
      <c r="GH160" s="711"/>
      <c r="GI160" s="711"/>
      <c r="GJ160" s="711"/>
      <c r="GK160" s="711"/>
      <c r="GL160" s="711"/>
      <c r="GM160" s="711"/>
      <c r="GN160" s="711"/>
      <c r="GO160" s="711"/>
      <c r="GP160" s="711"/>
      <c r="GQ160" s="711"/>
      <c r="GR160" s="711"/>
      <c r="GS160" s="711"/>
      <c r="GT160" s="711"/>
      <c r="GU160" s="711"/>
      <c r="GV160" s="711"/>
      <c r="GW160" s="711"/>
      <c r="GX160" s="711"/>
      <c r="GY160" s="711"/>
      <c r="GZ160" s="711"/>
      <c r="HA160" s="711"/>
      <c r="HB160" s="711"/>
      <c r="HC160" s="711"/>
      <c r="HD160" s="711"/>
      <c r="HE160" s="711"/>
      <c r="HF160" s="711"/>
      <c r="HG160" s="711"/>
      <c r="HH160" s="711"/>
      <c r="HI160" s="711"/>
      <c r="HJ160" s="711"/>
      <c r="HK160" s="711"/>
      <c r="HL160" s="711"/>
      <c r="HM160" s="711"/>
      <c r="HN160" s="711"/>
      <c r="HO160" s="711"/>
      <c r="HP160" s="711"/>
      <c r="HQ160" s="711"/>
      <c r="HR160" s="711"/>
      <c r="HS160" s="711"/>
      <c r="HT160" s="711"/>
      <c r="HU160" s="711"/>
      <c r="HV160" s="711"/>
      <c r="HW160" s="711"/>
      <c r="HX160" s="711"/>
      <c r="HY160" s="711"/>
      <c r="HZ160" s="711"/>
      <c r="IA160" s="711"/>
      <c r="IB160" s="711"/>
      <c r="IC160" s="711"/>
      <c r="ID160" s="711"/>
      <c r="IE160" s="711"/>
      <c r="IF160" s="711"/>
      <c r="IG160" s="711"/>
      <c r="IH160" s="711"/>
      <c r="II160" s="711"/>
      <c r="IJ160" s="711"/>
      <c r="IK160" s="711"/>
      <c r="IL160" s="711"/>
      <c r="IM160" s="711"/>
      <c r="IN160" s="711"/>
      <c r="IO160" s="711"/>
      <c r="IP160" s="711"/>
      <c r="IQ160" s="711"/>
      <c r="IR160" s="711"/>
      <c r="IS160" s="711"/>
      <c r="IT160" s="711"/>
      <c r="IU160" s="711"/>
      <c r="IV160" s="711"/>
    </row>
    <row r="161" spans="1:256" ht="12.75" hidden="1" customHeight="1">
      <c r="A161" s="708" t="s">
        <v>345</v>
      </c>
      <c r="B161" s="690"/>
      <c r="C161" s="708"/>
      <c r="D161" s="691"/>
      <c r="E161" s="708"/>
      <c r="F161" s="690"/>
      <c r="G161" s="708"/>
      <c r="H161" s="708"/>
      <c r="I161" s="695"/>
      <c r="J161" s="708"/>
      <c r="K161" s="708"/>
      <c r="L161" s="693"/>
      <c r="M161" s="711"/>
      <c r="N161" s="711"/>
      <c r="O161" s="711"/>
      <c r="P161" s="711"/>
      <c r="Q161" s="711"/>
      <c r="R161" s="711"/>
      <c r="S161" s="711"/>
      <c r="T161" s="711"/>
      <c r="U161" s="711"/>
      <c r="V161" s="711"/>
      <c r="W161" s="711"/>
      <c r="X161" s="711"/>
      <c r="Y161" s="711"/>
      <c r="Z161" s="711"/>
      <c r="AA161" s="711"/>
      <c r="AB161" s="711"/>
      <c r="AC161" s="711"/>
      <c r="AD161" s="711"/>
      <c r="AE161" s="711"/>
      <c r="AF161" s="711"/>
      <c r="AG161" s="711"/>
      <c r="AH161" s="711"/>
      <c r="AI161" s="711"/>
      <c r="AJ161" s="711"/>
      <c r="AK161" s="711"/>
      <c r="AL161" s="711"/>
      <c r="AM161" s="711"/>
      <c r="AN161" s="711"/>
      <c r="AO161" s="711"/>
      <c r="AP161" s="711"/>
      <c r="AQ161" s="711"/>
      <c r="AR161" s="711"/>
      <c r="AS161" s="711"/>
      <c r="AT161" s="711"/>
      <c r="AU161" s="711"/>
      <c r="AV161" s="711"/>
      <c r="AW161" s="711"/>
      <c r="AX161" s="711"/>
      <c r="AY161" s="711"/>
      <c r="AZ161" s="711"/>
      <c r="BA161" s="711"/>
      <c r="BB161" s="711"/>
      <c r="BC161" s="711"/>
      <c r="BD161" s="711"/>
      <c r="BE161" s="711"/>
      <c r="BF161" s="711"/>
      <c r="BG161" s="711"/>
      <c r="BH161" s="711"/>
      <c r="BI161" s="711"/>
      <c r="BJ161" s="711"/>
      <c r="BK161" s="711"/>
      <c r="BL161" s="711"/>
      <c r="BM161" s="711"/>
      <c r="BN161" s="711"/>
      <c r="BO161" s="711"/>
      <c r="BP161" s="711"/>
      <c r="BQ161" s="711"/>
      <c r="BR161" s="711"/>
      <c r="BS161" s="711"/>
      <c r="BT161" s="711"/>
      <c r="BU161" s="711"/>
      <c r="BV161" s="711"/>
      <c r="BW161" s="711"/>
      <c r="BX161" s="711"/>
      <c r="BY161" s="711"/>
      <c r="BZ161" s="711"/>
      <c r="CA161" s="711"/>
      <c r="CB161" s="711"/>
      <c r="CC161" s="711"/>
      <c r="CD161" s="711"/>
      <c r="CE161" s="711"/>
      <c r="CF161" s="711"/>
      <c r="CG161" s="711"/>
      <c r="CH161" s="711"/>
      <c r="CI161" s="711"/>
      <c r="CJ161" s="711"/>
      <c r="CK161" s="711"/>
      <c r="CL161" s="711"/>
      <c r="CM161" s="711"/>
      <c r="CN161" s="711"/>
      <c r="CO161" s="711"/>
      <c r="CP161" s="711"/>
      <c r="CQ161" s="711"/>
      <c r="CR161" s="711"/>
      <c r="CS161" s="711"/>
      <c r="CT161" s="711"/>
      <c r="CU161" s="711"/>
      <c r="CV161" s="711"/>
      <c r="CW161" s="711"/>
      <c r="CX161" s="711"/>
      <c r="CY161" s="711"/>
      <c r="CZ161" s="711"/>
      <c r="DA161" s="711"/>
      <c r="DB161" s="711"/>
      <c r="DC161" s="711"/>
      <c r="DD161" s="711"/>
      <c r="DE161" s="711"/>
      <c r="DF161" s="711"/>
      <c r="DG161" s="711"/>
      <c r="DH161" s="711"/>
      <c r="DI161" s="711"/>
      <c r="DJ161" s="711"/>
      <c r="DK161" s="711"/>
      <c r="DL161" s="711"/>
      <c r="DM161" s="711"/>
      <c r="DN161" s="711"/>
      <c r="DO161" s="711"/>
      <c r="DP161" s="711"/>
      <c r="DQ161" s="711"/>
      <c r="DR161" s="711"/>
      <c r="DS161" s="711"/>
      <c r="DT161" s="711"/>
      <c r="DU161" s="711"/>
      <c r="DV161" s="711"/>
      <c r="DW161" s="711"/>
      <c r="DX161" s="711"/>
      <c r="DY161" s="711"/>
      <c r="DZ161" s="711"/>
      <c r="EA161" s="711"/>
      <c r="EB161" s="711"/>
      <c r="EC161" s="711"/>
      <c r="ED161" s="711"/>
      <c r="EE161" s="711"/>
      <c r="EF161" s="711"/>
      <c r="EG161" s="711"/>
      <c r="EH161" s="711"/>
      <c r="EI161" s="711"/>
      <c r="EJ161" s="711"/>
      <c r="EK161" s="711"/>
      <c r="EL161" s="711"/>
      <c r="EM161" s="711"/>
      <c r="EN161" s="711"/>
      <c r="EO161" s="711"/>
      <c r="EP161" s="711"/>
      <c r="EQ161" s="711"/>
      <c r="ER161" s="711"/>
      <c r="ES161" s="711"/>
      <c r="ET161" s="711"/>
      <c r="EU161" s="711"/>
      <c r="EV161" s="711"/>
      <c r="EW161" s="711"/>
      <c r="EX161" s="711"/>
      <c r="EY161" s="711"/>
      <c r="EZ161" s="711"/>
      <c r="FA161" s="711"/>
      <c r="FB161" s="711"/>
      <c r="FC161" s="711"/>
      <c r="FD161" s="711"/>
      <c r="FE161" s="711"/>
      <c r="FF161" s="711"/>
      <c r="FG161" s="711"/>
      <c r="FH161" s="711"/>
      <c r="FI161" s="711"/>
      <c r="FJ161" s="711"/>
      <c r="FK161" s="711"/>
      <c r="FL161" s="711"/>
      <c r="FM161" s="711"/>
      <c r="FN161" s="711"/>
      <c r="FO161" s="711"/>
      <c r="FP161" s="711"/>
      <c r="FQ161" s="711"/>
      <c r="FR161" s="711"/>
      <c r="FS161" s="711"/>
      <c r="FT161" s="711"/>
      <c r="FU161" s="711"/>
      <c r="FV161" s="711"/>
      <c r="FW161" s="711"/>
      <c r="FX161" s="711"/>
      <c r="FY161" s="711"/>
      <c r="FZ161" s="711"/>
      <c r="GA161" s="711"/>
      <c r="GB161" s="711"/>
      <c r="GC161" s="711"/>
      <c r="GD161" s="711"/>
      <c r="GE161" s="711"/>
      <c r="GF161" s="711"/>
      <c r="GG161" s="711"/>
      <c r="GH161" s="711"/>
      <c r="GI161" s="711"/>
      <c r="GJ161" s="711"/>
      <c r="GK161" s="711"/>
      <c r="GL161" s="711"/>
      <c r="GM161" s="711"/>
      <c r="GN161" s="711"/>
      <c r="GO161" s="711"/>
      <c r="GP161" s="711"/>
      <c r="GQ161" s="711"/>
      <c r="GR161" s="711"/>
      <c r="GS161" s="711"/>
      <c r="GT161" s="711"/>
      <c r="GU161" s="711"/>
      <c r="GV161" s="711"/>
      <c r="GW161" s="711"/>
      <c r="GX161" s="711"/>
      <c r="GY161" s="711"/>
      <c r="GZ161" s="711"/>
      <c r="HA161" s="711"/>
      <c r="HB161" s="711"/>
      <c r="HC161" s="711"/>
      <c r="HD161" s="711"/>
      <c r="HE161" s="711"/>
      <c r="HF161" s="711"/>
      <c r="HG161" s="711"/>
      <c r="HH161" s="711"/>
      <c r="HI161" s="711"/>
      <c r="HJ161" s="711"/>
      <c r="HK161" s="711"/>
      <c r="HL161" s="711"/>
      <c r="HM161" s="711"/>
      <c r="HN161" s="711"/>
      <c r="HO161" s="711"/>
      <c r="HP161" s="711"/>
      <c r="HQ161" s="711"/>
      <c r="HR161" s="711"/>
      <c r="HS161" s="711"/>
      <c r="HT161" s="711"/>
      <c r="HU161" s="711"/>
      <c r="HV161" s="711"/>
      <c r="HW161" s="711"/>
      <c r="HX161" s="711"/>
      <c r="HY161" s="711"/>
      <c r="HZ161" s="711"/>
      <c r="IA161" s="711"/>
      <c r="IB161" s="711"/>
      <c r="IC161" s="711"/>
      <c r="ID161" s="711"/>
      <c r="IE161" s="711"/>
      <c r="IF161" s="711"/>
      <c r="IG161" s="711"/>
      <c r="IH161" s="711"/>
      <c r="II161" s="711"/>
      <c r="IJ161" s="711"/>
      <c r="IK161" s="711"/>
      <c r="IL161" s="711"/>
      <c r="IM161" s="711"/>
      <c r="IN161" s="711"/>
      <c r="IO161" s="711"/>
      <c r="IP161" s="711"/>
      <c r="IQ161" s="711"/>
      <c r="IR161" s="711"/>
      <c r="IS161" s="711"/>
      <c r="IT161" s="711"/>
      <c r="IU161" s="711"/>
      <c r="IV161" s="711"/>
    </row>
    <row r="162" spans="1:256" ht="12.75" hidden="1" customHeight="1">
      <c r="A162" s="708" t="s">
        <v>334</v>
      </c>
      <c r="B162" s="690"/>
      <c r="C162" s="708"/>
      <c r="D162" s="691"/>
      <c r="E162" s="708"/>
      <c r="F162" s="690"/>
      <c r="G162" s="708"/>
      <c r="H162" s="708"/>
      <c r="I162" s="695"/>
      <c r="J162" s="708"/>
      <c r="K162" s="708"/>
      <c r="L162" s="693"/>
      <c r="M162" s="711"/>
      <c r="N162" s="711"/>
      <c r="O162" s="711"/>
      <c r="P162" s="711"/>
      <c r="Q162" s="711"/>
      <c r="R162" s="711"/>
      <c r="S162" s="711"/>
      <c r="T162" s="711"/>
      <c r="U162" s="711"/>
      <c r="V162" s="711"/>
      <c r="W162" s="711"/>
      <c r="X162" s="711"/>
      <c r="Y162" s="711"/>
      <c r="Z162" s="711"/>
      <c r="AA162" s="711"/>
      <c r="AB162" s="711"/>
      <c r="AC162" s="711"/>
      <c r="AD162" s="711"/>
      <c r="AE162" s="711"/>
      <c r="AF162" s="711"/>
      <c r="AG162" s="711"/>
      <c r="AH162" s="711"/>
      <c r="AI162" s="711"/>
      <c r="AJ162" s="711"/>
      <c r="AK162" s="711"/>
      <c r="AL162" s="711"/>
      <c r="AM162" s="711"/>
      <c r="AN162" s="711"/>
      <c r="AO162" s="711"/>
      <c r="AP162" s="711"/>
      <c r="AQ162" s="711"/>
      <c r="AR162" s="711"/>
      <c r="AS162" s="711"/>
      <c r="AT162" s="711"/>
      <c r="AU162" s="711"/>
      <c r="AV162" s="711"/>
      <c r="AW162" s="711"/>
      <c r="AX162" s="711"/>
      <c r="AY162" s="711"/>
      <c r="AZ162" s="711"/>
      <c r="BA162" s="711"/>
      <c r="BB162" s="711"/>
      <c r="BC162" s="711"/>
      <c r="BD162" s="711"/>
      <c r="BE162" s="711"/>
      <c r="BF162" s="711"/>
      <c r="BG162" s="711"/>
      <c r="BH162" s="711"/>
      <c r="BI162" s="711"/>
      <c r="BJ162" s="711"/>
      <c r="BK162" s="711"/>
      <c r="BL162" s="711"/>
      <c r="BM162" s="711"/>
      <c r="BN162" s="711"/>
      <c r="BO162" s="711"/>
      <c r="BP162" s="711"/>
      <c r="BQ162" s="711"/>
      <c r="BR162" s="711"/>
      <c r="BS162" s="711"/>
      <c r="BT162" s="711"/>
      <c r="BU162" s="711"/>
      <c r="BV162" s="711"/>
      <c r="BW162" s="711"/>
      <c r="BX162" s="711"/>
      <c r="BY162" s="711"/>
      <c r="BZ162" s="711"/>
      <c r="CA162" s="711"/>
      <c r="CB162" s="711"/>
      <c r="CC162" s="711"/>
      <c r="CD162" s="711"/>
      <c r="CE162" s="711"/>
      <c r="CF162" s="711"/>
      <c r="CG162" s="711"/>
      <c r="CH162" s="711"/>
      <c r="CI162" s="711"/>
      <c r="CJ162" s="711"/>
      <c r="CK162" s="711"/>
      <c r="CL162" s="711"/>
      <c r="CM162" s="711"/>
      <c r="CN162" s="711"/>
      <c r="CO162" s="711"/>
      <c r="CP162" s="711"/>
      <c r="CQ162" s="711"/>
      <c r="CR162" s="711"/>
      <c r="CS162" s="711"/>
      <c r="CT162" s="711"/>
      <c r="CU162" s="711"/>
      <c r="CV162" s="711"/>
      <c r="CW162" s="711"/>
      <c r="CX162" s="711"/>
      <c r="CY162" s="711"/>
      <c r="CZ162" s="711"/>
      <c r="DA162" s="711"/>
      <c r="DB162" s="711"/>
      <c r="DC162" s="711"/>
      <c r="DD162" s="711"/>
      <c r="DE162" s="711"/>
      <c r="DF162" s="711"/>
      <c r="DG162" s="711"/>
      <c r="DH162" s="711"/>
      <c r="DI162" s="711"/>
      <c r="DJ162" s="711"/>
      <c r="DK162" s="711"/>
      <c r="DL162" s="711"/>
      <c r="DM162" s="711"/>
      <c r="DN162" s="711"/>
      <c r="DO162" s="711"/>
      <c r="DP162" s="711"/>
      <c r="DQ162" s="711"/>
      <c r="DR162" s="711"/>
      <c r="DS162" s="711"/>
      <c r="DT162" s="711"/>
      <c r="DU162" s="711"/>
      <c r="DV162" s="711"/>
      <c r="DW162" s="711"/>
      <c r="DX162" s="711"/>
      <c r="DY162" s="711"/>
      <c r="DZ162" s="711"/>
      <c r="EA162" s="711"/>
      <c r="EB162" s="711"/>
      <c r="EC162" s="711"/>
      <c r="ED162" s="711"/>
      <c r="EE162" s="711"/>
      <c r="EF162" s="711"/>
      <c r="EG162" s="711"/>
      <c r="EH162" s="711"/>
      <c r="EI162" s="711"/>
      <c r="EJ162" s="711"/>
      <c r="EK162" s="711"/>
      <c r="EL162" s="711"/>
      <c r="EM162" s="711"/>
      <c r="EN162" s="711"/>
      <c r="EO162" s="711"/>
      <c r="EP162" s="711"/>
      <c r="EQ162" s="711"/>
      <c r="ER162" s="711"/>
      <c r="ES162" s="711"/>
      <c r="ET162" s="711"/>
      <c r="EU162" s="711"/>
      <c r="EV162" s="711"/>
      <c r="EW162" s="711"/>
      <c r="EX162" s="711"/>
      <c r="EY162" s="711"/>
      <c r="EZ162" s="711"/>
      <c r="FA162" s="711"/>
      <c r="FB162" s="711"/>
      <c r="FC162" s="711"/>
      <c r="FD162" s="711"/>
      <c r="FE162" s="711"/>
      <c r="FF162" s="711"/>
      <c r="FG162" s="711"/>
      <c r="FH162" s="711"/>
      <c r="FI162" s="711"/>
      <c r="FJ162" s="711"/>
      <c r="FK162" s="711"/>
      <c r="FL162" s="711"/>
      <c r="FM162" s="711"/>
      <c r="FN162" s="711"/>
      <c r="FO162" s="711"/>
      <c r="FP162" s="711"/>
      <c r="FQ162" s="711"/>
      <c r="FR162" s="711"/>
      <c r="FS162" s="711"/>
      <c r="FT162" s="711"/>
      <c r="FU162" s="711"/>
      <c r="FV162" s="711"/>
      <c r="FW162" s="711"/>
      <c r="FX162" s="711"/>
      <c r="FY162" s="711"/>
      <c r="FZ162" s="711"/>
      <c r="GA162" s="711"/>
      <c r="GB162" s="711"/>
      <c r="GC162" s="711"/>
      <c r="GD162" s="711"/>
      <c r="GE162" s="711"/>
      <c r="GF162" s="711"/>
      <c r="GG162" s="711"/>
      <c r="GH162" s="711"/>
      <c r="GI162" s="711"/>
      <c r="GJ162" s="711"/>
      <c r="GK162" s="711"/>
      <c r="GL162" s="711"/>
      <c r="GM162" s="711"/>
      <c r="GN162" s="711"/>
      <c r="GO162" s="711"/>
      <c r="GP162" s="711"/>
      <c r="GQ162" s="711"/>
      <c r="GR162" s="711"/>
      <c r="GS162" s="711"/>
      <c r="GT162" s="711"/>
      <c r="GU162" s="711"/>
      <c r="GV162" s="711"/>
      <c r="GW162" s="711"/>
      <c r="GX162" s="711"/>
      <c r="GY162" s="711"/>
      <c r="GZ162" s="711"/>
      <c r="HA162" s="711"/>
      <c r="HB162" s="711"/>
      <c r="HC162" s="711"/>
      <c r="HD162" s="711"/>
      <c r="HE162" s="711"/>
      <c r="HF162" s="711"/>
      <c r="HG162" s="711"/>
      <c r="HH162" s="711"/>
      <c r="HI162" s="711"/>
      <c r="HJ162" s="711"/>
      <c r="HK162" s="711"/>
      <c r="HL162" s="711"/>
      <c r="HM162" s="711"/>
      <c r="HN162" s="711"/>
      <c r="HO162" s="711"/>
      <c r="HP162" s="711"/>
      <c r="HQ162" s="711"/>
      <c r="HR162" s="711"/>
      <c r="HS162" s="711"/>
      <c r="HT162" s="711"/>
      <c r="HU162" s="711"/>
      <c r="HV162" s="711"/>
      <c r="HW162" s="711"/>
      <c r="HX162" s="711"/>
      <c r="HY162" s="711"/>
      <c r="HZ162" s="711"/>
      <c r="IA162" s="711"/>
      <c r="IB162" s="711"/>
      <c r="IC162" s="711"/>
      <c r="ID162" s="711"/>
      <c r="IE162" s="711"/>
      <c r="IF162" s="711"/>
      <c r="IG162" s="711"/>
      <c r="IH162" s="711"/>
      <c r="II162" s="711"/>
      <c r="IJ162" s="711"/>
      <c r="IK162" s="711"/>
      <c r="IL162" s="711"/>
      <c r="IM162" s="711"/>
      <c r="IN162" s="711"/>
      <c r="IO162" s="711"/>
      <c r="IP162" s="711"/>
      <c r="IQ162" s="711"/>
      <c r="IR162" s="711"/>
      <c r="IS162" s="711"/>
      <c r="IT162" s="711"/>
      <c r="IU162" s="711"/>
      <c r="IV162" s="711"/>
    </row>
    <row r="163" spans="1:256" ht="12.75" hidden="1" customHeight="1">
      <c r="A163" s="708" t="s">
        <v>335</v>
      </c>
      <c r="B163" s="690"/>
      <c r="C163" s="708"/>
      <c r="D163" s="691"/>
      <c r="E163" s="708"/>
      <c r="F163" s="690"/>
      <c r="G163" s="708"/>
      <c r="H163" s="708"/>
      <c r="I163" s="695"/>
      <c r="J163" s="708"/>
      <c r="K163" s="708"/>
      <c r="L163" s="693"/>
      <c r="M163" s="711"/>
      <c r="N163" s="711"/>
      <c r="O163" s="711"/>
      <c r="P163" s="711"/>
      <c r="Q163" s="711"/>
      <c r="R163" s="711"/>
      <c r="S163" s="711"/>
      <c r="T163" s="711"/>
      <c r="U163" s="711"/>
      <c r="V163" s="711"/>
      <c r="W163" s="711"/>
      <c r="X163" s="711"/>
      <c r="Y163" s="711"/>
      <c r="Z163" s="711"/>
      <c r="AA163" s="711"/>
      <c r="AB163" s="711"/>
      <c r="AC163" s="711"/>
      <c r="AD163" s="711"/>
      <c r="AE163" s="711"/>
      <c r="AF163" s="711"/>
      <c r="AG163" s="711"/>
      <c r="AH163" s="711"/>
      <c r="AI163" s="711"/>
      <c r="AJ163" s="711"/>
      <c r="AK163" s="711"/>
      <c r="AL163" s="711"/>
      <c r="AM163" s="711"/>
      <c r="AN163" s="711"/>
      <c r="AO163" s="711"/>
      <c r="AP163" s="711"/>
      <c r="AQ163" s="711"/>
      <c r="AR163" s="711"/>
      <c r="AS163" s="711"/>
      <c r="AT163" s="711"/>
      <c r="AU163" s="711"/>
      <c r="AV163" s="711"/>
      <c r="AW163" s="711"/>
      <c r="AX163" s="711"/>
      <c r="AY163" s="711"/>
      <c r="AZ163" s="711"/>
      <c r="BA163" s="711"/>
      <c r="BB163" s="711"/>
      <c r="BC163" s="711"/>
      <c r="BD163" s="711"/>
      <c r="BE163" s="711"/>
      <c r="BF163" s="711"/>
      <c r="BG163" s="711"/>
      <c r="BH163" s="711"/>
      <c r="BI163" s="711"/>
      <c r="BJ163" s="711"/>
      <c r="BK163" s="711"/>
      <c r="BL163" s="711"/>
      <c r="BM163" s="711"/>
      <c r="BN163" s="711"/>
      <c r="BO163" s="711"/>
      <c r="BP163" s="711"/>
      <c r="BQ163" s="711"/>
      <c r="BR163" s="711"/>
      <c r="BS163" s="711"/>
      <c r="BT163" s="711"/>
      <c r="BU163" s="711"/>
      <c r="BV163" s="711"/>
      <c r="BW163" s="711"/>
      <c r="BX163" s="711"/>
      <c r="BY163" s="711"/>
      <c r="BZ163" s="711"/>
      <c r="CA163" s="711"/>
      <c r="CB163" s="711"/>
      <c r="CC163" s="711"/>
      <c r="CD163" s="711"/>
      <c r="CE163" s="711"/>
      <c r="CF163" s="711"/>
      <c r="CG163" s="711"/>
      <c r="CH163" s="711"/>
      <c r="CI163" s="711"/>
      <c r="CJ163" s="711"/>
      <c r="CK163" s="711"/>
      <c r="CL163" s="711"/>
      <c r="CM163" s="711"/>
      <c r="CN163" s="711"/>
      <c r="CO163" s="711"/>
      <c r="CP163" s="711"/>
      <c r="CQ163" s="711"/>
      <c r="CR163" s="711"/>
      <c r="CS163" s="711"/>
      <c r="CT163" s="711"/>
      <c r="CU163" s="711"/>
      <c r="CV163" s="711"/>
      <c r="CW163" s="711"/>
      <c r="CX163" s="711"/>
      <c r="CY163" s="711"/>
      <c r="CZ163" s="711"/>
      <c r="DA163" s="711"/>
      <c r="DB163" s="711"/>
      <c r="DC163" s="711"/>
      <c r="DD163" s="711"/>
      <c r="DE163" s="711"/>
      <c r="DF163" s="711"/>
      <c r="DG163" s="711"/>
      <c r="DH163" s="711"/>
      <c r="DI163" s="711"/>
      <c r="DJ163" s="711"/>
      <c r="DK163" s="711"/>
      <c r="DL163" s="711"/>
      <c r="DM163" s="711"/>
      <c r="DN163" s="711"/>
      <c r="DO163" s="711"/>
      <c r="DP163" s="711"/>
      <c r="DQ163" s="711"/>
      <c r="DR163" s="711"/>
      <c r="DS163" s="711"/>
      <c r="DT163" s="711"/>
      <c r="DU163" s="711"/>
      <c r="DV163" s="711"/>
      <c r="DW163" s="711"/>
      <c r="DX163" s="711"/>
      <c r="DY163" s="711"/>
      <c r="DZ163" s="711"/>
      <c r="EA163" s="711"/>
      <c r="EB163" s="711"/>
      <c r="EC163" s="711"/>
      <c r="ED163" s="711"/>
      <c r="EE163" s="711"/>
      <c r="EF163" s="711"/>
      <c r="EG163" s="711"/>
      <c r="EH163" s="711"/>
      <c r="EI163" s="711"/>
      <c r="EJ163" s="711"/>
      <c r="EK163" s="711"/>
      <c r="EL163" s="711"/>
      <c r="EM163" s="711"/>
      <c r="EN163" s="711"/>
      <c r="EO163" s="711"/>
      <c r="EP163" s="711"/>
      <c r="EQ163" s="711"/>
      <c r="ER163" s="711"/>
      <c r="ES163" s="711"/>
      <c r="ET163" s="711"/>
      <c r="EU163" s="711"/>
      <c r="EV163" s="711"/>
      <c r="EW163" s="711"/>
      <c r="EX163" s="711"/>
      <c r="EY163" s="711"/>
      <c r="EZ163" s="711"/>
      <c r="FA163" s="711"/>
      <c r="FB163" s="711"/>
      <c r="FC163" s="711"/>
      <c r="FD163" s="711"/>
      <c r="FE163" s="711"/>
      <c r="FF163" s="711"/>
      <c r="FG163" s="711"/>
      <c r="FH163" s="711"/>
      <c r="FI163" s="711"/>
      <c r="FJ163" s="711"/>
      <c r="FK163" s="711"/>
      <c r="FL163" s="711"/>
      <c r="FM163" s="711"/>
      <c r="FN163" s="711"/>
      <c r="FO163" s="711"/>
      <c r="FP163" s="711"/>
      <c r="FQ163" s="711"/>
      <c r="FR163" s="711"/>
      <c r="FS163" s="711"/>
      <c r="FT163" s="711"/>
      <c r="FU163" s="711"/>
      <c r="FV163" s="711"/>
      <c r="FW163" s="711"/>
      <c r="FX163" s="711"/>
      <c r="FY163" s="711"/>
      <c r="FZ163" s="711"/>
      <c r="GA163" s="711"/>
      <c r="GB163" s="711"/>
      <c r="GC163" s="711"/>
      <c r="GD163" s="711"/>
      <c r="GE163" s="711"/>
      <c r="GF163" s="711"/>
      <c r="GG163" s="711"/>
      <c r="GH163" s="711"/>
      <c r="GI163" s="711"/>
      <c r="GJ163" s="711"/>
      <c r="GK163" s="711"/>
      <c r="GL163" s="711"/>
      <c r="GM163" s="711"/>
      <c r="GN163" s="711"/>
      <c r="GO163" s="711"/>
      <c r="GP163" s="711"/>
      <c r="GQ163" s="711"/>
      <c r="GR163" s="711"/>
      <c r="GS163" s="711"/>
      <c r="GT163" s="711"/>
      <c r="GU163" s="711"/>
      <c r="GV163" s="711"/>
      <c r="GW163" s="711"/>
      <c r="GX163" s="711"/>
      <c r="GY163" s="711"/>
      <c r="GZ163" s="711"/>
      <c r="HA163" s="711"/>
      <c r="HB163" s="711"/>
      <c r="HC163" s="711"/>
      <c r="HD163" s="711"/>
      <c r="HE163" s="711"/>
      <c r="HF163" s="711"/>
      <c r="HG163" s="711"/>
      <c r="HH163" s="711"/>
      <c r="HI163" s="711"/>
      <c r="HJ163" s="711"/>
      <c r="HK163" s="711"/>
      <c r="HL163" s="711"/>
      <c r="HM163" s="711"/>
      <c r="HN163" s="711"/>
      <c r="HO163" s="711"/>
      <c r="HP163" s="711"/>
      <c r="HQ163" s="711"/>
      <c r="HR163" s="711"/>
      <c r="HS163" s="711"/>
      <c r="HT163" s="711"/>
      <c r="HU163" s="711"/>
      <c r="HV163" s="711"/>
      <c r="HW163" s="711"/>
      <c r="HX163" s="711"/>
      <c r="HY163" s="711"/>
      <c r="HZ163" s="711"/>
      <c r="IA163" s="711"/>
      <c r="IB163" s="711"/>
      <c r="IC163" s="711"/>
      <c r="ID163" s="711"/>
      <c r="IE163" s="711"/>
      <c r="IF163" s="711"/>
      <c r="IG163" s="711"/>
      <c r="IH163" s="711"/>
      <c r="II163" s="711"/>
      <c r="IJ163" s="711"/>
      <c r="IK163" s="711"/>
      <c r="IL163" s="711"/>
      <c r="IM163" s="711"/>
      <c r="IN163" s="711"/>
      <c r="IO163" s="711"/>
      <c r="IP163" s="711"/>
      <c r="IQ163" s="711"/>
      <c r="IR163" s="711"/>
      <c r="IS163" s="711"/>
      <c r="IT163" s="711"/>
      <c r="IU163" s="711"/>
      <c r="IV163" s="711"/>
    </row>
    <row r="164" spans="1:256" ht="12.75" hidden="1" customHeight="1">
      <c r="A164" s="708" t="s">
        <v>336</v>
      </c>
      <c r="B164" s="690"/>
      <c r="C164" s="708"/>
      <c r="D164" s="691"/>
      <c r="E164" s="708"/>
      <c r="F164" s="690"/>
      <c r="G164" s="708"/>
      <c r="H164" s="708"/>
      <c r="I164" s="695"/>
      <c r="J164" s="708"/>
      <c r="K164" s="708"/>
      <c r="L164" s="693"/>
      <c r="M164" s="711"/>
      <c r="N164" s="711"/>
      <c r="O164" s="711"/>
      <c r="P164" s="711"/>
      <c r="Q164" s="711"/>
      <c r="R164" s="711"/>
      <c r="S164" s="711"/>
      <c r="T164" s="711"/>
      <c r="U164" s="711"/>
      <c r="V164" s="711"/>
      <c r="W164" s="711"/>
      <c r="X164" s="711"/>
      <c r="Y164" s="711"/>
      <c r="Z164" s="711"/>
      <c r="AA164" s="711"/>
      <c r="AB164" s="711"/>
      <c r="AC164" s="711"/>
      <c r="AD164" s="711"/>
      <c r="AE164" s="711"/>
      <c r="AF164" s="711"/>
      <c r="AG164" s="711"/>
      <c r="AH164" s="711"/>
      <c r="AI164" s="711"/>
      <c r="AJ164" s="711"/>
      <c r="AK164" s="711"/>
      <c r="AL164" s="711"/>
      <c r="AM164" s="711"/>
      <c r="AN164" s="711"/>
      <c r="AO164" s="711"/>
      <c r="AP164" s="711"/>
      <c r="AQ164" s="711"/>
      <c r="AR164" s="711"/>
      <c r="AS164" s="711"/>
      <c r="AT164" s="711"/>
      <c r="AU164" s="711"/>
      <c r="AV164" s="711"/>
      <c r="AW164" s="711"/>
      <c r="AX164" s="711"/>
      <c r="AY164" s="711"/>
      <c r="AZ164" s="711"/>
      <c r="BA164" s="711"/>
      <c r="BB164" s="711"/>
      <c r="BC164" s="711"/>
      <c r="BD164" s="711"/>
      <c r="BE164" s="711"/>
      <c r="BF164" s="711"/>
      <c r="BG164" s="711"/>
      <c r="BH164" s="711"/>
      <c r="BI164" s="711"/>
      <c r="BJ164" s="711"/>
      <c r="BK164" s="711"/>
      <c r="BL164" s="711"/>
      <c r="BM164" s="711"/>
      <c r="BN164" s="711"/>
      <c r="BO164" s="711"/>
      <c r="BP164" s="711"/>
      <c r="BQ164" s="711"/>
      <c r="BR164" s="711"/>
      <c r="BS164" s="711"/>
      <c r="BT164" s="711"/>
      <c r="BU164" s="711"/>
      <c r="BV164" s="711"/>
      <c r="BW164" s="711"/>
      <c r="BX164" s="711"/>
      <c r="BY164" s="711"/>
      <c r="BZ164" s="711"/>
      <c r="CA164" s="711"/>
      <c r="CB164" s="711"/>
      <c r="CC164" s="711"/>
      <c r="CD164" s="711"/>
      <c r="CE164" s="711"/>
      <c r="CF164" s="711"/>
      <c r="CG164" s="711"/>
      <c r="CH164" s="711"/>
      <c r="CI164" s="711"/>
      <c r="CJ164" s="711"/>
      <c r="CK164" s="711"/>
      <c r="CL164" s="711"/>
      <c r="CM164" s="711"/>
      <c r="CN164" s="711"/>
      <c r="CO164" s="711"/>
      <c r="CP164" s="711"/>
      <c r="CQ164" s="711"/>
      <c r="CR164" s="711"/>
      <c r="CS164" s="711"/>
      <c r="CT164" s="711"/>
      <c r="CU164" s="711"/>
      <c r="CV164" s="711"/>
      <c r="CW164" s="711"/>
      <c r="CX164" s="711"/>
      <c r="CY164" s="711"/>
      <c r="CZ164" s="711"/>
      <c r="DA164" s="711"/>
      <c r="DB164" s="711"/>
      <c r="DC164" s="711"/>
      <c r="DD164" s="711"/>
      <c r="DE164" s="711"/>
      <c r="DF164" s="711"/>
      <c r="DG164" s="711"/>
      <c r="DH164" s="711"/>
      <c r="DI164" s="711"/>
      <c r="DJ164" s="711"/>
      <c r="DK164" s="711"/>
      <c r="DL164" s="711"/>
      <c r="DM164" s="711"/>
      <c r="DN164" s="711"/>
      <c r="DO164" s="711"/>
      <c r="DP164" s="711"/>
      <c r="DQ164" s="711"/>
      <c r="DR164" s="711"/>
      <c r="DS164" s="711"/>
      <c r="DT164" s="711"/>
      <c r="DU164" s="711"/>
      <c r="DV164" s="711"/>
      <c r="DW164" s="711"/>
      <c r="DX164" s="711"/>
      <c r="DY164" s="711"/>
      <c r="DZ164" s="711"/>
      <c r="EA164" s="711"/>
      <c r="EB164" s="711"/>
      <c r="EC164" s="711"/>
      <c r="ED164" s="711"/>
      <c r="EE164" s="711"/>
      <c r="EF164" s="711"/>
      <c r="EG164" s="711"/>
      <c r="EH164" s="711"/>
      <c r="EI164" s="711"/>
      <c r="EJ164" s="711"/>
      <c r="EK164" s="711"/>
      <c r="EL164" s="711"/>
      <c r="EM164" s="711"/>
      <c r="EN164" s="711"/>
      <c r="EO164" s="711"/>
      <c r="EP164" s="711"/>
      <c r="EQ164" s="711"/>
      <c r="ER164" s="711"/>
      <c r="ES164" s="711"/>
      <c r="ET164" s="711"/>
      <c r="EU164" s="711"/>
      <c r="EV164" s="711"/>
      <c r="EW164" s="711"/>
      <c r="EX164" s="711"/>
      <c r="EY164" s="711"/>
      <c r="EZ164" s="711"/>
      <c r="FA164" s="711"/>
      <c r="FB164" s="711"/>
      <c r="FC164" s="711"/>
      <c r="FD164" s="711"/>
      <c r="FE164" s="711"/>
      <c r="FF164" s="711"/>
      <c r="FG164" s="711"/>
      <c r="FH164" s="711"/>
      <c r="FI164" s="711"/>
      <c r="FJ164" s="711"/>
      <c r="FK164" s="711"/>
      <c r="FL164" s="711"/>
      <c r="FM164" s="711"/>
      <c r="FN164" s="711"/>
      <c r="FO164" s="711"/>
      <c r="FP164" s="711"/>
      <c r="FQ164" s="711"/>
      <c r="FR164" s="711"/>
      <c r="FS164" s="711"/>
      <c r="FT164" s="711"/>
      <c r="FU164" s="711"/>
      <c r="FV164" s="711"/>
      <c r="FW164" s="711"/>
      <c r="FX164" s="711"/>
      <c r="FY164" s="711"/>
      <c r="FZ164" s="711"/>
      <c r="GA164" s="711"/>
      <c r="GB164" s="711"/>
      <c r="GC164" s="711"/>
      <c r="GD164" s="711"/>
      <c r="GE164" s="711"/>
      <c r="GF164" s="711"/>
      <c r="GG164" s="711"/>
      <c r="GH164" s="711"/>
      <c r="GI164" s="711"/>
      <c r="GJ164" s="711"/>
      <c r="GK164" s="711"/>
      <c r="GL164" s="711"/>
      <c r="GM164" s="711"/>
      <c r="GN164" s="711"/>
      <c r="GO164" s="711"/>
      <c r="GP164" s="711"/>
      <c r="GQ164" s="711"/>
      <c r="GR164" s="711"/>
      <c r="GS164" s="711"/>
      <c r="GT164" s="711"/>
      <c r="GU164" s="711"/>
      <c r="GV164" s="711"/>
      <c r="GW164" s="711"/>
      <c r="GX164" s="711"/>
      <c r="GY164" s="711"/>
      <c r="GZ164" s="711"/>
      <c r="HA164" s="711"/>
      <c r="HB164" s="711"/>
      <c r="HC164" s="711"/>
      <c r="HD164" s="711"/>
      <c r="HE164" s="711"/>
      <c r="HF164" s="711"/>
      <c r="HG164" s="711"/>
      <c r="HH164" s="711"/>
      <c r="HI164" s="711"/>
      <c r="HJ164" s="711"/>
      <c r="HK164" s="711"/>
      <c r="HL164" s="711"/>
      <c r="HM164" s="711"/>
      <c r="HN164" s="711"/>
      <c r="HO164" s="711"/>
      <c r="HP164" s="711"/>
      <c r="HQ164" s="711"/>
      <c r="HR164" s="711"/>
      <c r="HS164" s="711"/>
      <c r="HT164" s="711"/>
      <c r="HU164" s="711"/>
      <c r="HV164" s="711"/>
      <c r="HW164" s="711"/>
      <c r="HX164" s="711"/>
      <c r="HY164" s="711"/>
      <c r="HZ164" s="711"/>
      <c r="IA164" s="711"/>
      <c r="IB164" s="711"/>
      <c r="IC164" s="711"/>
      <c r="ID164" s="711"/>
      <c r="IE164" s="711"/>
      <c r="IF164" s="711"/>
      <c r="IG164" s="711"/>
      <c r="IH164" s="711"/>
      <c r="II164" s="711"/>
      <c r="IJ164" s="711"/>
      <c r="IK164" s="711"/>
      <c r="IL164" s="711"/>
      <c r="IM164" s="711"/>
      <c r="IN164" s="711"/>
      <c r="IO164" s="711"/>
      <c r="IP164" s="711"/>
      <c r="IQ164" s="711"/>
      <c r="IR164" s="711"/>
      <c r="IS164" s="711"/>
      <c r="IT164" s="711"/>
      <c r="IU164" s="711"/>
      <c r="IV164" s="711"/>
    </row>
    <row r="165" spans="1:256" ht="12.75" hidden="1" customHeight="1">
      <c r="A165" s="708" t="s">
        <v>337</v>
      </c>
      <c r="B165" s="690"/>
      <c r="C165" s="708"/>
      <c r="D165" s="691"/>
      <c r="E165" s="708"/>
      <c r="F165" s="690"/>
      <c r="G165" s="708"/>
      <c r="H165" s="708"/>
      <c r="I165" s="695"/>
      <c r="J165" s="708"/>
      <c r="K165" s="708"/>
      <c r="L165" s="693"/>
      <c r="M165" s="711"/>
      <c r="N165" s="711"/>
      <c r="O165" s="711"/>
      <c r="P165" s="711"/>
      <c r="Q165" s="711"/>
      <c r="R165" s="711"/>
      <c r="S165" s="711"/>
      <c r="T165" s="711"/>
      <c r="U165" s="711"/>
      <c r="V165" s="711"/>
      <c r="W165" s="711"/>
      <c r="X165" s="711"/>
      <c r="Y165" s="711"/>
      <c r="Z165" s="711"/>
      <c r="AA165" s="711"/>
      <c r="AB165" s="711"/>
      <c r="AC165" s="711"/>
      <c r="AD165" s="711"/>
      <c r="AE165" s="711"/>
      <c r="AF165" s="711"/>
      <c r="AG165" s="711"/>
      <c r="AH165" s="711"/>
      <c r="AI165" s="711"/>
      <c r="AJ165" s="711"/>
      <c r="AK165" s="711"/>
      <c r="AL165" s="711"/>
      <c r="AM165" s="711"/>
      <c r="AN165" s="711"/>
      <c r="AO165" s="711"/>
      <c r="AP165" s="711"/>
      <c r="AQ165" s="711"/>
      <c r="AR165" s="711"/>
      <c r="AS165" s="711"/>
      <c r="AT165" s="711"/>
      <c r="AU165" s="711"/>
      <c r="AV165" s="711"/>
      <c r="AW165" s="711"/>
      <c r="AX165" s="711"/>
      <c r="AY165" s="711"/>
      <c r="AZ165" s="711"/>
      <c r="BA165" s="711"/>
      <c r="BB165" s="711"/>
      <c r="BC165" s="711"/>
      <c r="BD165" s="711"/>
      <c r="BE165" s="711"/>
      <c r="BF165" s="711"/>
      <c r="BG165" s="711"/>
      <c r="BH165" s="711"/>
      <c r="BI165" s="711"/>
      <c r="BJ165" s="711"/>
      <c r="BK165" s="711"/>
      <c r="BL165" s="711"/>
      <c r="BM165" s="711"/>
      <c r="BN165" s="711"/>
      <c r="BO165" s="711"/>
      <c r="BP165" s="711"/>
      <c r="BQ165" s="711"/>
      <c r="BR165" s="711"/>
      <c r="BS165" s="711"/>
      <c r="BT165" s="711"/>
      <c r="BU165" s="711"/>
      <c r="BV165" s="711"/>
      <c r="BW165" s="711"/>
      <c r="BX165" s="711"/>
      <c r="BY165" s="711"/>
      <c r="BZ165" s="711"/>
      <c r="CA165" s="711"/>
      <c r="CB165" s="711"/>
      <c r="CC165" s="711"/>
      <c r="CD165" s="711"/>
      <c r="CE165" s="711"/>
      <c r="CF165" s="711"/>
      <c r="CG165" s="711"/>
      <c r="CH165" s="711"/>
      <c r="CI165" s="711"/>
      <c r="CJ165" s="711"/>
      <c r="CK165" s="711"/>
      <c r="CL165" s="711"/>
      <c r="CM165" s="711"/>
      <c r="CN165" s="711"/>
      <c r="CO165" s="711"/>
      <c r="CP165" s="711"/>
      <c r="CQ165" s="711"/>
      <c r="CR165" s="711"/>
      <c r="CS165" s="711"/>
      <c r="CT165" s="711"/>
      <c r="CU165" s="711"/>
      <c r="CV165" s="711"/>
      <c r="CW165" s="711"/>
      <c r="CX165" s="711"/>
      <c r="CY165" s="711"/>
      <c r="CZ165" s="711"/>
      <c r="DA165" s="711"/>
      <c r="DB165" s="711"/>
      <c r="DC165" s="711"/>
      <c r="DD165" s="711"/>
      <c r="DE165" s="711"/>
      <c r="DF165" s="711"/>
      <c r="DG165" s="711"/>
      <c r="DH165" s="711"/>
      <c r="DI165" s="711"/>
      <c r="DJ165" s="711"/>
      <c r="DK165" s="711"/>
      <c r="DL165" s="711"/>
      <c r="DM165" s="711"/>
      <c r="DN165" s="711"/>
      <c r="DO165" s="711"/>
      <c r="DP165" s="711"/>
      <c r="DQ165" s="711"/>
      <c r="DR165" s="711"/>
      <c r="DS165" s="711"/>
      <c r="DT165" s="711"/>
      <c r="DU165" s="711"/>
      <c r="DV165" s="711"/>
      <c r="DW165" s="711"/>
      <c r="DX165" s="711"/>
      <c r="DY165" s="711"/>
      <c r="DZ165" s="711"/>
      <c r="EA165" s="711"/>
      <c r="EB165" s="711"/>
      <c r="EC165" s="711"/>
      <c r="ED165" s="711"/>
      <c r="EE165" s="711"/>
      <c r="EF165" s="711"/>
      <c r="EG165" s="711"/>
      <c r="EH165" s="711"/>
      <c r="EI165" s="711"/>
      <c r="EJ165" s="711"/>
      <c r="EK165" s="711"/>
      <c r="EL165" s="711"/>
      <c r="EM165" s="711"/>
      <c r="EN165" s="711"/>
      <c r="EO165" s="711"/>
      <c r="EP165" s="711"/>
      <c r="EQ165" s="711"/>
      <c r="ER165" s="711"/>
      <c r="ES165" s="711"/>
      <c r="ET165" s="711"/>
      <c r="EU165" s="711"/>
      <c r="EV165" s="711"/>
      <c r="EW165" s="711"/>
      <c r="EX165" s="711"/>
      <c r="EY165" s="711"/>
      <c r="EZ165" s="711"/>
      <c r="FA165" s="711"/>
      <c r="FB165" s="711"/>
      <c r="FC165" s="711"/>
      <c r="FD165" s="711"/>
      <c r="FE165" s="711"/>
      <c r="FF165" s="711"/>
      <c r="FG165" s="711"/>
      <c r="FH165" s="711"/>
      <c r="FI165" s="711"/>
      <c r="FJ165" s="711"/>
      <c r="FK165" s="711"/>
      <c r="FL165" s="711"/>
      <c r="FM165" s="711"/>
      <c r="FN165" s="711"/>
      <c r="FO165" s="711"/>
      <c r="FP165" s="711"/>
      <c r="FQ165" s="711"/>
      <c r="FR165" s="711"/>
      <c r="FS165" s="711"/>
      <c r="FT165" s="711"/>
      <c r="FU165" s="711"/>
      <c r="FV165" s="711"/>
      <c r="FW165" s="711"/>
      <c r="FX165" s="711"/>
      <c r="FY165" s="711"/>
      <c r="FZ165" s="711"/>
      <c r="GA165" s="711"/>
      <c r="GB165" s="711"/>
      <c r="GC165" s="711"/>
      <c r="GD165" s="711"/>
      <c r="GE165" s="711"/>
      <c r="GF165" s="711"/>
      <c r="GG165" s="711"/>
      <c r="GH165" s="711"/>
      <c r="GI165" s="711"/>
      <c r="GJ165" s="711"/>
      <c r="GK165" s="711"/>
      <c r="GL165" s="711"/>
      <c r="GM165" s="711"/>
      <c r="GN165" s="711"/>
      <c r="GO165" s="711"/>
      <c r="GP165" s="711"/>
      <c r="GQ165" s="711"/>
      <c r="GR165" s="711"/>
      <c r="GS165" s="711"/>
      <c r="GT165" s="711"/>
      <c r="GU165" s="711"/>
      <c r="GV165" s="711"/>
      <c r="GW165" s="711"/>
      <c r="GX165" s="711"/>
      <c r="GY165" s="711"/>
      <c r="GZ165" s="711"/>
      <c r="HA165" s="711"/>
      <c r="HB165" s="711"/>
      <c r="HC165" s="711"/>
      <c r="HD165" s="711"/>
      <c r="HE165" s="711"/>
      <c r="HF165" s="711"/>
      <c r="HG165" s="711"/>
      <c r="HH165" s="711"/>
      <c r="HI165" s="711"/>
      <c r="HJ165" s="711"/>
      <c r="HK165" s="711"/>
      <c r="HL165" s="711"/>
      <c r="HM165" s="711"/>
      <c r="HN165" s="711"/>
      <c r="HO165" s="711"/>
      <c r="HP165" s="711"/>
      <c r="HQ165" s="711"/>
      <c r="HR165" s="711"/>
      <c r="HS165" s="711"/>
      <c r="HT165" s="711"/>
      <c r="HU165" s="711"/>
      <c r="HV165" s="711"/>
      <c r="HW165" s="711"/>
      <c r="HX165" s="711"/>
      <c r="HY165" s="711"/>
      <c r="HZ165" s="711"/>
      <c r="IA165" s="711"/>
      <c r="IB165" s="711"/>
      <c r="IC165" s="711"/>
      <c r="ID165" s="711"/>
      <c r="IE165" s="711"/>
      <c r="IF165" s="711"/>
      <c r="IG165" s="711"/>
      <c r="IH165" s="711"/>
      <c r="II165" s="711"/>
      <c r="IJ165" s="711"/>
      <c r="IK165" s="711"/>
      <c r="IL165" s="711"/>
      <c r="IM165" s="711"/>
      <c r="IN165" s="711"/>
      <c r="IO165" s="711"/>
      <c r="IP165" s="711"/>
      <c r="IQ165" s="711"/>
      <c r="IR165" s="711"/>
      <c r="IS165" s="711"/>
      <c r="IT165" s="711"/>
      <c r="IU165" s="711"/>
      <c r="IV165" s="711"/>
    </row>
    <row r="166" spans="1:256" ht="12.75" hidden="1" customHeight="1">
      <c r="A166" s="708" t="s">
        <v>346</v>
      </c>
      <c r="B166" s="690"/>
      <c r="C166" s="708"/>
      <c r="D166" s="691"/>
      <c r="E166" s="708"/>
      <c r="F166" s="690"/>
      <c r="G166" s="708"/>
      <c r="H166" s="708"/>
      <c r="I166" s="695"/>
      <c r="J166" s="708"/>
      <c r="K166" s="708"/>
      <c r="L166" s="693"/>
      <c r="M166" s="711"/>
      <c r="N166" s="711"/>
      <c r="O166" s="711"/>
      <c r="P166" s="711"/>
      <c r="Q166" s="711"/>
      <c r="R166" s="711"/>
      <c r="S166" s="711"/>
      <c r="T166" s="711"/>
      <c r="U166" s="711"/>
      <c r="V166" s="711"/>
      <c r="W166" s="711"/>
      <c r="X166" s="711"/>
      <c r="Y166" s="711"/>
      <c r="Z166" s="711"/>
      <c r="AA166" s="711"/>
      <c r="AB166" s="711"/>
      <c r="AC166" s="711"/>
      <c r="AD166" s="711"/>
      <c r="AE166" s="711"/>
      <c r="AF166" s="711"/>
      <c r="AG166" s="711"/>
      <c r="AH166" s="711"/>
      <c r="AI166" s="711"/>
      <c r="AJ166" s="711"/>
      <c r="AK166" s="711"/>
      <c r="AL166" s="711"/>
      <c r="AM166" s="711"/>
      <c r="AN166" s="711"/>
      <c r="AO166" s="711"/>
      <c r="AP166" s="711"/>
      <c r="AQ166" s="711"/>
      <c r="AR166" s="711"/>
      <c r="AS166" s="711"/>
      <c r="AT166" s="711"/>
      <c r="AU166" s="711"/>
      <c r="AV166" s="711"/>
      <c r="AW166" s="711"/>
      <c r="AX166" s="711"/>
      <c r="AY166" s="711"/>
      <c r="AZ166" s="711"/>
      <c r="BA166" s="711"/>
      <c r="BB166" s="711"/>
      <c r="BC166" s="711"/>
      <c r="BD166" s="711"/>
      <c r="BE166" s="711"/>
      <c r="BF166" s="711"/>
      <c r="BG166" s="711"/>
      <c r="BH166" s="711"/>
      <c r="BI166" s="711"/>
      <c r="BJ166" s="711"/>
      <c r="BK166" s="711"/>
      <c r="BL166" s="711"/>
      <c r="BM166" s="711"/>
      <c r="BN166" s="711"/>
      <c r="BO166" s="711"/>
      <c r="BP166" s="711"/>
      <c r="BQ166" s="711"/>
      <c r="BR166" s="711"/>
      <c r="BS166" s="711"/>
      <c r="BT166" s="711"/>
      <c r="BU166" s="711"/>
      <c r="BV166" s="711"/>
      <c r="BW166" s="711"/>
      <c r="BX166" s="711"/>
      <c r="BY166" s="711"/>
      <c r="BZ166" s="711"/>
      <c r="CA166" s="711"/>
      <c r="CB166" s="711"/>
      <c r="CC166" s="711"/>
      <c r="CD166" s="711"/>
      <c r="CE166" s="711"/>
      <c r="CF166" s="711"/>
      <c r="CG166" s="711"/>
      <c r="CH166" s="711"/>
      <c r="CI166" s="711"/>
      <c r="CJ166" s="711"/>
      <c r="CK166" s="711"/>
      <c r="CL166" s="711"/>
      <c r="CM166" s="711"/>
      <c r="CN166" s="711"/>
      <c r="CO166" s="711"/>
      <c r="CP166" s="711"/>
      <c r="CQ166" s="711"/>
      <c r="CR166" s="711"/>
      <c r="CS166" s="711"/>
      <c r="CT166" s="711"/>
      <c r="CU166" s="711"/>
      <c r="CV166" s="711"/>
      <c r="CW166" s="711"/>
      <c r="CX166" s="711"/>
      <c r="CY166" s="711"/>
      <c r="CZ166" s="711"/>
      <c r="DA166" s="711"/>
      <c r="DB166" s="711"/>
      <c r="DC166" s="711"/>
      <c r="DD166" s="711"/>
      <c r="DE166" s="711"/>
      <c r="DF166" s="711"/>
      <c r="DG166" s="711"/>
      <c r="DH166" s="711"/>
      <c r="DI166" s="711"/>
      <c r="DJ166" s="711"/>
      <c r="DK166" s="711"/>
      <c r="DL166" s="711"/>
      <c r="DM166" s="711"/>
      <c r="DN166" s="711"/>
      <c r="DO166" s="711"/>
      <c r="DP166" s="711"/>
      <c r="DQ166" s="711"/>
      <c r="DR166" s="711"/>
      <c r="DS166" s="711"/>
      <c r="DT166" s="711"/>
      <c r="DU166" s="711"/>
      <c r="DV166" s="711"/>
      <c r="DW166" s="711"/>
      <c r="DX166" s="711"/>
      <c r="DY166" s="711"/>
      <c r="DZ166" s="711"/>
      <c r="EA166" s="711"/>
      <c r="EB166" s="711"/>
      <c r="EC166" s="711"/>
      <c r="ED166" s="711"/>
      <c r="EE166" s="711"/>
      <c r="EF166" s="711"/>
      <c r="EG166" s="711"/>
      <c r="EH166" s="711"/>
      <c r="EI166" s="711"/>
      <c r="EJ166" s="711"/>
      <c r="EK166" s="711"/>
      <c r="EL166" s="711"/>
      <c r="EM166" s="711"/>
      <c r="EN166" s="711"/>
      <c r="EO166" s="711"/>
      <c r="EP166" s="711"/>
      <c r="EQ166" s="711"/>
      <c r="ER166" s="711"/>
      <c r="ES166" s="711"/>
      <c r="ET166" s="711"/>
      <c r="EU166" s="711"/>
      <c r="EV166" s="711"/>
      <c r="EW166" s="711"/>
      <c r="EX166" s="711"/>
      <c r="EY166" s="711"/>
      <c r="EZ166" s="711"/>
      <c r="FA166" s="711"/>
      <c r="FB166" s="711"/>
      <c r="FC166" s="711"/>
      <c r="FD166" s="711"/>
      <c r="FE166" s="711"/>
      <c r="FF166" s="711"/>
      <c r="FG166" s="711"/>
      <c r="FH166" s="711"/>
      <c r="FI166" s="711"/>
      <c r="FJ166" s="711"/>
      <c r="FK166" s="711"/>
      <c r="FL166" s="711"/>
      <c r="FM166" s="711"/>
      <c r="FN166" s="711"/>
      <c r="FO166" s="711"/>
      <c r="FP166" s="711"/>
      <c r="FQ166" s="711"/>
      <c r="FR166" s="711"/>
      <c r="FS166" s="711"/>
      <c r="FT166" s="711"/>
      <c r="FU166" s="711"/>
      <c r="FV166" s="711"/>
      <c r="FW166" s="711"/>
      <c r="FX166" s="711"/>
      <c r="FY166" s="711"/>
      <c r="FZ166" s="711"/>
      <c r="GA166" s="711"/>
      <c r="GB166" s="711"/>
      <c r="GC166" s="711"/>
      <c r="GD166" s="711"/>
      <c r="GE166" s="711"/>
      <c r="GF166" s="711"/>
      <c r="GG166" s="711"/>
      <c r="GH166" s="711"/>
      <c r="GI166" s="711"/>
      <c r="GJ166" s="711"/>
      <c r="GK166" s="711"/>
      <c r="GL166" s="711"/>
      <c r="GM166" s="711"/>
      <c r="GN166" s="711"/>
      <c r="GO166" s="711"/>
      <c r="GP166" s="711"/>
      <c r="GQ166" s="711"/>
      <c r="GR166" s="711"/>
      <c r="GS166" s="711"/>
      <c r="GT166" s="711"/>
      <c r="GU166" s="711"/>
      <c r="GV166" s="711"/>
      <c r="GW166" s="711"/>
      <c r="GX166" s="711"/>
      <c r="GY166" s="711"/>
      <c r="GZ166" s="711"/>
      <c r="HA166" s="711"/>
      <c r="HB166" s="711"/>
      <c r="HC166" s="711"/>
      <c r="HD166" s="711"/>
      <c r="HE166" s="711"/>
      <c r="HF166" s="711"/>
      <c r="HG166" s="711"/>
      <c r="HH166" s="711"/>
      <c r="HI166" s="711"/>
      <c r="HJ166" s="711"/>
      <c r="HK166" s="711"/>
      <c r="HL166" s="711"/>
      <c r="HM166" s="711"/>
      <c r="HN166" s="711"/>
      <c r="HO166" s="711"/>
      <c r="HP166" s="711"/>
      <c r="HQ166" s="711"/>
      <c r="HR166" s="711"/>
      <c r="HS166" s="711"/>
      <c r="HT166" s="711"/>
      <c r="HU166" s="711"/>
      <c r="HV166" s="711"/>
      <c r="HW166" s="711"/>
      <c r="HX166" s="711"/>
      <c r="HY166" s="711"/>
      <c r="HZ166" s="711"/>
      <c r="IA166" s="711"/>
      <c r="IB166" s="711"/>
      <c r="IC166" s="711"/>
      <c r="ID166" s="711"/>
      <c r="IE166" s="711"/>
      <c r="IF166" s="711"/>
      <c r="IG166" s="711"/>
      <c r="IH166" s="711"/>
      <c r="II166" s="711"/>
      <c r="IJ166" s="711"/>
      <c r="IK166" s="711"/>
      <c r="IL166" s="711"/>
      <c r="IM166" s="711"/>
      <c r="IN166" s="711"/>
      <c r="IO166" s="711"/>
      <c r="IP166" s="711"/>
      <c r="IQ166" s="711"/>
      <c r="IR166" s="711"/>
      <c r="IS166" s="711"/>
      <c r="IT166" s="711"/>
      <c r="IU166" s="711"/>
      <c r="IV166" s="711"/>
    </row>
    <row r="167" spans="1:256" ht="12.75" hidden="1" customHeight="1">
      <c r="A167" s="708"/>
      <c r="B167" s="690"/>
      <c r="C167" s="708"/>
      <c r="D167" s="691"/>
      <c r="E167" s="708"/>
      <c r="F167" s="690"/>
      <c r="G167" s="708"/>
      <c r="H167" s="708"/>
      <c r="I167" s="695"/>
      <c r="J167" s="708"/>
      <c r="K167" s="708"/>
      <c r="L167" s="693"/>
      <c r="M167" s="711"/>
      <c r="N167" s="711"/>
      <c r="O167" s="711"/>
      <c r="P167" s="711"/>
      <c r="Q167" s="711"/>
      <c r="R167" s="711"/>
      <c r="S167" s="711"/>
      <c r="T167" s="711"/>
      <c r="U167" s="711"/>
      <c r="V167" s="711"/>
      <c r="W167" s="711"/>
      <c r="X167" s="711"/>
      <c r="Y167" s="711"/>
      <c r="Z167" s="711"/>
      <c r="AA167" s="711"/>
      <c r="AB167" s="711"/>
      <c r="AC167" s="711"/>
      <c r="AD167" s="711"/>
      <c r="AE167" s="711"/>
      <c r="AF167" s="711"/>
      <c r="AG167" s="711"/>
      <c r="AH167" s="711"/>
      <c r="AI167" s="711"/>
      <c r="AJ167" s="711"/>
      <c r="AK167" s="711"/>
      <c r="AL167" s="711"/>
      <c r="AM167" s="711"/>
      <c r="AN167" s="711"/>
      <c r="AO167" s="711"/>
      <c r="AP167" s="711"/>
      <c r="AQ167" s="711"/>
      <c r="AR167" s="711"/>
      <c r="AS167" s="711"/>
      <c r="AT167" s="711"/>
      <c r="AU167" s="711"/>
      <c r="AV167" s="711"/>
      <c r="AW167" s="711"/>
      <c r="AX167" s="711"/>
      <c r="AY167" s="711"/>
      <c r="AZ167" s="711"/>
      <c r="BA167" s="711"/>
      <c r="BB167" s="711"/>
      <c r="BC167" s="711"/>
      <c r="BD167" s="711"/>
      <c r="BE167" s="711"/>
      <c r="BF167" s="711"/>
      <c r="BG167" s="711"/>
      <c r="BH167" s="711"/>
      <c r="BI167" s="711"/>
      <c r="BJ167" s="711"/>
      <c r="BK167" s="711"/>
      <c r="BL167" s="711"/>
      <c r="BM167" s="711"/>
      <c r="BN167" s="711"/>
      <c r="BO167" s="711"/>
      <c r="BP167" s="711"/>
      <c r="BQ167" s="711"/>
      <c r="BR167" s="711"/>
      <c r="BS167" s="711"/>
      <c r="BT167" s="711"/>
      <c r="BU167" s="711"/>
      <c r="BV167" s="711"/>
      <c r="BW167" s="711"/>
      <c r="BX167" s="711"/>
      <c r="BY167" s="711"/>
      <c r="BZ167" s="711"/>
      <c r="CA167" s="711"/>
      <c r="CB167" s="711"/>
      <c r="CC167" s="711"/>
      <c r="CD167" s="711"/>
      <c r="CE167" s="711"/>
      <c r="CF167" s="711"/>
      <c r="CG167" s="711"/>
      <c r="CH167" s="711"/>
      <c r="CI167" s="711"/>
      <c r="CJ167" s="711"/>
      <c r="CK167" s="711"/>
      <c r="CL167" s="711"/>
      <c r="CM167" s="711"/>
      <c r="CN167" s="711"/>
      <c r="CO167" s="711"/>
      <c r="CP167" s="711"/>
      <c r="CQ167" s="711"/>
      <c r="CR167" s="711"/>
      <c r="CS167" s="711"/>
      <c r="CT167" s="711"/>
      <c r="CU167" s="711"/>
      <c r="CV167" s="711"/>
      <c r="CW167" s="711"/>
      <c r="CX167" s="711"/>
      <c r="CY167" s="711"/>
      <c r="CZ167" s="711"/>
      <c r="DA167" s="711"/>
      <c r="DB167" s="711"/>
      <c r="DC167" s="711"/>
      <c r="DD167" s="711"/>
      <c r="DE167" s="711"/>
      <c r="DF167" s="711"/>
      <c r="DG167" s="711"/>
      <c r="DH167" s="711"/>
      <c r="DI167" s="711"/>
      <c r="DJ167" s="711"/>
      <c r="DK167" s="711"/>
      <c r="DL167" s="711"/>
      <c r="DM167" s="711"/>
      <c r="DN167" s="711"/>
      <c r="DO167" s="711"/>
      <c r="DP167" s="711"/>
      <c r="DQ167" s="711"/>
      <c r="DR167" s="711"/>
      <c r="DS167" s="711"/>
      <c r="DT167" s="711"/>
      <c r="DU167" s="711"/>
      <c r="DV167" s="711"/>
      <c r="DW167" s="711"/>
      <c r="DX167" s="711"/>
      <c r="DY167" s="711"/>
      <c r="DZ167" s="711"/>
      <c r="EA167" s="711"/>
      <c r="EB167" s="711"/>
      <c r="EC167" s="711"/>
      <c r="ED167" s="711"/>
      <c r="EE167" s="711"/>
      <c r="EF167" s="711"/>
      <c r="EG167" s="711"/>
      <c r="EH167" s="711"/>
      <c r="EI167" s="711"/>
      <c r="EJ167" s="711"/>
      <c r="EK167" s="711"/>
      <c r="EL167" s="711"/>
      <c r="EM167" s="711"/>
      <c r="EN167" s="711"/>
      <c r="EO167" s="711"/>
      <c r="EP167" s="711"/>
      <c r="EQ167" s="711"/>
      <c r="ER167" s="711"/>
      <c r="ES167" s="711"/>
      <c r="ET167" s="711"/>
      <c r="EU167" s="711"/>
      <c r="EV167" s="711"/>
      <c r="EW167" s="711"/>
      <c r="EX167" s="711"/>
      <c r="EY167" s="711"/>
      <c r="EZ167" s="711"/>
      <c r="FA167" s="711"/>
      <c r="FB167" s="711"/>
      <c r="FC167" s="711"/>
      <c r="FD167" s="711"/>
      <c r="FE167" s="711"/>
      <c r="FF167" s="711"/>
      <c r="FG167" s="711"/>
      <c r="FH167" s="711"/>
      <c r="FI167" s="711"/>
      <c r="FJ167" s="711"/>
      <c r="FK167" s="711"/>
      <c r="FL167" s="711"/>
      <c r="FM167" s="711"/>
      <c r="FN167" s="711"/>
      <c r="FO167" s="711"/>
      <c r="FP167" s="711"/>
      <c r="FQ167" s="711"/>
      <c r="FR167" s="711"/>
      <c r="FS167" s="711"/>
      <c r="FT167" s="711"/>
      <c r="FU167" s="711"/>
      <c r="FV167" s="711"/>
      <c r="FW167" s="711"/>
      <c r="FX167" s="711"/>
      <c r="FY167" s="711"/>
      <c r="FZ167" s="711"/>
      <c r="GA167" s="711"/>
      <c r="GB167" s="711"/>
      <c r="GC167" s="711"/>
      <c r="GD167" s="711"/>
      <c r="GE167" s="711"/>
      <c r="GF167" s="711"/>
      <c r="GG167" s="711"/>
      <c r="GH167" s="711"/>
      <c r="GI167" s="711"/>
      <c r="GJ167" s="711"/>
      <c r="GK167" s="711"/>
      <c r="GL167" s="711"/>
      <c r="GM167" s="711"/>
      <c r="GN167" s="711"/>
      <c r="GO167" s="711"/>
      <c r="GP167" s="711"/>
      <c r="GQ167" s="711"/>
      <c r="GR167" s="711"/>
      <c r="GS167" s="711"/>
      <c r="GT167" s="711"/>
      <c r="GU167" s="711"/>
      <c r="GV167" s="711"/>
      <c r="GW167" s="711"/>
      <c r="GX167" s="711"/>
      <c r="GY167" s="711"/>
      <c r="GZ167" s="711"/>
      <c r="HA167" s="711"/>
      <c r="HB167" s="711"/>
      <c r="HC167" s="711"/>
      <c r="HD167" s="711"/>
      <c r="HE167" s="711"/>
      <c r="HF167" s="711"/>
      <c r="HG167" s="711"/>
      <c r="HH167" s="711"/>
      <c r="HI167" s="711"/>
      <c r="HJ167" s="711"/>
      <c r="HK167" s="711"/>
      <c r="HL167" s="711"/>
      <c r="HM167" s="711"/>
      <c r="HN167" s="711"/>
      <c r="HO167" s="711"/>
      <c r="HP167" s="711"/>
      <c r="HQ167" s="711"/>
      <c r="HR167" s="711"/>
      <c r="HS167" s="711"/>
      <c r="HT167" s="711"/>
      <c r="HU167" s="711"/>
      <c r="HV167" s="711"/>
      <c r="HW167" s="711"/>
      <c r="HX167" s="711"/>
      <c r="HY167" s="711"/>
      <c r="HZ167" s="711"/>
      <c r="IA167" s="711"/>
      <c r="IB167" s="711"/>
      <c r="IC167" s="711"/>
      <c r="ID167" s="711"/>
      <c r="IE167" s="711"/>
      <c r="IF167" s="711"/>
      <c r="IG167" s="711"/>
      <c r="IH167" s="711"/>
      <c r="II167" s="711"/>
      <c r="IJ167" s="711"/>
      <c r="IK167" s="711"/>
      <c r="IL167" s="711"/>
      <c r="IM167" s="711"/>
      <c r="IN167" s="711"/>
      <c r="IO167" s="711"/>
      <c r="IP167" s="711"/>
      <c r="IQ167" s="711"/>
      <c r="IR167" s="711"/>
      <c r="IS167" s="711"/>
      <c r="IT167" s="711"/>
      <c r="IU167" s="711"/>
      <c r="IV167" s="711"/>
    </row>
    <row r="168" spans="1:256" ht="12.75" customHeight="1">
      <c r="A168" s="712">
        <v>2010</v>
      </c>
      <c r="B168" s="690"/>
      <c r="C168" s="708"/>
      <c r="D168" s="691"/>
      <c r="E168" s="708"/>
      <c r="F168" s="690"/>
      <c r="G168" s="713"/>
      <c r="H168" s="708"/>
      <c r="I168" s="695"/>
      <c r="J168" s="708"/>
      <c r="K168" s="708"/>
      <c r="L168" s="693"/>
      <c r="M168" s="711"/>
      <c r="N168" s="711"/>
      <c r="O168" s="711"/>
      <c r="P168" s="711"/>
      <c r="Q168" s="711"/>
      <c r="R168" s="711"/>
      <c r="S168" s="711"/>
      <c r="T168" s="711"/>
      <c r="U168" s="711"/>
      <c r="V168" s="711"/>
      <c r="W168" s="711"/>
      <c r="X168" s="711"/>
      <c r="Y168" s="711"/>
      <c r="Z168" s="711"/>
      <c r="AA168" s="711"/>
      <c r="AB168" s="711"/>
      <c r="AC168" s="711"/>
      <c r="AD168" s="711"/>
      <c r="AE168" s="711"/>
      <c r="AF168" s="711"/>
      <c r="AG168" s="711"/>
      <c r="AH168" s="711"/>
      <c r="AI168" s="711"/>
      <c r="AJ168" s="711"/>
      <c r="AK168" s="711"/>
      <c r="AL168" s="711"/>
      <c r="AM168" s="711"/>
      <c r="AN168" s="711"/>
      <c r="AO168" s="711"/>
      <c r="AP168" s="711"/>
      <c r="AQ168" s="711"/>
      <c r="AR168" s="711"/>
      <c r="AS168" s="711"/>
      <c r="AT168" s="711"/>
      <c r="AU168" s="711"/>
      <c r="AV168" s="711"/>
      <c r="AW168" s="711"/>
      <c r="AX168" s="711"/>
      <c r="AY168" s="711"/>
      <c r="AZ168" s="711"/>
      <c r="BA168" s="711"/>
      <c r="BB168" s="711"/>
      <c r="BC168" s="711"/>
      <c r="BD168" s="711"/>
      <c r="BE168" s="711"/>
      <c r="BF168" s="711"/>
      <c r="BG168" s="711"/>
      <c r="BH168" s="711"/>
      <c r="BI168" s="711"/>
      <c r="BJ168" s="711"/>
      <c r="BK168" s="711"/>
      <c r="BL168" s="711"/>
      <c r="BM168" s="711"/>
      <c r="BN168" s="711"/>
      <c r="BO168" s="711"/>
      <c r="BP168" s="711"/>
      <c r="BQ168" s="711"/>
      <c r="BR168" s="711"/>
      <c r="BS168" s="711"/>
      <c r="BT168" s="711"/>
      <c r="BU168" s="711"/>
      <c r="BV168" s="711"/>
      <c r="BW168" s="711"/>
      <c r="BX168" s="711"/>
      <c r="BY168" s="711"/>
      <c r="BZ168" s="711"/>
      <c r="CA168" s="711"/>
      <c r="CB168" s="711"/>
      <c r="CC168" s="711"/>
      <c r="CD168" s="711"/>
      <c r="CE168" s="711"/>
      <c r="CF168" s="711"/>
      <c r="CG168" s="711"/>
      <c r="CH168" s="711"/>
      <c r="CI168" s="711"/>
      <c r="CJ168" s="711"/>
      <c r="CK168" s="711"/>
      <c r="CL168" s="711"/>
      <c r="CM168" s="711"/>
      <c r="CN168" s="711"/>
      <c r="CO168" s="711"/>
      <c r="CP168" s="711"/>
      <c r="CQ168" s="711"/>
      <c r="CR168" s="711"/>
      <c r="CS168" s="711"/>
      <c r="CT168" s="711"/>
      <c r="CU168" s="711"/>
      <c r="CV168" s="711"/>
      <c r="CW168" s="711"/>
      <c r="CX168" s="711"/>
      <c r="CY168" s="711"/>
      <c r="CZ168" s="711"/>
      <c r="DA168" s="711"/>
      <c r="DB168" s="711"/>
      <c r="DC168" s="711"/>
      <c r="DD168" s="711"/>
      <c r="DE168" s="711"/>
      <c r="DF168" s="711"/>
      <c r="DG168" s="711"/>
      <c r="DH168" s="711"/>
      <c r="DI168" s="711"/>
      <c r="DJ168" s="711"/>
      <c r="DK168" s="711"/>
      <c r="DL168" s="711"/>
      <c r="DM168" s="711"/>
      <c r="DN168" s="711"/>
      <c r="DO168" s="711"/>
      <c r="DP168" s="711"/>
      <c r="DQ168" s="711"/>
      <c r="DR168" s="711"/>
      <c r="DS168" s="711"/>
      <c r="DT168" s="711"/>
      <c r="DU168" s="711"/>
      <c r="DV168" s="711"/>
      <c r="DW168" s="711"/>
      <c r="DX168" s="711"/>
      <c r="DY168" s="711"/>
      <c r="DZ168" s="711"/>
      <c r="EA168" s="711"/>
      <c r="EB168" s="711"/>
      <c r="EC168" s="711"/>
      <c r="ED168" s="711"/>
      <c r="EE168" s="711"/>
      <c r="EF168" s="711"/>
      <c r="EG168" s="711"/>
      <c r="EH168" s="711"/>
      <c r="EI168" s="711"/>
      <c r="EJ168" s="711"/>
      <c r="EK168" s="711"/>
      <c r="EL168" s="711"/>
      <c r="EM168" s="711"/>
      <c r="EN168" s="711"/>
      <c r="EO168" s="711"/>
      <c r="EP168" s="711"/>
      <c r="EQ168" s="711"/>
      <c r="ER168" s="711"/>
      <c r="ES168" s="711"/>
      <c r="ET168" s="711"/>
      <c r="EU168" s="711"/>
      <c r="EV168" s="711"/>
      <c r="EW168" s="711"/>
      <c r="EX168" s="711"/>
      <c r="EY168" s="711"/>
      <c r="EZ168" s="711"/>
      <c r="FA168" s="711"/>
      <c r="FB168" s="711"/>
      <c r="FC168" s="711"/>
      <c r="FD168" s="711"/>
      <c r="FE168" s="711"/>
      <c r="FF168" s="711"/>
      <c r="FG168" s="711"/>
      <c r="FH168" s="711"/>
      <c r="FI168" s="711"/>
      <c r="FJ168" s="711"/>
      <c r="FK168" s="711"/>
      <c r="FL168" s="711"/>
      <c r="FM168" s="711"/>
      <c r="FN168" s="711"/>
      <c r="FO168" s="711"/>
      <c r="FP168" s="711"/>
      <c r="FQ168" s="711"/>
      <c r="FR168" s="711"/>
      <c r="FS168" s="711"/>
      <c r="FT168" s="711"/>
      <c r="FU168" s="711"/>
      <c r="FV168" s="711"/>
      <c r="FW168" s="711"/>
      <c r="FX168" s="711"/>
      <c r="FY168" s="711"/>
      <c r="FZ168" s="711"/>
      <c r="GA168" s="711"/>
      <c r="GB168" s="711"/>
      <c r="GC168" s="711"/>
      <c r="GD168" s="711"/>
      <c r="GE168" s="711"/>
      <c r="GF168" s="711"/>
      <c r="GG168" s="711"/>
      <c r="GH168" s="711"/>
      <c r="GI168" s="711"/>
      <c r="GJ168" s="711"/>
      <c r="GK168" s="711"/>
      <c r="GL168" s="711"/>
      <c r="GM168" s="711"/>
      <c r="GN168" s="711"/>
      <c r="GO168" s="711"/>
      <c r="GP168" s="711"/>
      <c r="GQ168" s="711"/>
      <c r="GR168" s="711"/>
      <c r="GS168" s="711"/>
      <c r="GT168" s="711"/>
      <c r="GU168" s="711"/>
      <c r="GV168" s="711"/>
      <c r="GW168" s="711"/>
      <c r="GX168" s="711"/>
      <c r="GY168" s="711"/>
      <c r="GZ168" s="711"/>
      <c r="HA168" s="711"/>
      <c r="HB168" s="711"/>
      <c r="HC168" s="711"/>
      <c r="HD168" s="711"/>
      <c r="HE168" s="711"/>
      <c r="HF168" s="711"/>
      <c r="HG168" s="711"/>
      <c r="HH168" s="711"/>
      <c r="HI168" s="711"/>
      <c r="HJ168" s="711"/>
      <c r="HK168" s="711"/>
      <c r="HL168" s="711"/>
      <c r="HM168" s="711"/>
      <c r="HN168" s="711"/>
      <c r="HO168" s="711"/>
      <c r="HP168" s="711"/>
      <c r="HQ168" s="711"/>
      <c r="HR168" s="711"/>
      <c r="HS168" s="711"/>
      <c r="HT168" s="711"/>
      <c r="HU168" s="711"/>
      <c r="HV168" s="711"/>
      <c r="HW168" s="711"/>
      <c r="HX168" s="711"/>
      <c r="HY168" s="711"/>
      <c r="HZ168" s="711"/>
      <c r="IA168" s="711"/>
      <c r="IB168" s="711"/>
      <c r="IC168" s="711"/>
      <c r="ID168" s="711"/>
      <c r="IE168" s="711"/>
      <c r="IF168" s="711"/>
      <c r="IG168" s="711"/>
      <c r="IH168" s="711"/>
      <c r="II168" s="711"/>
      <c r="IJ168" s="711"/>
      <c r="IK168" s="711"/>
      <c r="IL168" s="711"/>
      <c r="IM168" s="711"/>
      <c r="IN168" s="711"/>
      <c r="IO168" s="711"/>
      <c r="IP168" s="711"/>
      <c r="IQ168" s="711"/>
      <c r="IR168" s="711"/>
      <c r="IS168" s="711"/>
      <c r="IT168" s="711"/>
      <c r="IU168" s="711"/>
      <c r="IV168" s="711"/>
    </row>
    <row r="169" spans="1:256" ht="12.75" customHeight="1">
      <c r="A169" s="712"/>
      <c r="B169" s="693"/>
      <c r="C169" s="708"/>
      <c r="D169" s="691"/>
      <c r="E169" s="708"/>
      <c r="F169" s="694"/>
      <c r="G169" s="714"/>
      <c r="H169" s="708"/>
      <c r="I169" s="695"/>
      <c r="J169" s="708"/>
      <c r="K169" s="708"/>
      <c r="L169" s="693"/>
      <c r="M169" s="711"/>
      <c r="N169" s="711"/>
      <c r="O169" s="711"/>
      <c r="P169" s="711"/>
      <c r="Q169" s="711"/>
      <c r="R169" s="711"/>
      <c r="S169" s="711"/>
      <c r="T169" s="711"/>
      <c r="U169" s="711"/>
      <c r="V169" s="711"/>
      <c r="W169" s="711"/>
      <c r="X169" s="711"/>
      <c r="Y169" s="711"/>
      <c r="Z169" s="711"/>
      <c r="AA169" s="711"/>
      <c r="AB169" s="711"/>
      <c r="AC169" s="711"/>
      <c r="AD169" s="711"/>
      <c r="AE169" s="711"/>
      <c r="AF169" s="711"/>
      <c r="AG169" s="711"/>
      <c r="AH169" s="711"/>
      <c r="AI169" s="711"/>
      <c r="AJ169" s="711"/>
      <c r="AK169" s="711"/>
      <c r="AL169" s="711"/>
      <c r="AM169" s="711"/>
      <c r="AN169" s="711"/>
      <c r="AO169" s="711"/>
      <c r="AP169" s="711"/>
      <c r="AQ169" s="711"/>
      <c r="AR169" s="711"/>
      <c r="AS169" s="711"/>
      <c r="AT169" s="711"/>
      <c r="AU169" s="711"/>
      <c r="AV169" s="711"/>
      <c r="AW169" s="711"/>
      <c r="AX169" s="711"/>
      <c r="AY169" s="711"/>
      <c r="AZ169" s="711"/>
      <c r="BA169" s="711"/>
      <c r="BB169" s="711"/>
      <c r="BC169" s="711"/>
      <c r="BD169" s="711"/>
      <c r="BE169" s="711"/>
      <c r="BF169" s="711"/>
      <c r="BG169" s="711"/>
      <c r="BH169" s="711"/>
      <c r="BI169" s="711"/>
      <c r="BJ169" s="711"/>
      <c r="BK169" s="711"/>
      <c r="BL169" s="711"/>
      <c r="BM169" s="711"/>
      <c r="BN169" s="711"/>
      <c r="BO169" s="711"/>
      <c r="BP169" s="711"/>
      <c r="BQ169" s="711"/>
      <c r="BR169" s="711"/>
      <c r="BS169" s="711"/>
      <c r="BT169" s="711"/>
      <c r="BU169" s="711"/>
      <c r="BV169" s="711"/>
      <c r="BW169" s="711"/>
      <c r="BX169" s="711"/>
      <c r="BY169" s="711"/>
      <c r="BZ169" s="711"/>
      <c r="CA169" s="711"/>
      <c r="CB169" s="711"/>
      <c r="CC169" s="711"/>
      <c r="CD169" s="711"/>
      <c r="CE169" s="711"/>
      <c r="CF169" s="711"/>
      <c r="CG169" s="711"/>
      <c r="CH169" s="711"/>
      <c r="CI169" s="711"/>
      <c r="CJ169" s="711"/>
      <c r="CK169" s="711"/>
      <c r="CL169" s="711"/>
      <c r="CM169" s="711"/>
      <c r="CN169" s="711"/>
      <c r="CO169" s="711"/>
      <c r="CP169" s="711"/>
      <c r="CQ169" s="711"/>
      <c r="CR169" s="711"/>
      <c r="CS169" s="711"/>
      <c r="CT169" s="711"/>
      <c r="CU169" s="711"/>
      <c r="CV169" s="711"/>
      <c r="CW169" s="711"/>
      <c r="CX169" s="711"/>
      <c r="CY169" s="711"/>
      <c r="CZ169" s="711"/>
      <c r="DA169" s="711"/>
      <c r="DB169" s="711"/>
      <c r="DC169" s="711"/>
      <c r="DD169" s="711"/>
      <c r="DE169" s="711"/>
      <c r="DF169" s="711"/>
      <c r="DG169" s="711"/>
      <c r="DH169" s="711"/>
      <c r="DI169" s="711"/>
      <c r="DJ169" s="711"/>
      <c r="DK169" s="711"/>
      <c r="DL169" s="711"/>
      <c r="DM169" s="711"/>
      <c r="DN169" s="711"/>
      <c r="DO169" s="711"/>
      <c r="DP169" s="711"/>
      <c r="DQ169" s="711"/>
      <c r="DR169" s="711"/>
      <c r="DS169" s="711"/>
      <c r="DT169" s="711"/>
      <c r="DU169" s="711"/>
      <c r="DV169" s="711"/>
      <c r="DW169" s="711"/>
      <c r="DX169" s="711"/>
      <c r="DY169" s="711"/>
      <c r="DZ169" s="711"/>
      <c r="EA169" s="711"/>
      <c r="EB169" s="711"/>
      <c r="EC169" s="711"/>
      <c r="ED169" s="711"/>
      <c r="EE169" s="711"/>
      <c r="EF169" s="711"/>
      <c r="EG169" s="711"/>
      <c r="EH169" s="711"/>
      <c r="EI169" s="711"/>
      <c r="EJ169" s="711"/>
      <c r="EK169" s="711"/>
      <c r="EL169" s="711"/>
      <c r="EM169" s="711"/>
      <c r="EN169" s="711"/>
      <c r="EO169" s="711"/>
      <c r="EP169" s="711"/>
      <c r="EQ169" s="711"/>
      <c r="ER169" s="711"/>
      <c r="ES169" s="711"/>
      <c r="ET169" s="711"/>
      <c r="EU169" s="711"/>
      <c r="EV169" s="711"/>
      <c r="EW169" s="711"/>
      <c r="EX169" s="711"/>
      <c r="EY169" s="711"/>
      <c r="EZ169" s="711"/>
      <c r="FA169" s="711"/>
      <c r="FB169" s="711"/>
      <c r="FC169" s="711"/>
      <c r="FD169" s="711"/>
      <c r="FE169" s="711"/>
      <c r="FF169" s="711"/>
      <c r="FG169" s="711"/>
      <c r="FH169" s="711"/>
      <c r="FI169" s="711"/>
      <c r="FJ169" s="711"/>
      <c r="FK169" s="711"/>
      <c r="FL169" s="711"/>
      <c r="FM169" s="711"/>
      <c r="FN169" s="711"/>
      <c r="FO169" s="711"/>
      <c r="FP169" s="711"/>
      <c r="FQ169" s="711"/>
      <c r="FR169" s="711"/>
      <c r="FS169" s="711"/>
      <c r="FT169" s="711"/>
      <c r="FU169" s="711"/>
      <c r="FV169" s="711"/>
      <c r="FW169" s="711"/>
      <c r="FX169" s="711"/>
      <c r="FY169" s="711"/>
      <c r="FZ169" s="711"/>
      <c r="GA169" s="711"/>
      <c r="GB169" s="711"/>
      <c r="GC169" s="711"/>
      <c r="GD169" s="711"/>
      <c r="GE169" s="711"/>
      <c r="GF169" s="711"/>
      <c r="GG169" s="711"/>
      <c r="GH169" s="711"/>
      <c r="GI169" s="711"/>
      <c r="GJ169" s="711"/>
      <c r="GK169" s="711"/>
      <c r="GL169" s="711"/>
      <c r="GM169" s="711"/>
      <c r="GN169" s="711"/>
      <c r="GO169" s="711"/>
      <c r="GP169" s="711"/>
      <c r="GQ169" s="711"/>
      <c r="GR169" s="711"/>
      <c r="GS169" s="711"/>
      <c r="GT169" s="711"/>
      <c r="GU169" s="711"/>
      <c r="GV169" s="711"/>
      <c r="GW169" s="711"/>
      <c r="GX169" s="711"/>
      <c r="GY169" s="711"/>
      <c r="GZ169" s="711"/>
      <c r="HA169" s="711"/>
      <c r="HB169" s="711"/>
      <c r="HC169" s="711"/>
      <c r="HD169" s="711"/>
      <c r="HE169" s="711"/>
      <c r="HF169" s="711"/>
      <c r="HG169" s="711"/>
      <c r="HH169" s="711"/>
      <c r="HI169" s="711"/>
      <c r="HJ169" s="711"/>
      <c r="HK169" s="711"/>
      <c r="HL169" s="711"/>
      <c r="HM169" s="711"/>
      <c r="HN169" s="711"/>
      <c r="HO169" s="711"/>
      <c r="HP169" s="711"/>
      <c r="HQ169" s="711"/>
      <c r="HR169" s="711"/>
      <c r="HS169" s="711"/>
      <c r="HT169" s="711"/>
      <c r="HU169" s="711"/>
      <c r="HV169" s="711"/>
      <c r="HW169" s="711"/>
      <c r="HX169" s="711"/>
      <c r="HY169" s="711"/>
      <c r="HZ169" s="711"/>
      <c r="IA169" s="711"/>
      <c r="IB169" s="711"/>
      <c r="IC169" s="711"/>
      <c r="ID169" s="711"/>
      <c r="IE169" s="711"/>
      <c r="IF169" s="711"/>
      <c r="IG169" s="711"/>
      <c r="IH169" s="711"/>
      <c r="II169" s="711"/>
      <c r="IJ169" s="711"/>
      <c r="IK169" s="711"/>
      <c r="IL169" s="711"/>
      <c r="IM169" s="711"/>
      <c r="IN169" s="711"/>
      <c r="IO169" s="711"/>
      <c r="IP169" s="711"/>
      <c r="IQ169" s="711"/>
      <c r="IR169" s="711"/>
      <c r="IS169" s="711"/>
      <c r="IT169" s="711"/>
      <c r="IU169" s="711"/>
      <c r="IV169" s="711"/>
    </row>
    <row r="170" spans="1:256">
      <c r="A170" s="708" t="s">
        <v>345</v>
      </c>
      <c r="B170" s="718">
        <v>102.2444957</v>
      </c>
      <c r="C170" s="718">
        <v>86.077145999999999</v>
      </c>
      <c r="D170" s="718">
        <v>0</v>
      </c>
      <c r="E170" s="718">
        <f t="shared" ref="E170:E181" si="24">B170-C170</f>
        <v>16.167349700000003</v>
      </c>
      <c r="F170" s="718">
        <v>-16.167349699999999</v>
      </c>
      <c r="G170" s="718">
        <v>0</v>
      </c>
      <c r="H170" s="718">
        <f>F170+G170</f>
        <v>-16.167349699999999</v>
      </c>
      <c r="I170" s="718">
        <f>+D170</f>
        <v>0</v>
      </c>
      <c r="J170" s="718">
        <v>0</v>
      </c>
      <c r="K170" s="718">
        <f>+I170+H170+J170</f>
        <v>-16.167349699999999</v>
      </c>
      <c r="L170" s="693"/>
      <c r="M170" s="711"/>
      <c r="N170" s="711"/>
      <c r="O170" s="711"/>
      <c r="P170" s="711"/>
      <c r="Q170" s="711"/>
      <c r="R170" s="711"/>
      <c r="S170" s="711"/>
      <c r="T170" s="711"/>
      <c r="U170" s="711"/>
      <c r="V170" s="711"/>
      <c r="W170" s="711"/>
      <c r="X170" s="711"/>
      <c r="Y170" s="711"/>
      <c r="Z170" s="711"/>
      <c r="AA170" s="711"/>
      <c r="AB170" s="711"/>
      <c r="AC170" s="711"/>
      <c r="AD170" s="711"/>
      <c r="AE170" s="711"/>
      <c r="AF170" s="711"/>
      <c r="AG170" s="711"/>
      <c r="AH170" s="711"/>
      <c r="AI170" s="711"/>
      <c r="AJ170" s="711"/>
      <c r="AK170" s="711"/>
      <c r="AL170" s="711"/>
      <c r="AM170" s="711"/>
      <c r="AN170" s="711"/>
      <c r="AO170" s="711"/>
      <c r="AP170" s="711"/>
      <c r="AQ170" s="711"/>
      <c r="AR170" s="711"/>
      <c r="AS170" s="711"/>
      <c r="AT170" s="711"/>
      <c r="AU170" s="711"/>
      <c r="AV170" s="711"/>
      <c r="AW170" s="711"/>
      <c r="AX170" s="711"/>
      <c r="AY170" s="711"/>
      <c r="AZ170" s="711"/>
      <c r="BA170" s="711"/>
      <c r="BB170" s="711"/>
      <c r="BC170" s="711"/>
      <c r="BD170" s="711"/>
      <c r="BE170" s="711"/>
      <c r="BF170" s="711"/>
      <c r="BG170" s="711"/>
      <c r="BH170" s="711"/>
      <c r="BI170" s="711"/>
      <c r="BJ170" s="711"/>
      <c r="BK170" s="711"/>
      <c r="BL170" s="711"/>
      <c r="BM170" s="711"/>
      <c r="BN170" s="711"/>
      <c r="BO170" s="711"/>
      <c r="BP170" s="711"/>
      <c r="BQ170" s="711"/>
      <c r="BR170" s="711"/>
      <c r="BS170" s="711"/>
      <c r="BT170" s="711"/>
      <c r="BU170" s="711"/>
      <c r="BV170" s="711"/>
      <c r="BW170" s="711"/>
      <c r="BX170" s="711"/>
      <c r="BY170" s="711"/>
      <c r="BZ170" s="711"/>
      <c r="CA170" s="711"/>
      <c r="CB170" s="711"/>
      <c r="CC170" s="711"/>
      <c r="CD170" s="711"/>
      <c r="CE170" s="711"/>
      <c r="CF170" s="711"/>
      <c r="CG170" s="711"/>
      <c r="CH170" s="711"/>
      <c r="CI170" s="711"/>
      <c r="CJ170" s="711"/>
      <c r="CK170" s="711"/>
      <c r="CL170" s="711"/>
      <c r="CM170" s="711"/>
      <c r="CN170" s="711"/>
      <c r="CO170" s="711"/>
      <c r="CP170" s="711"/>
      <c r="CQ170" s="711"/>
      <c r="CR170" s="711"/>
      <c r="CS170" s="711"/>
      <c r="CT170" s="711"/>
      <c r="CU170" s="711"/>
      <c r="CV170" s="711"/>
      <c r="CW170" s="711"/>
      <c r="CX170" s="711"/>
      <c r="CY170" s="711"/>
      <c r="CZ170" s="711"/>
      <c r="DA170" s="711"/>
      <c r="DB170" s="711"/>
      <c r="DC170" s="711"/>
      <c r="DD170" s="711"/>
      <c r="DE170" s="711"/>
      <c r="DF170" s="711"/>
      <c r="DG170" s="711"/>
      <c r="DH170" s="711"/>
      <c r="DI170" s="711"/>
      <c r="DJ170" s="711"/>
      <c r="DK170" s="711"/>
      <c r="DL170" s="711"/>
      <c r="DM170" s="711"/>
      <c r="DN170" s="711"/>
      <c r="DO170" s="711"/>
      <c r="DP170" s="711"/>
      <c r="DQ170" s="711"/>
      <c r="DR170" s="711"/>
      <c r="DS170" s="711"/>
      <c r="DT170" s="711"/>
      <c r="DU170" s="711"/>
      <c r="DV170" s="711"/>
      <c r="DW170" s="711"/>
      <c r="DX170" s="711"/>
      <c r="DY170" s="711"/>
      <c r="DZ170" s="711"/>
      <c r="EA170" s="711"/>
      <c r="EB170" s="711"/>
      <c r="EC170" s="711"/>
      <c r="ED170" s="711"/>
      <c r="EE170" s="711"/>
      <c r="EF170" s="711"/>
      <c r="EG170" s="711"/>
      <c r="EH170" s="711"/>
      <c r="EI170" s="711"/>
      <c r="EJ170" s="711"/>
      <c r="EK170" s="711"/>
      <c r="EL170" s="711"/>
      <c r="EM170" s="711"/>
      <c r="EN170" s="711"/>
      <c r="EO170" s="711"/>
      <c r="EP170" s="711"/>
      <c r="EQ170" s="711"/>
      <c r="ER170" s="711"/>
      <c r="ES170" s="711"/>
      <c r="ET170" s="711"/>
      <c r="EU170" s="711"/>
      <c r="EV170" s="711"/>
      <c r="EW170" s="711"/>
      <c r="EX170" s="711"/>
      <c r="EY170" s="711"/>
      <c r="EZ170" s="711"/>
      <c r="FA170" s="711"/>
      <c r="FB170" s="711"/>
      <c r="FC170" s="711"/>
      <c r="FD170" s="711"/>
      <c r="FE170" s="711"/>
      <c r="FF170" s="711"/>
      <c r="FG170" s="711"/>
      <c r="FH170" s="711"/>
      <c r="FI170" s="711"/>
      <c r="FJ170" s="711"/>
      <c r="FK170" s="711"/>
      <c r="FL170" s="711"/>
      <c r="FM170" s="711"/>
      <c r="FN170" s="711"/>
      <c r="FO170" s="711"/>
      <c r="FP170" s="711"/>
      <c r="FQ170" s="711"/>
      <c r="FR170" s="711"/>
      <c r="FS170" s="711"/>
      <c r="FT170" s="711"/>
      <c r="FU170" s="711"/>
      <c r="FV170" s="711"/>
      <c r="FW170" s="711"/>
      <c r="FX170" s="711"/>
      <c r="FY170" s="711"/>
      <c r="FZ170" s="711"/>
      <c r="GA170" s="711"/>
      <c r="GB170" s="711"/>
      <c r="GC170" s="711"/>
      <c r="GD170" s="711"/>
      <c r="GE170" s="711"/>
      <c r="GF170" s="711"/>
      <c r="GG170" s="711"/>
      <c r="GH170" s="711"/>
      <c r="GI170" s="711"/>
      <c r="GJ170" s="711"/>
      <c r="GK170" s="711"/>
      <c r="GL170" s="711"/>
      <c r="GM170" s="711"/>
      <c r="GN170" s="711"/>
      <c r="GO170" s="711"/>
      <c r="GP170" s="711"/>
      <c r="GQ170" s="711"/>
      <c r="GR170" s="711"/>
      <c r="GS170" s="711"/>
      <c r="GT170" s="711"/>
      <c r="GU170" s="711"/>
      <c r="GV170" s="711"/>
      <c r="GW170" s="711"/>
      <c r="GX170" s="711"/>
      <c r="GY170" s="711"/>
      <c r="GZ170" s="711"/>
      <c r="HA170" s="711"/>
      <c r="HB170" s="711"/>
      <c r="HC170" s="711"/>
      <c r="HD170" s="711"/>
      <c r="HE170" s="711"/>
      <c r="HF170" s="711"/>
      <c r="HG170" s="711"/>
      <c r="HH170" s="711"/>
      <c r="HI170" s="711"/>
      <c r="HJ170" s="711"/>
      <c r="HK170" s="711"/>
      <c r="HL170" s="711"/>
      <c r="HM170" s="711"/>
      <c r="HN170" s="711"/>
      <c r="HO170" s="711"/>
      <c r="HP170" s="711"/>
      <c r="HQ170" s="711"/>
      <c r="HR170" s="711"/>
      <c r="HS170" s="711"/>
      <c r="HT170" s="711"/>
      <c r="HU170" s="711"/>
      <c r="HV170" s="711"/>
      <c r="HW170" s="711"/>
      <c r="HX170" s="711"/>
      <c r="HY170" s="711"/>
      <c r="HZ170" s="711"/>
      <c r="IA170" s="711"/>
      <c r="IB170" s="711"/>
      <c r="IC170" s="711"/>
      <c r="ID170" s="711"/>
      <c r="IE170" s="711"/>
      <c r="IF170" s="711"/>
      <c r="IG170" s="711"/>
      <c r="IH170" s="711"/>
      <c r="II170" s="711"/>
      <c r="IJ170" s="711"/>
      <c r="IK170" s="711"/>
      <c r="IL170" s="711"/>
      <c r="IM170" s="711"/>
      <c r="IN170" s="711"/>
      <c r="IO170" s="711"/>
      <c r="IP170" s="711"/>
      <c r="IQ170" s="711"/>
      <c r="IR170" s="711"/>
      <c r="IS170" s="711"/>
      <c r="IT170" s="711"/>
      <c r="IU170" s="711"/>
      <c r="IV170" s="711"/>
    </row>
    <row r="171" spans="1:256">
      <c r="A171" s="708" t="s">
        <v>334</v>
      </c>
      <c r="B171" s="718">
        <v>133.2725667</v>
      </c>
      <c r="C171" s="718">
        <v>132.79950299999999</v>
      </c>
      <c r="D171" s="718">
        <v>0</v>
      </c>
      <c r="E171" s="718">
        <f t="shared" si="24"/>
        <v>0.47306370000001152</v>
      </c>
      <c r="F171" s="718">
        <v>-0.47306370000000003</v>
      </c>
      <c r="G171" s="718">
        <v>0</v>
      </c>
      <c r="H171" s="718">
        <f>F171+G171</f>
        <v>-0.47306370000000003</v>
      </c>
      <c r="I171" s="718">
        <v>0</v>
      </c>
      <c r="J171" s="718">
        <v>0</v>
      </c>
      <c r="K171" s="718">
        <f>+I171+H171+J171</f>
        <v>-0.47306370000000003</v>
      </c>
      <c r="L171" s="693"/>
      <c r="M171" s="711"/>
      <c r="N171" s="711"/>
      <c r="O171" s="711"/>
      <c r="P171" s="711"/>
      <c r="Q171" s="711"/>
      <c r="R171" s="711"/>
      <c r="S171" s="711"/>
      <c r="T171" s="711"/>
      <c r="U171" s="711"/>
      <c r="V171" s="711"/>
      <c r="W171" s="711"/>
      <c r="X171" s="711"/>
      <c r="Y171" s="711"/>
      <c r="Z171" s="711"/>
      <c r="AA171" s="711"/>
      <c r="AB171" s="711"/>
      <c r="AC171" s="711"/>
      <c r="AD171" s="711"/>
      <c r="AE171" s="711"/>
      <c r="AF171" s="711"/>
      <c r="AG171" s="711"/>
      <c r="AH171" s="711"/>
      <c r="AI171" s="711"/>
      <c r="AJ171" s="711"/>
      <c r="AK171" s="711"/>
      <c r="AL171" s="711"/>
      <c r="AM171" s="711"/>
      <c r="AN171" s="711"/>
      <c r="AO171" s="711"/>
      <c r="AP171" s="711"/>
      <c r="AQ171" s="711"/>
      <c r="AR171" s="711"/>
      <c r="AS171" s="711"/>
      <c r="AT171" s="711"/>
      <c r="AU171" s="711"/>
      <c r="AV171" s="711"/>
      <c r="AW171" s="711"/>
      <c r="AX171" s="711"/>
      <c r="AY171" s="711"/>
      <c r="AZ171" s="711"/>
      <c r="BA171" s="711"/>
      <c r="BB171" s="711"/>
      <c r="BC171" s="711"/>
      <c r="BD171" s="711"/>
      <c r="BE171" s="711"/>
      <c r="BF171" s="711"/>
      <c r="BG171" s="711"/>
      <c r="BH171" s="711"/>
      <c r="BI171" s="711"/>
      <c r="BJ171" s="711"/>
      <c r="BK171" s="711"/>
      <c r="BL171" s="711"/>
      <c r="BM171" s="711"/>
      <c r="BN171" s="711"/>
      <c r="BO171" s="711"/>
      <c r="BP171" s="711"/>
      <c r="BQ171" s="711"/>
      <c r="BR171" s="711"/>
      <c r="BS171" s="711"/>
      <c r="BT171" s="711"/>
      <c r="BU171" s="711"/>
      <c r="BV171" s="711"/>
      <c r="BW171" s="711"/>
      <c r="BX171" s="711"/>
      <c r="BY171" s="711"/>
      <c r="BZ171" s="711"/>
      <c r="CA171" s="711"/>
      <c r="CB171" s="711"/>
      <c r="CC171" s="711"/>
      <c r="CD171" s="711"/>
      <c r="CE171" s="711"/>
      <c r="CF171" s="711"/>
      <c r="CG171" s="711"/>
      <c r="CH171" s="711"/>
      <c r="CI171" s="711"/>
      <c r="CJ171" s="711"/>
      <c r="CK171" s="711"/>
      <c r="CL171" s="711"/>
      <c r="CM171" s="711"/>
      <c r="CN171" s="711"/>
      <c r="CO171" s="711"/>
      <c r="CP171" s="711"/>
      <c r="CQ171" s="711"/>
      <c r="CR171" s="711"/>
      <c r="CS171" s="711"/>
      <c r="CT171" s="711"/>
      <c r="CU171" s="711"/>
      <c r="CV171" s="711"/>
      <c r="CW171" s="711"/>
      <c r="CX171" s="711"/>
      <c r="CY171" s="711"/>
      <c r="CZ171" s="711"/>
      <c r="DA171" s="711"/>
      <c r="DB171" s="711"/>
      <c r="DC171" s="711"/>
      <c r="DD171" s="711"/>
      <c r="DE171" s="711"/>
      <c r="DF171" s="711"/>
      <c r="DG171" s="711"/>
      <c r="DH171" s="711"/>
      <c r="DI171" s="711"/>
      <c r="DJ171" s="711"/>
      <c r="DK171" s="711"/>
      <c r="DL171" s="711"/>
      <c r="DM171" s="711"/>
      <c r="DN171" s="711"/>
      <c r="DO171" s="711"/>
      <c r="DP171" s="711"/>
      <c r="DQ171" s="711"/>
      <c r="DR171" s="711"/>
      <c r="DS171" s="711"/>
      <c r="DT171" s="711"/>
      <c r="DU171" s="711"/>
      <c r="DV171" s="711"/>
      <c r="DW171" s="711"/>
      <c r="DX171" s="711"/>
      <c r="DY171" s="711"/>
      <c r="DZ171" s="711"/>
      <c r="EA171" s="711"/>
      <c r="EB171" s="711"/>
      <c r="EC171" s="711"/>
      <c r="ED171" s="711"/>
      <c r="EE171" s="711"/>
      <c r="EF171" s="711"/>
      <c r="EG171" s="711"/>
      <c r="EH171" s="711"/>
      <c r="EI171" s="711"/>
      <c r="EJ171" s="711"/>
      <c r="EK171" s="711"/>
      <c r="EL171" s="711"/>
      <c r="EM171" s="711"/>
      <c r="EN171" s="711"/>
      <c r="EO171" s="711"/>
      <c r="EP171" s="711"/>
      <c r="EQ171" s="711"/>
      <c r="ER171" s="711"/>
      <c r="ES171" s="711"/>
      <c r="ET171" s="711"/>
      <c r="EU171" s="711"/>
      <c r="EV171" s="711"/>
      <c r="EW171" s="711"/>
      <c r="EX171" s="711"/>
      <c r="EY171" s="711"/>
      <c r="EZ171" s="711"/>
      <c r="FA171" s="711"/>
      <c r="FB171" s="711"/>
      <c r="FC171" s="711"/>
      <c r="FD171" s="711"/>
      <c r="FE171" s="711"/>
      <c r="FF171" s="711"/>
      <c r="FG171" s="711"/>
      <c r="FH171" s="711"/>
      <c r="FI171" s="711"/>
      <c r="FJ171" s="711"/>
      <c r="FK171" s="711"/>
      <c r="FL171" s="711"/>
      <c r="FM171" s="711"/>
      <c r="FN171" s="711"/>
      <c r="FO171" s="711"/>
      <c r="FP171" s="711"/>
      <c r="FQ171" s="711"/>
      <c r="FR171" s="711"/>
      <c r="FS171" s="711"/>
      <c r="FT171" s="711"/>
      <c r="FU171" s="711"/>
      <c r="FV171" s="711"/>
      <c r="FW171" s="711"/>
      <c r="FX171" s="711"/>
      <c r="FY171" s="711"/>
      <c r="FZ171" s="711"/>
      <c r="GA171" s="711"/>
      <c r="GB171" s="711"/>
      <c r="GC171" s="711"/>
      <c r="GD171" s="711"/>
      <c r="GE171" s="711"/>
      <c r="GF171" s="711"/>
      <c r="GG171" s="711"/>
      <c r="GH171" s="711"/>
      <c r="GI171" s="711"/>
      <c r="GJ171" s="711"/>
      <c r="GK171" s="711"/>
      <c r="GL171" s="711"/>
      <c r="GM171" s="711"/>
      <c r="GN171" s="711"/>
      <c r="GO171" s="711"/>
      <c r="GP171" s="711"/>
      <c r="GQ171" s="711"/>
      <c r="GR171" s="711"/>
      <c r="GS171" s="711"/>
      <c r="GT171" s="711"/>
      <c r="GU171" s="711"/>
      <c r="GV171" s="711"/>
      <c r="GW171" s="711"/>
      <c r="GX171" s="711"/>
      <c r="GY171" s="711"/>
      <c r="GZ171" s="711"/>
      <c r="HA171" s="711"/>
      <c r="HB171" s="711"/>
      <c r="HC171" s="711"/>
      <c r="HD171" s="711"/>
      <c r="HE171" s="711"/>
      <c r="HF171" s="711"/>
      <c r="HG171" s="711"/>
      <c r="HH171" s="711"/>
      <c r="HI171" s="711"/>
      <c r="HJ171" s="711"/>
      <c r="HK171" s="711"/>
      <c r="HL171" s="711"/>
      <c r="HM171" s="711"/>
      <c r="HN171" s="711"/>
      <c r="HO171" s="711"/>
      <c r="HP171" s="711"/>
      <c r="HQ171" s="711"/>
      <c r="HR171" s="711"/>
      <c r="HS171" s="711"/>
      <c r="HT171" s="711"/>
      <c r="HU171" s="711"/>
      <c r="HV171" s="711"/>
      <c r="HW171" s="711"/>
      <c r="HX171" s="711"/>
      <c r="HY171" s="711"/>
      <c r="HZ171" s="711"/>
      <c r="IA171" s="711"/>
      <c r="IB171" s="711"/>
      <c r="IC171" s="711"/>
      <c r="ID171" s="711"/>
      <c r="IE171" s="711"/>
      <c r="IF171" s="711"/>
      <c r="IG171" s="711"/>
      <c r="IH171" s="711"/>
      <c r="II171" s="711"/>
      <c r="IJ171" s="711"/>
      <c r="IK171" s="711"/>
      <c r="IL171" s="711"/>
      <c r="IM171" s="711"/>
      <c r="IN171" s="711"/>
      <c r="IO171" s="711"/>
      <c r="IP171" s="711"/>
      <c r="IQ171" s="711"/>
      <c r="IR171" s="711"/>
      <c r="IS171" s="711"/>
      <c r="IT171" s="711"/>
      <c r="IU171" s="711"/>
      <c r="IV171" s="711"/>
    </row>
    <row r="172" spans="1:256">
      <c r="A172" s="708" t="s">
        <v>335</v>
      </c>
      <c r="B172" s="718">
        <v>175.99354690000001</v>
      </c>
      <c r="C172" s="718">
        <v>137.38725400000001</v>
      </c>
      <c r="D172" s="718">
        <v>0</v>
      </c>
      <c r="E172" s="718">
        <f t="shared" si="24"/>
        <v>38.6062929</v>
      </c>
      <c r="F172" s="718">
        <v>-38.6062929</v>
      </c>
      <c r="G172" s="718">
        <v>0</v>
      </c>
      <c r="H172" s="718">
        <f t="shared" ref="H172:H181" si="25">F172+G172</f>
        <v>-38.6062929</v>
      </c>
      <c r="I172" s="718">
        <f t="shared" ref="I172:I181" si="26">+D172</f>
        <v>0</v>
      </c>
      <c r="J172" s="718">
        <v>0</v>
      </c>
      <c r="K172" s="718">
        <f t="shared" ref="K172:K181" si="27">+I172+H172+J172</f>
        <v>-38.6062929</v>
      </c>
      <c r="L172" s="693"/>
      <c r="M172" s="711"/>
      <c r="N172" s="711"/>
      <c r="O172" s="711"/>
      <c r="P172" s="711"/>
      <c r="Q172" s="711"/>
      <c r="R172" s="711"/>
      <c r="S172" s="711"/>
      <c r="T172" s="711"/>
      <c r="U172" s="711"/>
      <c r="V172" s="711"/>
      <c r="W172" s="711"/>
      <c r="X172" s="711"/>
      <c r="Y172" s="711"/>
      <c r="Z172" s="711"/>
      <c r="AA172" s="711"/>
      <c r="AB172" s="711"/>
      <c r="AC172" s="711"/>
      <c r="AD172" s="711"/>
      <c r="AE172" s="711"/>
      <c r="AF172" s="711"/>
      <c r="AG172" s="711"/>
      <c r="AH172" s="711"/>
      <c r="AI172" s="711"/>
      <c r="AJ172" s="711"/>
      <c r="AK172" s="711"/>
      <c r="AL172" s="711"/>
      <c r="AM172" s="711"/>
      <c r="AN172" s="711"/>
      <c r="AO172" s="711"/>
      <c r="AP172" s="711"/>
      <c r="AQ172" s="711"/>
      <c r="AR172" s="711"/>
      <c r="AS172" s="711"/>
      <c r="AT172" s="711"/>
      <c r="AU172" s="711"/>
      <c r="AV172" s="711"/>
      <c r="AW172" s="711"/>
      <c r="AX172" s="711"/>
      <c r="AY172" s="711"/>
      <c r="AZ172" s="711"/>
      <c r="BA172" s="711"/>
      <c r="BB172" s="711"/>
      <c r="BC172" s="711"/>
      <c r="BD172" s="711"/>
      <c r="BE172" s="711"/>
      <c r="BF172" s="711"/>
      <c r="BG172" s="711"/>
      <c r="BH172" s="711"/>
      <c r="BI172" s="711"/>
      <c r="BJ172" s="711"/>
      <c r="BK172" s="711"/>
      <c r="BL172" s="711"/>
      <c r="BM172" s="711"/>
      <c r="BN172" s="711"/>
      <c r="BO172" s="711"/>
      <c r="BP172" s="711"/>
      <c r="BQ172" s="711"/>
      <c r="BR172" s="711"/>
      <c r="BS172" s="711"/>
      <c r="BT172" s="711"/>
      <c r="BU172" s="711"/>
      <c r="BV172" s="711"/>
      <c r="BW172" s="711"/>
      <c r="BX172" s="711"/>
      <c r="BY172" s="711"/>
      <c r="BZ172" s="711"/>
      <c r="CA172" s="711"/>
      <c r="CB172" s="711"/>
      <c r="CC172" s="711"/>
      <c r="CD172" s="711"/>
      <c r="CE172" s="711"/>
      <c r="CF172" s="711"/>
      <c r="CG172" s="711"/>
      <c r="CH172" s="711"/>
      <c r="CI172" s="711"/>
      <c r="CJ172" s="711"/>
      <c r="CK172" s="711"/>
      <c r="CL172" s="711"/>
      <c r="CM172" s="711"/>
      <c r="CN172" s="711"/>
      <c r="CO172" s="711"/>
      <c r="CP172" s="711"/>
      <c r="CQ172" s="711"/>
      <c r="CR172" s="711"/>
      <c r="CS172" s="711"/>
      <c r="CT172" s="711"/>
      <c r="CU172" s="711"/>
      <c r="CV172" s="711"/>
      <c r="CW172" s="711"/>
      <c r="CX172" s="711"/>
      <c r="CY172" s="711"/>
      <c r="CZ172" s="711"/>
      <c r="DA172" s="711"/>
      <c r="DB172" s="711"/>
      <c r="DC172" s="711"/>
      <c r="DD172" s="711"/>
      <c r="DE172" s="711"/>
      <c r="DF172" s="711"/>
      <c r="DG172" s="711"/>
      <c r="DH172" s="711"/>
      <c r="DI172" s="711"/>
      <c r="DJ172" s="711"/>
      <c r="DK172" s="711"/>
      <c r="DL172" s="711"/>
      <c r="DM172" s="711"/>
      <c r="DN172" s="711"/>
      <c r="DO172" s="711"/>
      <c r="DP172" s="711"/>
      <c r="DQ172" s="711"/>
      <c r="DR172" s="711"/>
      <c r="DS172" s="711"/>
      <c r="DT172" s="711"/>
      <c r="DU172" s="711"/>
      <c r="DV172" s="711"/>
      <c r="DW172" s="711"/>
      <c r="DX172" s="711"/>
      <c r="DY172" s="711"/>
      <c r="DZ172" s="711"/>
      <c r="EA172" s="711"/>
      <c r="EB172" s="711"/>
      <c r="EC172" s="711"/>
      <c r="ED172" s="711"/>
      <c r="EE172" s="711"/>
      <c r="EF172" s="711"/>
      <c r="EG172" s="711"/>
      <c r="EH172" s="711"/>
      <c r="EI172" s="711"/>
      <c r="EJ172" s="711"/>
      <c r="EK172" s="711"/>
      <c r="EL172" s="711"/>
      <c r="EM172" s="711"/>
      <c r="EN172" s="711"/>
      <c r="EO172" s="711"/>
      <c r="EP172" s="711"/>
      <c r="EQ172" s="711"/>
      <c r="ER172" s="711"/>
      <c r="ES172" s="711"/>
      <c r="ET172" s="711"/>
      <c r="EU172" s="711"/>
      <c r="EV172" s="711"/>
      <c r="EW172" s="711"/>
      <c r="EX172" s="711"/>
      <c r="EY172" s="711"/>
      <c r="EZ172" s="711"/>
      <c r="FA172" s="711"/>
      <c r="FB172" s="711"/>
      <c r="FC172" s="711"/>
      <c r="FD172" s="711"/>
      <c r="FE172" s="711"/>
      <c r="FF172" s="711"/>
      <c r="FG172" s="711"/>
      <c r="FH172" s="711"/>
      <c r="FI172" s="711"/>
      <c r="FJ172" s="711"/>
      <c r="FK172" s="711"/>
      <c r="FL172" s="711"/>
      <c r="FM172" s="711"/>
      <c r="FN172" s="711"/>
      <c r="FO172" s="711"/>
      <c r="FP172" s="711"/>
      <c r="FQ172" s="711"/>
      <c r="FR172" s="711"/>
      <c r="FS172" s="711"/>
      <c r="FT172" s="711"/>
      <c r="FU172" s="711"/>
      <c r="FV172" s="711"/>
      <c r="FW172" s="711"/>
      <c r="FX172" s="711"/>
      <c r="FY172" s="711"/>
      <c r="FZ172" s="711"/>
      <c r="GA172" s="711"/>
      <c r="GB172" s="711"/>
      <c r="GC172" s="711"/>
      <c r="GD172" s="711"/>
      <c r="GE172" s="711"/>
      <c r="GF172" s="711"/>
      <c r="GG172" s="711"/>
      <c r="GH172" s="711"/>
      <c r="GI172" s="711"/>
      <c r="GJ172" s="711"/>
      <c r="GK172" s="711"/>
      <c r="GL172" s="711"/>
      <c r="GM172" s="711"/>
      <c r="GN172" s="711"/>
      <c r="GO172" s="711"/>
      <c r="GP172" s="711"/>
      <c r="GQ172" s="711"/>
      <c r="GR172" s="711"/>
      <c r="GS172" s="711"/>
      <c r="GT172" s="711"/>
      <c r="GU172" s="711"/>
      <c r="GV172" s="711"/>
      <c r="GW172" s="711"/>
      <c r="GX172" s="711"/>
      <c r="GY172" s="711"/>
      <c r="GZ172" s="711"/>
      <c r="HA172" s="711"/>
      <c r="HB172" s="711"/>
      <c r="HC172" s="711"/>
      <c r="HD172" s="711"/>
      <c r="HE172" s="711"/>
      <c r="HF172" s="711"/>
      <c r="HG172" s="711"/>
      <c r="HH172" s="711"/>
      <c r="HI172" s="711"/>
      <c r="HJ172" s="711"/>
      <c r="HK172" s="711"/>
      <c r="HL172" s="711"/>
      <c r="HM172" s="711"/>
      <c r="HN172" s="711"/>
      <c r="HO172" s="711"/>
      <c r="HP172" s="711"/>
      <c r="HQ172" s="711"/>
      <c r="HR172" s="711"/>
      <c r="HS172" s="711"/>
      <c r="HT172" s="711"/>
      <c r="HU172" s="711"/>
      <c r="HV172" s="711"/>
      <c r="HW172" s="711"/>
      <c r="HX172" s="711"/>
      <c r="HY172" s="711"/>
      <c r="HZ172" s="711"/>
      <c r="IA172" s="711"/>
      <c r="IB172" s="711"/>
      <c r="IC172" s="711"/>
      <c r="ID172" s="711"/>
      <c r="IE172" s="711"/>
      <c r="IF172" s="711"/>
      <c r="IG172" s="711"/>
      <c r="IH172" s="711"/>
      <c r="II172" s="711"/>
      <c r="IJ172" s="711"/>
      <c r="IK172" s="711"/>
      <c r="IL172" s="711"/>
      <c r="IM172" s="711"/>
      <c r="IN172" s="711"/>
      <c r="IO172" s="711"/>
      <c r="IP172" s="711"/>
      <c r="IQ172" s="711"/>
      <c r="IR172" s="711"/>
      <c r="IS172" s="711"/>
      <c r="IT172" s="711"/>
      <c r="IU172" s="711"/>
      <c r="IV172" s="711"/>
    </row>
    <row r="173" spans="1:256" ht="12.75" customHeight="1">
      <c r="A173" s="708" t="s">
        <v>336</v>
      </c>
      <c r="B173" s="718">
        <v>159.7751451</v>
      </c>
      <c r="C173" s="718">
        <v>122.643542</v>
      </c>
      <c r="D173" s="718">
        <v>0</v>
      </c>
      <c r="E173" s="718">
        <f t="shared" si="24"/>
        <v>37.131603100000007</v>
      </c>
      <c r="F173" s="718">
        <v>-37.1316031</v>
      </c>
      <c r="G173" s="718">
        <v>0</v>
      </c>
      <c r="H173" s="718">
        <f t="shared" si="25"/>
        <v>-37.1316031</v>
      </c>
      <c r="I173" s="718">
        <f t="shared" si="26"/>
        <v>0</v>
      </c>
      <c r="J173" s="718">
        <v>0</v>
      </c>
      <c r="K173" s="718">
        <f t="shared" si="27"/>
        <v>-37.1316031</v>
      </c>
      <c r="L173" s="693"/>
      <c r="M173" s="711"/>
      <c r="N173" s="711"/>
      <c r="O173" s="711"/>
      <c r="P173" s="711"/>
      <c r="Q173" s="711"/>
      <c r="R173" s="711"/>
      <c r="S173" s="711"/>
      <c r="T173" s="711"/>
      <c r="U173" s="711"/>
      <c r="V173" s="711"/>
      <c r="W173" s="711"/>
      <c r="X173" s="711"/>
      <c r="Y173" s="711"/>
      <c r="Z173" s="711"/>
      <c r="AA173" s="711"/>
      <c r="AB173" s="711"/>
      <c r="AC173" s="711"/>
      <c r="AD173" s="711"/>
      <c r="AE173" s="711"/>
      <c r="AF173" s="711"/>
      <c r="AG173" s="711"/>
      <c r="AH173" s="711"/>
      <c r="AI173" s="711"/>
      <c r="AJ173" s="711"/>
      <c r="AK173" s="711"/>
      <c r="AL173" s="711"/>
      <c r="AM173" s="711"/>
      <c r="AN173" s="711"/>
      <c r="AO173" s="711"/>
      <c r="AP173" s="711"/>
      <c r="AQ173" s="711"/>
      <c r="AR173" s="711"/>
      <c r="AS173" s="711"/>
      <c r="AT173" s="711"/>
      <c r="AU173" s="711"/>
      <c r="AV173" s="711"/>
      <c r="AW173" s="711"/>
      <c r="AX173" s="711"/>
      <c r="AY173" s="711"/>
      <c r="AZ173" s="711"/>
      <c r="BA173" s="711"/>
      <c r="BB173" s="711"/>
      <c r="BC173" s="711"/>
      <c r="BD173" s="711"/>
      <c r="BE173" s="711"/>
      <c r="BF173" s="711"/>
      <c r="BG173" s="711"/>
      <c r="BH173" s="711"/>
      <c r="BI173" s="711"/>
      <c r="BJ173" s="711"/>
      <c r="BK173" s="711"/>
      <c r="BL173" s="711"/>
      <c r="BM173" s="711"/>
      <c r="BN173" s="711"/>
      <c r="BO173" s="711"/>
      <c r="BP173" s="711"/>
      <c r="BQ173" s="711"/>
      <c r="BR173" s="711"/>
      <c r="BS173" s="711"/>
      <c r="BT173" s="711"/>
      <c r="BU173" s="711"/>
      <c r="BV173" s="711"/>
      <c r="BW173" s="711"/>
      <c r="BX173" s="711"/>
      <c r="BY173" s="711"/>
      <c r="BZ173" s="711"/>
      <c r="CA173" s="711"/>
      <c r="CB173" s="711"/>
      <c r="CC173" s="711"/>
      <c r="CD173" s="711"/>
      <c r="CE173" s="711"/>
      <c r="CF173" s="711"/>
      <c r="CG173" s="711"/>
      <c r="CH173" s="711"/>
      <c r="CI173" s="711"/>
      <c r="CJ173" s="711"/>
      <c r="CK173" s="711"/>
      <c r="CL173" s="711"/>
      <c r="CM173" s="711"/>
      <c r="CN173" s="711"/>
      <c r="CO173" s="711"/>
      <c r="CP173" s="711"/>
      <c r="CQ173" s="711"/>
      <c r="CR173" s="711"/>
      <c r="CS173" s="711"/>
      <c r="CT173" s="711"/>
      <c r="CU173" s="711"/>
      <c r="CV173" s="711"/>
      <c r="CW173" s="711"/>
      <c r="CX173" s="711"/>
      <c r="CY173" s="711"/>
      <c r="CZ173" s="711"/>
      <c r="DA173" s="711"/>
      <c r="DB173" s="711"/>
      <c r="DC173" s="711"/>
      <c r="DD173" s="711"/>
      <c r="DE173" s="711"/>
      <c r="DF173" s="711"/>
      <c r="DG173" s="711"/>
      <c r="DH173" s="711"/>
      <c r="DI173" s="711"/>
      <c r="DJ173" s="711"/>
      <c r="DK173" s="711"/>
      <c r="DL173" s="711"/>
      <c r="DM173" s="711"/>
      <c r="DN173" s="711"/>
      <c r="DO173" s="711"/>
      <c r="DP173" s="711"/>
      <c r="DQ173" s="711"/>
      <c r="DR173" s="711"/>
      <c r="DS173" s="711"/>
      <c r="DT173" s="711"/>
      <c r="DU173" s="711"/>
      <c r="DV173" s="711"/>
      <c r="DW173" s="711"/>
      <c r="DX173" s="711"/>
      <c r="DY173" s="711"/>
      <c r="DZ173" s="711"/>
      <c r="EA173" s="711"/>
      <c r="EB173" s="711"/>
      <c r="EC173" s="711"/>
      <c r="ED173" s="711"/>
      <c r="EE173" s="711"/>
      <c r="EF173" s="711"/>
      <c r="EG173" s="711"/>
      <c r="EH173" s="711"/>
      <c r="EI173" s="711"/>
      <c r="EJ173" s="711"/>
      <c r="EK173" s="711"/>
      <c r="EL173" s="711"/>
      <c r="EM173" s="711"/>
      <c r="EN173" s="711"/>
      <c r="EO173" s="711"/>
      <c r="EP173" s="711"/>
      <c r="EQ173" s="711"/>
      <c r="ER173" s="711"/>
      <c r="ES173" s="711"/>
      <c r="ET173" s="711"/>
      <c r="EU173" s="711"/>
      <c r="EV173" s="711"/>
      <c r="EW173" s="711"/>
      <c r="EX173" s="711"/>
      <c r="EY173" s="711"/>
      <c r="EZ173" s="711"/>
      <c r="FA173" s="711"/>
      <c r="FB173" s="711"/>
      <c r="FC173" s="711"/>
      <c r="FD173" s="711"/>
      <c r="FE173" s="711"/>
      <c r="FF173" s="711"/>
      <c r="FG173" s="711"/>
      <c r="FH173" s="711"/>
      <c r="FI173" s="711"/>
      <c r="FJ173" s="711"/>
      <c r="FK173" s="711"/>
      <c r="FL173" s="711"/>
      <c r="FM173" s="711"/>
      <c r="FN173" s="711"/>
      <c r="FO173" s="711"/>
      <c r="FP173" s="711"/>
      <c r="FQ173" s="711"/>
      <c r="FR173" s="711"/>
      <c r="FS173" s="711"/>
      <c r="FT173" s="711"/>
      <c r="FU173" s="711"/>
      <c r="FV173" s="711"/>
      <c r="FW173" s="711"/>
      <c r="FX173" s="711"/>
      <c r="FY173" s="711"/>
      <c r="FZ173" s="711"/>
      <c r="GA173" s="711"/>
      <c r="GB173" s="711"/>
      <c r="GC173" s="711"/>
      <c r="GD173" s="711"/>
      <c r="GE173" s="711"/>
      <c r="GF173" s="711"/>
      <c r="GG173" s="711"/>
      <c r="GH173" s="711"/>
      <c r="GI173" s="711"/>
      <c r="GJ173" s="711"/>
      <c r="GK173" s="711"/>
      <c r="GL173" s="711"/>
      <c r="GM173" s="711"/>
      <c r="GN173" s="711"/>
      <c r="GO173" s="711"/>
      <c r="GP173" s="711"/>
      <c r="GQ173" s="711"/>
      <c r="GR173" s="711"/>
      <c r="GS173" s="711"/>
      <c r="GT173" s="711"/>
      <c r="GU173" s="711"/>
      <c r="GV173" s="711"/>
      <c r="GW173" s="711"/>
      <c r="GX173" s="711"/>
      <c r="GY173" s="711"/>
      <c r="GZ173" s="711"/>
      <c r="HA173" s="711"/>
      <c r="HB173" s="711"/>
      <c r="HC173" s="711"/>
      <c r="HD173" s="711"/>
      <c r="HE173" s="711"/>
      <c r="HF173" s="711"/>
      <c r="HG173" s="711"/>
      <c r="HH173" s="711"/>
      <c r="HI173" s="711"/>
      <c r="HJ173" s="711"/>
      <c r="HK173" s="711"/>
      <c r="HL173" s="711"/>
      <c r="HM173" s="711"/>
      <c r="HN173" s="711"/>
      <c r="HO173" s="711"/>
      <c r="HP173" s="711"/>
      <c r="HQ173" s="711"/>
      <c r="HR173" s="711"/>
      <c r="HS173" s="711"/>
      <c r="HT173" s="711"/>
      <c r="HU173" s="711"/>
      <c r="HV173" s="711"/>
      <c r="HW173" s="711"/>
      <c r="HX173" s="711"/>
      <c r="HY173" s="711"/>
      <c r="HZ173" s="711"/>
      <c r="IA173" s="711"/>
      <c r="IB173" s="711"/>
      <c r="IC173" s="711"/>
      <c r="ID173" s="711"/>
      <c r="IE173" s="711"/>
      <c r="IF173" s="711"/>
      <c r="IG173" s="711"/>
      <c r="IH173" s="711"/>
      <c r="II173" s="711"/>
      <c r="IJ173" s="711"/>
      <c r="IK173" s="711"/>
      <c r="IL173" s="711"/>
      <c r="IM173" s="711"/>
      <c r="IN173" s="711"/>
      <c r="IO173" s="711"/>
      <c r="IP173" s="711"/>
      <c r="IQ173" s="711"/>
      <c r="IR173" s="711"/>
      <c r="IS173" s="711"/>
      <c r="IT173" s="711"/>
      <c r="IU173" s="711"/>
      <c r="IV173" s="711"/>
    </row>
    <row r="174" spans="1:256" ht="12.75" customHeight="1">
      <c r="A174" s="708" t="s">
        <v>337</v>
      </c>
      <c r="B174" s="718">
        <v>157.20761949999999</v>
      </c>
      <c r="C174" s="718">
        <v>119.51799200000001</v>
      </c>
      <c r="D174" s="718">
        <v>0</v>
      </c>
      <c r="E174" s="718">
        <f t="shared" si="24"/>
        <v>37.689627499999986</v>
      </c>
      <c r="F174" s="718">
        <v>-37.6896275</v>
      </c>
      <c r="G174" s="718">
        <v>0</v>
      </c>
      <c r="H174" s="718">
        <f t="shared" si="25"/>
        <v>-37.6896275</v>
      </c>
      <c r="I174" s="718">
        <f t="shared" si="26"/>
        <v>0</v>
      </c>
      <c r="J174" s="718">
        <v>0</v>
      </c>
      <c r="K174" s="718">
        <f t="shared" si="27"/>
        <v>-37.6896275</v>
      </c>
      <c r="L174" s="693"/>
      <c r="M174" s="711"/>
      <c r="N174" s="711"/>
      <c r="O174" s="711"/>
      <c r="P174" s="711"/>
      <c r="Q174" s="711"/>
      <c r="R174" s="711"/>
      <c r="S174" s="711"/>
      <c r="T174" s="711"/>
      <c r="U174" s="711"/>
      <c r="V174" s="711"/>
      <c r="W174" s="711"/>
      <c r="X174" s="711"/>
      <c r="Y174" s="711"/>
      <c r="Z174" s="711"/>
      <c r="AA174" s="711"/>
      <c r="AB174" s="711"/>
      <c r="AC174" s="711"/>
      <c r="AD174" s="711"/>
      <c r="AE174" s="711"/>
      <c r="AF174" s="711"/>
      <c r="AG174" s="711"/>
      <c r="AH174" s="711"/>
      <c r="AI174" s="711"/>
      <c r="AJ174" s="711"/>
      <c r="AK174" s="711"/>
      <c r="AL174" s="711"/>
      <c r="AM174" s="711"/>
      <c r="AN174" s="711"/>
      <c r="AO174" s="711"/>
      <c r="AP174" s="711"/>
      <c r="AQ174" s="711"/>
      <c r="AR174" s="711"/>
      <c r="AS174" s="711"/>
      <c r="AT174" s="711"/>
      <c r="AU174" s="711"/>
      <c r="AV174" s="711"/>
      <c r="AW174" s="711"/>
      <c r="AX174" s="711"/>
      <c r="AY174" s="711"/>
      <c r="AZ174" s="711"/>
      <c r="BA174" s="711"/>
      <c r="BB174" s="711"/>
      <c r="BC174" s="711"/>
      <c r="BD174" s="711"/>
      <c r="BE174" s="711"/>
      <c r="BF174" s="711"/>
      <c r="BG174" s="711"/>
      <c r="BH174" s="711"/>
      <c r="BI174" s="711"/>
      <c r="BJ174" s="711"/>
      <c r="BK174" s="711"/>
      <c r="BL174" s="711"/>
      <c r="BM174" s="711"/>
      <c r="BN174" s="711"/>
      <c r="BO174" s="711"/>
      <c r="BP174" s="711"/>
      <c r="BQ174" s="711"/>
      <c r="BR174" s="711"/>
      <c r="BS174" s="711"/>
      <c r="BT174" s="711"/>
      <c r="BU174" s="711"/>
      <c r="BV174" s="711"/>
      <c r="BW174" s="711"/>
      <c r="BX174" s="711"/>
      <c r="BY174" s="711"/>
      <c r="BZ174" s="711"/>
      <c r="CA174" s="711"/>
      <c r="CB174" s="711"/>
      <c r="CC174" s="711"/>
      <c r="CD174" s="711"/>
      <c r="CE174" s="711"/>
      <c r="CF174" s="711"/>
      <c r="CG174" s="711"/>
      <c r="CH174" s="711"/>
      <c r="CI174" s="711"/>
      <c r="CJ174" s="711"/>
      <c r="CK174" s="711"/>
      <c r="CL174" s="711"/>
      <c r="CM174" s="711"/>
      <c r="CN174" s="711"/>
      <c r="CO174" s="711"/>
      <c r="CP174" s="711"/>
      <c r="CQ174" s="711"/>
      <c r="CR174" s="711"/>
      <c r="CS174" s="711"/>
      <c r="CT174" s="711"/>
      <c r="CU174" s="711"/>
      <c r="CV174" s="711"/>
      <c r="CW174" s="711"/>
      <c r="CX174" s="711"/>
      <c r="CY174" s="711"/>
      <c r="CZ174" s="711"/>
      <c r="DA174" s="711"/>
      <c r="DB174" s="711"/>
      <c r="DC174" s="711"/>
      <c r="DD174" s="711"/>
      <c r="DE174" s="711"/>
      <c r="DF174" s="711"/>
      <c r="DG174" s="711"/>
      <c r="DH174" s="711"/>
      <c r="DI174" s="711"/>
      <c r="DJ174" s="711"/>
      <c r="DK174" s="711"/>
      <c r="DL174" s="711"/>
      <c r="DM174" s="711"/>
      <c r="DN174" s="711"/>
      <c r="DO174" s="711"/>
      <c r="DP174" s="711"/>
      <c r="DQ174" s="711"/>
      <c r="DR174" s="711"/>
      <c r="DS174" s="711"/>
      <c r="DT174" s="711"/>
      <c r="DU174" s="711"/>
      <c r="DV174" s="711"/>
      <c r="DW174" s="711"/>
      <c r="DX174" s="711"/>
      <c r="DY174" s="711"/>
      <c r="DZ174" s="711"/>
      <c r="EA174" s="711"/>
      <c r="EB174" s="711"/>
      <c r="EC174" s="711"/>
      <c r="ED174" s="711"/>
      <c r="EE174" s="711"/>
      <c r="EF174" s="711"/>
      <c r="EG174" s="711"/>
      <c r="EH174" s="711"/>
      <c r="EI174" s="711"/>
      <c r="EJ174" s="711"/>
      <c r="EK174" s="711"/>
      <c r="EL174" s="711"/>
      <c r="EM174" s="711"/>
      <c r="EN174" s="711"/>
      <c r="EO174" s="711"/>
      <c r="EP174" s="711"/>
      <c r="EQ174" s="711"/>
      <c r="ER174" s="711"/>
      <c r="ES174" s="711"/>
      <c r="ET174" s="711"/>
      <c r="EU174" s="711"/>
      <c r="EV174" s="711"/>
      <c r="EW174" s="711"/>
      <c r="EX174" s="711"/>
      <c r="EY174" s="711"/>
      <c r="EZ174" s="711"/>
      <c r="FA174" s="711"/>
      <c r="FB174" s="711"/>
      <c r="FC174" s="711"/>
      <c r="FD174" s="711"/>
      <c r="FE174" s="711"/>
      <c r="FF174" s="711"/>
      <c r="FG174" s="711"/>
      <c r="FH174" s="711"/>
      <c r="FI174" s="711"/>
      <c r="FJ174" s="711"/>
      <c r="FK174" s="711"/>
      <c r="FL174" s="711"/>
      <c r="FM174" s="711"/>
      <c r="FN174" s="711"/>
      <c r="FO174" s="711"/>
      <c r="FP174" s="711"/>
      <c r="FQ174" s="711"/>
      <c r="FR174" s="711"/>
      <c r="FS174" s="711"/>
      <c r="FT174" s="711"/>
      <c r="FU174" s="711"/>
      <c r="FV174" s="711"/>
      <c r="FW174" s="711"/>
      <c r="FX174" s="711"/>
      <c r="FY174" s="711"/>
      <c r="FZ174" s="711"/>
      <c r="GA174" s="711"/>
      <c r="GB174" s="711"/>
      <c r="GC174" s="711"/>
      <c r="GD174" s="711"/>
      <c r="GE174" s="711"/>
      <c r="GF174" s="711"/>
      <c r="GG174" s="711"/>
      <c r="GH174" s="711"/>
      <c r="GI174" s="711"/>
      <c r="GJ174" s="711"/>
      <c r="GK174" s="711"/>
      <c r="GL174" s="711"/>
      <c r="GM174" s="711"/>
      <c r="GN174" s="711"/>
      <c r="GO174" s="711"/>
      <c r="GP174" s="711"/>
      <c r="GQ174" s="711"/>
      <c r="GR174" s="711"/>
      <c r="GS174" s="711"/>
      <c r="GT174" s="711"/>
      <c r="GU174" s="711"/>
      <c r="GV174" s="711"/>
      <c r="GW174" s="711"/>
      <c r="GX174" s="711"/>
      <c r="GY174" s="711"/>
      <c r="GZ174" s="711"/>
      <c r="HA174" s="711"/>
      <c r="HB174" s="711"/>
      <c r="HC174" s="711"/>
      <c r="HD174" s="711"/>
      <c r="HE174" s="711"/>
      <c r="HF174" s="711"/>
      <c r="HG174" s="711"/>
      <c r="HH174" s="711"/>
      <c r="HI174" s="711"/>
      <c r="HJ174" s="711"/>
      <c r="HK174" s="711"/>
      <c r="HL174" s="711"/>
      <c r="HM174" s="711"/>
      <c r="HN174" s="711"/>
      <c r="HO174" s="711"/>
      <c r="HP174" s="711"/>
      <c r="HQ174" s="711"/>
      <c r="HR174" s="711"/>
      <c r="HS174" s="711"/>
      <c r="HT174" s="711"/>
      <c r="HU174" s="711"/>
      <c r="HV174" s="711"/>
      <c r="HW174" s="711"/>
      <c r="HX174" s="711"/>
      <c r="HY174" s="711"/>
      <c r="HZ174" s="711"/>
      <c r="IA174" s="711"/>
      <c r="IB174" s="711"/>
      <c r="IC174" s="711"/>
      <c r="ID174" s="711"/>
      <c r="IE174" s="711"/>
      <c r="IF174" s="711"/>
      <c r="IG174" s="711"/>
      <c r="IH174" s="711"/>
      <c r="II174" s="711"/>
      <c r="IJ174" s="711"/>
      <c r="IK174" s="711"/>
      <c r="IL174" s="711"/>
      <c r="IM174" s="711"/>
      <c r="IN174" s="711"/>
      <c r="IO174" s="711"/>
      <c r="IP174" s="711"/>
      <c r="IQ174" s="711"/>
      <c r="IR174" s="711"/>
      <c r="IS174" s="711"/>
      <c r="IT174" s="711"/>
      <c r="IU174" s="711"/>
      <c r="IV174" s="711"/>
    </row>
    <row r="175" spans="1:256" ht="12.75" customHeight="1">
      <c r="A175" s="708" t="s">
        <v>338</v>
      </c>
      <c r="B175" s="718">
        <v>202.1621859</v>
      </c>
      <c r="C175" s="718">
        <v>143.30288400000001</v>
      </c>
      <c r="D175" s="718">
        <v>0</v>
      </c>
      <c r="E175" s="718">
        <f t="shared" si="24"/>
        <v>58.859301899999991</v>
      </c>
      <c r="F175" s="718">
        <v>-58.859301899999998</v>
      </c>
      <c r="G175" s="718">
        <v>0</v>
      </c>
      <c r="H175" s="718">
        <f t="shared" si="25"/>
        <v>-58.859301899999998</v>
      </c>
      <c r="I175" s="718">
        <f t="shared" si="26"/>
        <v>0</v>
      </c>
      <c r="J175" s="718">
        <v>0</v>
      </c>
      <c r="K175" s="718">
        <f t="shared" si="27"/>
        <v>-58.859301899999998</v>
      </c>
      <c r="L175" s="693"/>
      <c r="M175" s="711"/>
      <c r="N175" s="711"/>
      <c r="O175" s="711"/>
      <c r="P175" s="711"/>
      <c r="Q175" s="711"/>
      <c r="R175" s="711"/>
      <c r="S175" s="711"/>
      <c r="T175" s="711"/>
      <c r="U175" s="711"/>
      <c r="V175" s="711"/>
      <c r="W175" s="711"/>
      <c r="X175" s="711"/>
      <c r="Y175" s="711"/>
      <c r="Z175" s="711"/>
      <c r="AA175" s="711"/>
      <c r="AB175" s="711"/>
      <c r="AC175" s="711"/>
      <c r="AD175" s="711"/>
      <c r="AE175" s="711"/>
      <c r="AF175" s="711"/>
      <c r="AG175" s="711"/>
      <c r="AH175" s="711"/>
      <c r="AI175" s="711"/>
      <c r="AJ175" s="711"/>
      <c r="AK175" s="711"/>
      <c r="AL175" s="711"/>
      <c r="AM175" s="711"/>
      <c r="AN175" s="711"/>
      <c r="AO175" s="711"/>
      <c r="AP175" s="711"/>
      <c r="AQ175" s="711"/>
      <c r="AR175" s="711"/>
      <c r="AS175" s="711"/>
      <c r="AT175" s="711"/>
      <c r="AU175" s="711"/>
      <c r="AV175" s="711"/>
      <c r="AW175" s="711"/>
      <c r="AX175" s="711"/>
      <c r="AY175" s="711"/>
      <c r="AZ175" s="711"/>
      <c r="BA175" s="711"/>
      <c r="BB175" s="711"/>
      <c r="BC175" s="711"/>
      <c r="BD175" s="711"/>
      <c r="BE175" s="711"/>
      <c r="BF175" s="711"/>
      <c r="BG175" s="711"/>
      <c r="BH175" s="711"/>
      <c r="BI175" s="711"/>
      <c r="BJ175" s="711"/>
      <c r="BK175" s="711"/>
      <c r="BL175" s="711"/>
      <c r="BM175" s="711"/>
      <c r="BN175" s="711"/>
      <c r="BO175" s="711"/>
      <c r="BP175" s="711"/>
      <c r="BQ175" s="711"/>
      <c r="BR175" s="711"/>
      <c r="BS175" s="711"/>
      <c r="BT175" s="711"/>
      <c r="BU175" s="711"/>
      <c r="BV175" s="711"/>
      <c r="BW175" s="711"/>
      <c r="BX175" s="711"/>
      <c r="BY175" s="711"/>
      <c r="BZ175" s="711"/>
      <c r="CA175" s="711"/>
      <c r="CB175" s="711"/>
      <c r="CC175" s="711"/>
      <c r="CD175" s="711"/>
      <c r="CE175" s="711"/>
      <c r="CF175" s="711"/>
      <c r="CG175" s="711"/>
      <c r="CH175" s="711"/>
      <c r="CI175" s="711"/>
      <c r="CJ175" s="711"/>
      <c r="CK175" s="711"/>
      <c r="CL175" s="711"/>
      <c r="CM175" s="711"/>
      <c r="CN175" s="711"/>
      <c r="CO175" s="711"/>
      <c r="CP175" s="711"/>
      <c r="CQ175" s="711"/>
      <c r="CR175" s="711"/>
      <c r="CS175" s="711"/>
      <c r="CT175" s="711"/>
      <c r="CU175" s="711"/>
      <c r="CV175" s="711"/>
      <c r="CW175" s="711"/>
      <c r="CX175" s="711"/>
      <c r="CY175" s="711"/>
      <c r="CZ175" s="711"/>
      <c r="DA175" s="711"/>
      <c r="DB175" s="711"/>
      <c r="DC175" s="711"/>
      <c r="DD175" s="711"/>
      <c r="DE175" s="711"/>
      <c r="DF175" s="711"/>
      <c r="DG175" s="711"/>
      <c r="DH175" s="711"/>
      <c r="DI175" s="711"/>
      <c r="DJ175" s="711"/>
      <c r="DK175" s="711"/>
      <c r="DL175" s="711"/>
      <c r="DM175" s="711"/>
      <c r="DN175" s="711"/>
      <c r="DO175" s="711"/>
      <c r="DP175" s="711"/>
      <c r="DQ175" s="711"/>
      <c r="DR175" s="711"/>
      <c r="DS175" s="711"/>
      <c r="DT175" s="711"/>
      <c r="DU175" s="711"/>
      <c r="DV175" s="711"/>
      <c r="DW175" s="711"/>
      <c r="DX175" s="711"/>
      <c r="DY175" s="711"/>
      <c r="DZ175" s="711"/>
      <c r="EA175" s="711"/>
      <c r="EB175" s="711"/>
      <c r="EC175" s="711"/>
      <c r="ED175" s="711"/>
      <c r="EE175" s="711"/>
      <c r="EF175" s="711"/>
      <c r="EG175" s="711"/>
      <c r="EH175" s="711"/>
      <c r="EI175" s="711"/>
      <c r="EJ175" s="711"/>
      <c r="EK175" s="711"/>
      <c r="EL175" s="711"/>
      <c r="EM175" s="711"/>
      <c r="EN175" s="711"/>
      <c r="EO175" s="711"/>
      <c r="EP175" s="711"/>
      <c r="EQ175" s="711"/>
      <c r="ER175" s="711"/>
      <c r="ES175" s="711"/>
      <c r="ET175" s="711"/>
      <c r="EU175" s="711"/>
      <c r="EV175" s="711"/>
      <c r="EW175" s="711"/>
      <c r="EX175" s="711"/>
      <c r="EY175" s="711"/>
      <c r="EZ175" s="711"/>
      <c r="FA175" s="711"/>
      <c r="FB175" s="711"/>
      <c r="FC175" s="711"/>
      <c r="FD175" s="711"/>
      <c r="FE175" s="711"/>
      <c r="FF175" s="711"/>
      <c r="FG175" s="711"/>
      <c r="FH175" s="711"/>
      <c r="FI175" s="711"/>
      <c r="FJ175" s="711"/>
      <c r="FK175" s="711"/>
      <c r="FL175" s="711"/>
      <c r="FM175" s="711"/>
      <c r="FN175" s="711"/>
      <c r="FO175" s="711"/>
      <c r="FP175" s="711"/>
      <c r="FQ175" s="711"/>
      <c r="FR175" s="711"/>
      <c r="FS175" s="711"/>
      <c r="FT175" s="711"/>
      <c r="FU175" s="711"/>
      <c r="FV175" s="711"/>
      <c r="FW175" s="711"/>
      <c r="FX175" s="711"/>
      <c r="FY175" s="711"/>
      <c r="FZ175" s="711"/>
      <c r="GA175" s="711"/>
      <c r="GB175" s="711"/>
      <c r="GC175" s="711"/>
      <c r="GD175" s="711"/>
      <c r="GE175" s="711"/>
      <c r="GF175" s="711"/>
      <c r="GG175" s="711"/>
      <c r="GH175" s="711"/>
      <c r="GI175" s="711"/>
      <c r="GJ175" s="711"/>
      <c r="GK175" s="711"/>
      <c r="GL175" s="711"/>
      <c r="GM175" s="711"/>
      <c r="GN175" s="711"/>
      <c r="GO175" s="711"/>
      <c r="GP175" s="711"/>
      <c r="GQ175" s="711"/>
      <c r="GR175" s="711"/>
      <c r="GS175" s="711"/>
      <c r="GT175" s="711"/>
      <c r="GU175" s="711"/>
      <c r="GV175" s="711"/>
      <c r="GW175" s="711"/>
      <c r="GX175" s="711"/>
      <c r="GY175" s="711"/>
      <c r="GZ175" s="711"/>
      <c r="HA175" s="711"/>
      <c r="HB175" s="711"/>
      <c r="HC175" s="711"/>
      <c r="HD175" s="711"/>
      <c r="HE175" s="711"/>
      <c r="HF175" s="711"/>
      <c r="HG175" s="711"/>
      <c r="HH175" s="711"/>
      <c r="HI175" s="711"/>
      <c r="HJ175" s="711"/>
      <c r="HK175" s="711"/>
      <c r="HL175" s="711"/>
      <c r="HM175" s="711"/>
      <c r="HN175" s="711"/>
      <c r="HO175" s="711"/>
      <c r="HP175" s="711"/>
      <c r="HQ175" s="711"/>
      <c r="HR175" s="711"/>
      <c r="HS175" s="711"/>
      <c r="HT175" s="711"/>
      <c r="HU175" s="711"/>
      <c r="HV175" s="711"/>
      <c r="HW175" s="711"/>
      <c r="HX175" s="711"/>
      <c r="HY175" s="711"/>
      <c r="HZ175" s="711"/>
      <c r="IA175" s="711"/>
      <c r="IB175" s="711"/>
      <c r="IC175" s="711"/>
      <c r="ID175" s="711"/>
      <c r="IE175" s="711"/>
      <c r="IF175" s="711"/>
      <c r="IG175" s="711"/>
      <c r="IH175" s="711"/>
      <c r="II175" s="711"/>
      <c r="IJ175" s="711"/>
      <c r="IK175" s="711"/>
      <c r="IL175" s="711"/>
      <c r="IM175" s="711"/>
      <c r="IN175" s="711"/>
      <c r="IO175" s="711"/>
      <c r="IP175" s="711"/>
      <c r="IQ175" s="711"/>
      <c r="IR175" s="711"/>
      <c r="IS175" s="711"/>
      <c r="IT175" s="711"/>
      <c r="IU175" s="711"/>
      <c r="IV175" s="711"/>
    </row>
    <row r="176" spans="1:256" ht="12.75" customHeight="1">
      <c r="A176" s="708" t="s">
        <v>339</v>
      </c>
      <c r="B176" s="718">
        <v>213.91820609999999</v>
      </c>
      <c r="C176" s="718">
        <v>132.947892</v>
      </c>
      <c r="D176" s="718">
        <v>0</v>
      </c>
      <c r="E176" s="718">
        <f t="shared" si="24"/>
        <v>80.970314099999996</v>
      </c>
      <c r="F176" s="718">
        <v>-80.970314099999996</v>
      </c>
      <c r="G176" s="718">
        <v>0</v>
      </c>
      <c r="H176" s="718">
        <f t="shared" si="25"/>
        <v>-80.970314099999996</v>
      </c>
      <c r="I176" s="718">
        <f t="shared" si="26"/>
        <v>0</v>
      </c>
      <c r="J176" s="718">
        <v>0</v>
      </c>
      <c r="K176" s="718">
        <f t="shared" si="27"/>
        <v>-80.970314099999996</v>
      </c>
      <c r="L176" s="693"/>
      <c r="M176" s="711"/>
      <c r="N176" s="711"/>
      <c r="O176" s="711"/>
      <c r="P176" s="711"/>
      <c r="Q176" s="711"/>
      <c r="R176" s="711"/>
      <c r="S176" s="711"/>
      <c r="T176" s="711"/>
      <c r="U176" s="711"/>
      <c r="V176" s="711"/>
      <c r="W176" s="711"/>
      <c r="X176" s="711"/>
      <c r="Y176" s="711"/>
      <c r="Z176" s="711"/>
      <c r="AA176" s="711"/>
      <c r="AB176" s="711"/>
      <c r="AC176" s="711"/>
      <c r="AD176" s="711"/>
      <c r="AE176" s="711"/>
      <c r="AF176" s="711"/>
      <c r="AG176" s="711"/>
      <c r="AH176" s="711"/>
      <c r="AI176" s="711"/>
      <c r="AJ176" s="711"/>
      <c r="AK176" s="711"/>
      <c r="AL176" s="711"/>
      <c r="AM176" s="711"/>
      <c r="AN176" s="711"/>
      <c r="AO176" s="711"/>
      <c r="AP176" s="711"/>
      <c r="AQ176" s="711"/>
      <c r="AR176" s="711"/>
      <c r="AS176" s="711"/>
      <c r="AT176" s="711"/>
      <c r="AU176" s="711"/>
      <c r="AV176" s="711"/>
      <c r="AW176" s="711"/>
      <c r="AX176" s="711"/>
      <c r="AY176" s="711"/>
      <c r="AZ176" s="711"/>
      <c r="BA176" s="711"/>
      <c r="BB176" s="711"/>
      <c r="BC176" s="711"/>
      <c r="BD176" s="711"/>
      <c r="BE176" s="711"/>
      <c r="BF176" s="711"/>
      <c r="BG176" s="711"/>
      <c r="BH176" s="711"/>
      <c r="BI176" s="711"/>
      <c r="BJ176" s="711"/>
      <c r="BK176" s="711"/>
      <c r="BL176" s="711"/>
      <c r="BM176" s="711"/>
      <c r="BN176" s="711"/>
      <c r="BO176" s="711"/>
      <c r="BP176" s="711"/>
      <c r="BQ176" s="711"/>
      <c r="BR176" s="711"/>
      <c r="BS176" s="711"/>
      <c r="BT176" s="711"/>
      <c r="BU176" s="711"/>
      <c r="BV176" s="711"/>
      <c r="BW176" s="711"/>
      <c r="BX176" s="711"/>
      <c r="BY176" s="711"/>
      <c r="BZ176" s="711"/>
      <c r="CA176" s="711"/>
      <c r="CB176" s="711"/>
      <c r="CC176" s="711"/>
      <c r="CD176" s="711"/>
      <c r="CE176" s="711"/>
      <c r="CF176" s="711"/>
      <c r="CG176" s="711"/>
      <c r="CH176" s="711"/>
      <c r="CI176" s="711"/>
      <c r="CJ176" s="711"/>
      <c r="CK176" s="711"/>
      <c r="CL176" s="711"/>
      <c r="CM176" s="711"/>
      <c r="CN176" s="711"/>
      <c r="CO176" s="711"/>
      <c r="CP176" s="711"/>
      <c r="CQ176" s="711"/>
      <c r="CR176" s="711"/>
      <c r="CS176" s="711"/>
      <c r="CT176" s="711"/>
      <c r="CU176" s="711"/>
      <c r="CV176" s="711"/>
      <c r="CW176" s="711"/>
      <c r="CX176" s="711"/>
      <c r="CY176" s="711"/>
      <c r="CZ176" s="711"/>
      <c r="DA176" s="711"/>
      <c r="DB176" s="711"/>
      <c r="DC176" s="711"/>
      <c r="DD176" s="711"/>
      <c r="DE176" s="711"/>
      <c r="DF176" s="711"/>
      <c r="DG176" s="711"/>
      <c r="DH176" s="711"/>
      <c r="DI176" s="711"/>
      <c r="DJ176" s="711"/>
      <c r="DK176" s="711"/>
      <c r="DL176" s="711"/>
      <c r="DM176" s="711"/>
      <c r="DN176" s="711"/>
      <c r="DO176" s="711"/>
      <c r="DP176" s="711"/>
      <c r="DQ176" s="711"/>
      <c r="DR176" s="711"/>
      <c r="DS176" s="711"/>
      <c r="DT176" s="711"/>
      <c r="DU176" s="711"/>
      <c r="DV176" s="711"/>
      <c r="DW176" s="711"/>
      <c r="DX176" s="711"/>
      <c r="DY176" s="711"/>
      <c r="DZ176" s="711"/>
      <c r="EA176" s="711"/>
      <c r="EB176" s="711"/>
      <c r="EC176" s="711"/>
      <c r="ED176" s="711"/>
      <c r="EE176" s="711"/>
      <c r="EF176" s="711"/>
      <c r="EG176" s="711"/>
      <c r="EH176" s="711"/>
      <c r="EI176" s="711"/>
      <c r="EJ176" s="711"/>
      <c r="EK176" s="711"/>
      <c r="EL176" s="711"/>
      <c r="EM176" s="711"/>
      <c r="EN176" s="711"/>
      <c r="EO176" s="711"/>
      <c r="EP176" s="711"/>
      <c r="EQ176" s="711"/>
      <c r="ER176" s="711"/>
      <c r="ES176" s="711"/>
      <c r="ET176" s="711"/>
      <c r="EU176" s="711"/>
      <c r="EV176" s="711"/>
      <c r="EW176" s="711"/>
      <c r="EX176" s="711"/>
      <c r="EY176" s="711"/>
      <c r="EZ176" s="711"/>
      <c r="FA176" s="711"/>
      <c r="FB176" s="711"/>
      <c r="FC176" s="711"/>
      <c r="FD176" s="711"/>
      <c r="FE176" s="711"/>
      <c r="FF176" s="711"/>
      <c r="FG176" s="711"/>
      <c r="FH176" s="711"/>
      <c r="FI176" s="711"/>
      <c r="FJ176" s="711"/>
      <c r="FK176" s="711"/>
      <c r="FL176" s="711"/>
      <c r="FM176" s="711"/>
      <c r="FN176" s="711"/>
      <c r="FO176" s="711"/>
      <c r="FP176" s="711"/>
      <c r="FQ176" s="711"/>
      <c r="FR176" s="711"/>
      <c r="FS176" s="711"/>
      <c r="FT176" s="711"/>
      <c r="FU176" s="711"/>
      <c r="FV176" s="711"/>
      <c r="FW176" s="711"/>
      <c r="FX176" s="711"/>
      <c r="FY176" s="711"/>
      <c r="FZ176" s="711"/>
      <c r="GA176" s="711"/>
      <c r="GB176" s="711"/>
      <c r="GC176" s="711"/>
      <c r="GD176" s="711"/>
      <c r="GE176" s="711"/>
      <c r="GF176" s="711"/>
      <c r="GG176" s="711"/>
      <c r="GH176" s="711"/>
      <c r="GI176" s="711"/>
      <c r="GJ176" s="711"/>
      <c r="GK176" s="711"/>
      <c r="GL176" s="711"/>
      <c r="GM176" s="711"/>
      <c r="GN176" s="711"/>
      <c r="GO176" s="711"/>
      <c r="GP176" s="711"/>
      <c r="GQ176" s="711"/>
      <c r="GR176" s="711"/>
      <c r="GS176" s="711"/>
      <c r="GT176" s="711"/>
      <c r="GU176" s="711"/>
      <c r="GV176" s="711"/>
      <c r="GW176" s="711"/>
      <c r="GX176" s="711"/>
      <c r="GY176" s="711"/>
      <c r="GZ176" s="711"/>
      <c r="HA176" s="711"/>
      <c r="HB176" s="711"/>
      <c r="HC176" s="711"/>
      <c r="HD176" s="711"/>
      <c r="HE176" s="711"/>
      <c r="HF176" s="711"/>
      <c r="HG176" s="711"/>
      <c r="HH176" s="711"/>
      <c r="HI176" s="711"/>
      <c r="HJ176" s="711"/>
      <c r="HK176" s="711"/>
      <c r="HL176" s="711"/>
      <c r="HM176" s="711"/>
      <c r="HN176" s="711"/>
      <c r="HO176" s="711"/>
      <c r="HP176" s="711"/>
      <c r="HQ176" s="711"/>
      <c r="HR176" s="711"/>
      <c r="HS176" s="711"/>
      <c r="HT176" s="711"/>
      <c r="HU176" s="711"/>
      <c r="HV176" s="711"/>
      <c r="HW176" s="711"/>
      <c r="HX176" s="711"/>
      <c r="HY176" s="711"/>
      <c r="HZ176" s="711"/>
      <c r="IA176" s="711"/>
      <c r="IB176" s="711"/>
      <c r="IC176" s="711"/>
      <c r="ID176" s="711"/>
      <c r="IE176" s="711"/>
      <c r="IF176" s="711"/>
      <c r="IG176" s="711"/>
      <c r="IH176" s="711"/>
      <c r="II176" s="711"/>
      <c r="IJ176" s="711"/>
      <c r="IK176" s="711"/>
      <c r="IL176" s="711"/>
      <c r="IM176" s="711"/>
      <c r="IN176" s="711"/>
      <c r="IO176" s="711"/>
      <c r="IP176" s="711"/>
      <c r="IQ176" s="711"/>
      <c r="IR176" s="711"/>
      <c r="IS176" s="711"/>
      <c r="IT176" s="711"/>
      <c r="IU176" s="711"/>
      <c r="IV176" s="711"/>
    </row>
    <row r="177" spans="1:256" ht="12.75" customHeight="1">
      <c r="A177" s="708" t="s">
        <v>340</v>
      </c>
      <c r="B177" s="718">
        <v>215.2165555</v>
      </c>
      <c r="C177" s="718">
        <v>163.47235000000001</v>
      </c>
      <c r="D177" s="718">
        <v>0</v>
      </c>
      <c r="E177" s="718">
        <f t="shared" si="24"/>
        <v>51.744205499999993</v>
      </c>
      <c r="F177" s="718">
        <v>-51.7442055</v>
      </c>
      <c r="G177" s="718">
        <v>0</v>
      </c>
      <c r="H177" s="718">
        <f t="shared" si="25"/>
        <v>-51.7442055</v>
      </c>
      <c r="I177" s="718">
        <f t="shared" si="26"/>
        <v>0</v>
      </c>
      <c r="J177" s="718">
        <v>0</v>
      </c>
      <c r="K177" s="718">
        <f t="shared" si="27"/>
        <v>-51.7442055</v>
      </c>
      <c r="L177" s="693"/>
      <c r="M177" s="711"/>
      <c r="N177" s="711"/>
      <c r="O177" s="711"/>
      <c r="P177" s="711"/>
      <c r="Q177" s="711"/>
      <c r="R177" s="711"/>
      <c r="S177" s="711"/>
      <c r="T177" s="711"/>
      <c r="U177" s="711"/>
      <c r="V177" s="711"/>
      <c r="W177" s="711"/>
      <c r="X177" s="711"/>
      <c r="Y177" s="711"/>
      <c r="Z177" s="711"/>
      <c r="AA177" s="711"/>
      <c r="AB177" s="711"/>
      <c r="AC177" s="711"/>
      <c r="AD177" s="711"/>
      <c r="AE177" s="711"/>
      <c r="AF177" s="711"/>
      <c r="AG177" s="711"/>
      <c r="AH177" s="711"/>
      <c r="AI177" s="711"/>
      <c r="AJ177" s="711"/>
      <c r="AK177" s="711"/>
      <c r="AL177" s="711"/>
      <c r="AM177" s="711"/>
      <c r="AN177" s="711"/>
      <c r="AO177" s="711"/>
      <c r="AP177" s="711"/>
      <c r="AQ177" s="711"/>
      <c r="AR177" s="711"/>
      <c r="AS177" s="711"/>
      <c r="AT177" s="711"/>
      <c r="AU177" s="711"/>
      <c r="AV177" s="711"/>
      <c r="AW177" s="711"/>
      <c r="AX177" s="711"/>
      <c r="AY177" s="711"/>
      <c r="AZ177" s="711"/>
      <c r="BA177" s="711"/>
      <c r="BB177" s="711"/>
      <c r="BC177" s="711"/>
      <c r="BD177" s="711"/>
      <c r="BE177" s="711"/>
      <c r="BF177" s="711"/>
      <c r="BG177" s="711"/>
      <c r="BH177" s="711"/>
      <c r="BI177" s="711"/>
      <c r="BJ177" s="711"/>
      <c r="BK177" s="711"/>
      <c r="BL177" s="711"/>
      <c r="BM177" s="711"/>
      <c r="BN177" s="711"/>
      <c r="BO177" s="711"/>
      <c r="BP177" s="711"/>
      <c r="BQ177" s="711"/>
      <c r="BR177" s="711"/>
      <c r="BS177" s="711"/>
      <c r="BT177" s="711"/>
      <c r="BU177" s="711"/>
      <c r="BV177" s="711"/>
      <c r="BW177" s="711"/>
      <c r="BX177" s="711"/>
      <c r="BY177" s="711"/>
      <c r="BZ177" s="711"/>
      <c r="CA177" s="711"/>
      <c r="CB177" s="711"/>
      <c r="CC177" s="711"/>
      <c r="CD177" s="711"/>
      <c r="CE177" s="711"/>
      <c r="CF177" s="711"/>
      <c r="CG177" s="711"/>
      <c r="CH177" s="711"/>
      <c r="CI177" s="711"/>
      <c r="CJ177" s="711"/>
      <c r="CK177" s="711"/>
      <c r="CL177" s="711"/>
      <c r="CM177" s="711"/>
      <c r="CN177" s="711"/>
      <c r="CO177" s="711"/>
      <c r="CP177" s="711"/>
      <c r="CQ177" s="711"/>
      <c r="CR177" s="711"/>
      <c r="CS177" s="711"/>
      <c r="CT177" s="711"/>
      <c r="CU177" s="711"/>
      <c r="CV177" s="711"/>
      <c r="CW177" s="711"/>
      <c r="CX177" s="711"/>
      <c r="CY177" s="711"/>
      <c r="CZ177" s="711"/>
      <c r="DA177" s="711"/>
      <c r="DB177" s="711"/>
      <c r="DC177" s="711"/>
      <c r="DD177" s="711"/>
      <c r="DE177" s="711"/>
      <c r="DF177" s="711"/>
      <c r="DG177" s="711"/>
      <c r="DH177" s="711"/>
      <c r="DI177" s="711"/>
      <c r="DJ177" s="711"/>
      <c r="DK177" s="711"/>
      <c r="DL177" s="711"/>
      <c r="DM177" s="711"/>
      <c r="DN177" s="711"/>
      <c r="DO177" s="711"/>
      <c r="DP177" s="711"/>
      <c r="DQ177" s="711"/>
      <c r="DR177" s="711"/>
      <c r="DS177" s="711"/>
      <c r="DT177" s="711"/>
      <c r="DU177" s="711"/>
      <c r="DV177" s="711"/>
      <c r="DW177" s="711"/>
      <c r="DX177" s="711"/>
      <c r="DY177" s="711"/>
      <c r="DZ177" s="711"/>
      <c r="EA177" s="711"/>
      <c r="EB177" s="711"/>
      <c r="EC177" s="711"/>
      <c r="ED177" s="711"/>
      <c r="EE177" s="711"/>
      <c r="EF177" s="711"/>
      <c r="EG177" s="711"/>
      <c r="EH177" s="711"/>
      <c r="EI177" s="711"/>
      <c r="EJ177" s="711"/>
      <c r="EK177" s="711"/>
      <c r="EL177" s="711"/>
      <c r="EM177" s="711"/>
      <c r="EN177" s="711"/>
      <c r="EO177" s="711"/>
      <c r="EP177" s="711"/>
      <c r="EQ177" s="711"/>
      <c r="ER177" s="711"/>
      <c r="ES177" s="711"/>
      <c r="ET177" s="711"/>
      <c r="EU177" s="711"/>
      <c r="EV177" s="711"/>
      <c r="EW177" s="711"/>
      <c r="EX177" s="711"/>
      <c r="EY177" s="711"/>
      <c r="EZ177" s="711"/>
      <c r="FA177" s="711"/>
      <c r="FB177" s="711"/>
      <c r="FC177" s="711"/>
      <c r="FD177" s="711"/>
      <c r="FE177" s="711"/>
      <c r="FF177" s="711"/>
      <c r="FG177" s="711"/>
      <c r="FH177" s="711"/>
      <c r="FI177" s="711"/>
      <c r="FJ177" s="711"/>
      <c r="FK177" s="711"/>
      <c r="FL177" s="711"/>
      <c r="FM177" s="711"/>
      <c r="FN177" s="711"/>
      <c r="FO177" s="711"/>
      <c r="FP177" s="711"/>
      <c r="FQ177" s="711"/>
      <c r="FR177" s="711"/>
      <c r="FS177" s="711"/>
      <c r="FT177" s="711"/>
      <c r="FU177" s="711"/>
      <c r="FV177" s="711"/>
      <c r="FW177" s="711"/>
      <c r="FX177" s="711"/>
      <c r="FY177" s="711"/>
      <c r="FZ177" s="711"/>
      <c r="GA177" s="711"/>
      <c r="GB177" s="711"/>
      <c r="GC177" s="711"/>
      <c r="GD177" s="711"/>
      <c r="GE177" s="711"/>
      <c r="GF177" s="711"/>
      <c r="GG177" s="711"/>
      <c r="GH177" s="711"/>
      <c r="GI177" s="711"/>
      <c r="GJ177" s="711"/>
      <c r="GK177" s="711"/>
      <c r="GL177" s="711"/>
      <c r="GM177" s="711"/>
      <c r="GN177" s="711"/>
      <c r="GO177" s="711"/>
      <c r="GP177" s="711"/>
      <c r="GQ177" s="711"/>
      <c r="GR177" s="711"/>
      <c r="GS177" s="711"/>
      <c r="GT177" s="711"/>
      <c r="GU177" s="711"/>
      <c r="GV177" s="711"/>
      <c r="GW177" s="711"/>
      <c r="GX177" s="711"/>
      <c r="GY177" s="711"/>
      <c r="GZ177" s="711"/>
      <c r="HA177" s="711"/>
      <c r="HB177" s="711"/>
      <c r="HC177" s="711"/>
      <c r="HD177" s="711"/>
      <c r="HE177" s="711"/>
      <c r="HF177" s="711"/>
      <c r="HG177" s="711"/>
      <c r="HH177" s="711"/>
      <c r="HI177" s="711"/>
      <c r="HJ177" s="711"/>
      <c r="HK177" s="711"/>
      <c r="HL177" s="711"/>
      <c r="HM177" s="711"/>
      <c r="HN177" s="711"/>
      <c r="HO177" s="711"/>
      <c r="HP177" s="711"/>
      <c r="HQ177" s="711"/>
      <c r="HR177" s="711"/>
      <c r="HS177" s="711"/>
      <c r="HT177" s="711"/>
      <c r="HU177" s="711"/>
      <c r="HV177" s="711"/>
      <c r="HW177" s="711"/>
      <c r="HX177" s="711"/>
      <c r="HY177" s="711"/>
      <c r="HZ177" s="711"/>
      <c r="IA177" s="711"/>
      <c r="IB177" s="711"/>
      <c r="IC177" s="711"/>
      <c r="ID177" s="711"/>
      <c r="IE177" s="711"/>
      <c r="IF177" s="711"/>
      <c r="IG177" s="711"/>
      <c r="IH177" s="711"/>
      <c r="II177" s="711"/>
      <c r="IJ177" s="711"/>
      <c r="IK177" s="711"/>
      <c r="IL177" s="711"/>
      <c r="IM177" s="711"/>
      <c r="IN177" s="711"/>
      <c r="IO177" s="711"/>
      <c r="IP177" s="711"/>
      <c r="IQ177" s="711"/>
      <c r="IR177" s="711"/>
      <c r="IS177" s="711"/>
      <c r="IT177" s="711"/>
      <c r="IU177" s="711"/>
      <c r="IV177" s="711"/>
    </row>
    <row r="178" spans="1:256" ht="12.75" customHeight="1">
      <c r="A178" s="708" t="s">
        <v>341</v>
      </c>
      <c r="B178" s="718">
        <v>226.56223630000002</v>
      </c>
      <c r="C178" s="718">
        <v>183.673239</v>
      </c>
      <c r="D178" s="718">
        <v>0</v>
      </c>
      <c r="E178" s="718">
        <f t="shared" si="24"/>
        <v>42.888997300000028</v>
      </c>
      <c r="F178" s="718">
        <v>-42.8889973</v>
      </c>
      <c r="G178" s="718">
        <v>0</v>
      </c>
      <c r="H178" s="718">
        <f t="shared" si="25"/>
        <v>-42.8889973</v>
      </c>
      <c r="I178" s="718">
        <f t="shared" si="26"/>
        <v>0</v>
      </c>
      <c r="J178" s="718">
        <v>0</v>
      </c>
      <c r="K178" s="718">
        <f t="shared" si="27"/>
        <v>-42.8889973</v>
      </c>
      <c r="L178" s="693"/>
      <c r="M178" s="711"/>
      <c r="N178" s="711"/>
      <c r="O178" s="711"/>
      <c r="P178" s="711"/>
      <c r="Q178" s="711"/>
      <c r="R178" s="711"/>
      <c r="S178" s="711"/>
      <c r="T178" s="711"/>
      <c r="U178" s="711"/>
      <c r="V178" s="711"/>
      <c r="W178" s="711"/>
      <c r="X178" s="711"/>
      <c r="Y178" s="711"/>
      <c r="Z178" s="711"/>
      <c r="AA178" s="711"/>
      <c r="AB178" s="711"/>
      <c r="AC178" s="711"/>
      <c r="AD178" s="711"/>
      <c r="AE178" s="711"/>
      <c r="AF178" s="711"/>
      <c r="AG178" s="711"/>
      <c r="AH178" s="711"/>
      <c r="AI178" s="711"/>
      <c r="AJ178" s="711"/>
      <c r="AK178" s="711"/>
      <c r="AL178" s="711"/>
      <c r="AM178" s="711"/>
      <c r="AN178" s="711"/>
      <c r="AO178" s="711"/>
      <c r="AP178" s="711"/>
      <c r="AQ178" s="711"/>
      <c r="AR178" s="711"/>
      <c r="AS178" s="711"/>
      <c r="AT178" s="711"/>
      <c r="AU178" s="711"/>
      <c r="AV178" s="711"/>
      <c r="AW178" s="711"/>
      <c r="AX178" s="711"/>
      <c r="AY178" s="711"/>
      <c r="AZ178" s="711"/>
      <c r="BA178" s="711"/>
      <c r="BB178" s="711"/>
      <c r="BC178" s="711"/>
      <c r="BD178" s="711"/>
      <c r="BE178" s="711"/>
      <c r="BF178" s="711"/>
      <c r="BG178" s="711"/>
      <c r="BH178" s="711"/>
      <c r="BI178" s="711"/>
      <c r="BJ178" s="711"/>
      <c r="BK178" s="711"/>
      <c r="BL178" s="711"/>
      <c r="BM178" s="711"/>
      <c r="BN178" s="711"/>
      <c r="BO178" s="711"/>
      <c r="BP178" s="711"/>
      <c r="BQ178" s="711"/>
      <c r="BR178" s="711"/>
      <c r="BS178" s="711"/>
      <c r="BT178" s="711"/>
      <c r="BU178" s="711"/>
      <c r="BV178" s="711"/>
      <c r="BW178" s="711"/>
      <c r="BX178" s="711"/>
      <c r="BY178" s="711"/>
      <c r="BZ178" s="711"/>
      <c r="CA178" s="711"/>
      <c r="CB178" s="711"/>
      <c r="CC178" s="711"/>
      <c r="CD178" s="711"/>
      <c r="CE178" s="711"/>
      <c r="CF178" s="711"/>
      <c r="CG178" s="711"/>
      <c r="CH178" s="711"/>
      <c r="CI178" s="711"/>
      <c r="CJ178" s="711"/>
      <c r="CK178" s="711"/>
      <c r="CL178" s="711"/>
      <c r="CM178" s="711"/>
      <c r="CN178" s="711"/>
      <c r="CO178" s="711"/>
      <c r="CP178" s="711"/>
      <c r="CQ178" s="711"/>
      <c r="CR178" s="711"/>
      <c r="CS178" s="711"/>
      <c r="CT178" s="711"/>
      <c r="CU178" s="711"/>
      <c r="CV178" s="711"/>
      <c r="CW178" s="711"/>
      <c r="CX178" s="711"/>
      <c r="CY178" s="711"/>
      <c r="CZ178" s="711"/>
      <c r="DA178" s="711"/>
      <c r="DB178" s="711"/>
      <c r="DC178" s="711"/>
      <c r="DD178" s="711"/>
      <c r="DE178" s="711"/>
      <c r="DF178" s="711"/>
      <c r="DG178" s="711"/>
      <c r="DH178" s="711"/>
      <c r="DI178" s="711"/>
      <c r="DJ178" s="711"/>
      <c r="DK178" s="711"/>
      <c r="DL178" s="711"/>
      <c r="DM178" s="711"/>
      <c r="DN178" s="711"/>
      <c r="DO178" s="711"/>
      <c r="DP178" s="711"/>
      <c r="DQ178" s="711"/>
      <c r="DR178" s="711"/>
      <c r="DS178" s="711"/>
      <c r="DT178" s="711"/>
      <c r="DU178" s="711"/>
      <c r="DV178" s="711"/>
      <c r="DW178" s="711"/>
      <c r="DX178" s="711"/>
      <c r="DY178" s="711"/>
      <c r="DZ178" s="711"/>
      <c r="EA178" s="711"/>
      <c r="EB178" s="711"/>
      <c r="EC178" s="711"/>
      <c r="ED178" s="711"/>
      <c r="EE178" s="711"/>
      <c r="EF178" s="711"/>
      <c r="EG178" s="711"/>
      <c r="EH178" s="711"/>
      <c r="EI178" s="711"/>
      <c r="EJ178" s="711"/>
      <c r="EK178" s="711"/>
      <c r="EL178" s="711"/>
      <c r="EM178" s="711"/>
      <c r="EN178" s="711"/>
      <c r="EO178" s="711"/>
      <c r="EP178" s="711"/>
      <c r="EQ178" s="711"/>
      <c r="ER178" s="711"/>
      <c r="ES178" s="711"/>
      <c r="ET178" s="711"/>
      <c r="EU178" s="711"/>
      <c r="EV178" s="711"/>
      <c r="EW178" s="711"/>
      <c r="EX178" s="711"/>
      <c r="EY178" s="711"/>
      <c r="EZ178" s="711"/>
      <c r="FA178" s="711"/>
      <c r="FB178" s="711"/>
      <c r="FC178" s="711"/>
      <c r="FD178" s="711"/>
      <c r="FE178" s="711"/>
      <c r="FF178" s="711"/>
      <c r="FG178" s="711"/>
      <c r="FH178" s="711"/>
      <c r="FI178" s="711"/>
      <c r="FJ178" s="711"/>
      <c r="FK178" s="711"/>
      <c r="FL178" s="711"/>
      <c r="FM178" s="711"/>
      <c r="FN178" s="711"/>
      <c r="FO178" s="711"/>
      <c r="FP178" s="711"/>
      <c r="FQ178" s="711"/>
      <c r="FR178" s="711"/>
      <c r="FS178" s="711"/>
      <c r="FT178" s="711"/>
      <c r="FU178" s="711"/>
      <c r="FV178" s="711"/>
      <c r="FW178" s="711"/>
      <c r="FX178" s="711"/>
      <c r="FY178" s="711"/>
      <c r="FZ178" s="711"/>
      <c r="GA178" s="711"/>
      <c r="GB178" s="711"/>
      <c r="GC178" s="711"/>
      <c r="GD178" s="711"/>
      <c r="GE178" s="711"/>
      <c r="GF178" s="711"/>
      <c r="GG178" s="711"/>
      <c r="GH178" s="711"/>
      <c r="GI178" s="711"/>
      <c r="GJ178" s="711"/>
      <c r="GK178" s="711"/>
      <c r="GL178" s="711"/>
      <c r="GM178" s="711"/>
      <c r="GN178" s="711"/>
      <c r="GO178" s="711"/>
      <c r="GP178" s="711"/>
      <c r="GQ178" s="711"/>
      <c r="GR178" s="711"/>
      <c r="GS178" s="711"/>
      <c r="GT178" s="711"/>
      <c r="GU178" s="711"/>
      <c r="GV178" s="711"/>
      <c r="GW178" s="711"/>
      <c r="GX178" s="711"/>
      <c r="GY178" s="711"/>
      <c r="GZ178" s="711"/>
      <c r="HA178" s="711"/>
      <c r="HB178" s="711"/>
      <c r="HC178" s="711"/>
      <c r="HD178" s="711"/>
      <c r="HE178" s="711"/>
      <c r="HF178" s="711"/>
      <c r="HG178" s="711"/>
      <c r="HH178" s="711"/>
      <c r="HI178" s="711"/>
      <c r="HJ178" s="711"/>
      <c r="HK178" s="711"/>
      <c r="HL178" s="711"/>
      <c r="HM178" s="711"/>
      <c r="HN178" s="711"/>
      <c r="HO178" s="711"/>
      <c r="HP178" s="711"/>
      <c r="HQ178" s="711"/>
      <c r="HR178" s="711"/>
      <c r="HS178" s="711"/>
      <c r="HT178" s="711"/>
      <c r="HU178" s="711"/>
      <c r="HV178" s="711"/>
      <c r="HW178" s="711"/>
      <c r="HX178" s="711"/>
      <c r="HY178" s="711"/>
      <c r="HZ178" s="711"/>
      <c r="IA178" s="711"/>
      <c r="IB178" s="711"/>
      <c r="IC178" s="711"/>
      <c r="ID178" s="711"/>
      <c r="IE178" s="711"/>
      <c r="IF178" s="711"/>
      <c r="IG178" s="711"/>
      <c r="IH178" s="711"/>
      <c r="II178" s="711"/>
      <c r="IJ178" s="711"/>
      <c r="IK178" s="711"/>
      <c r="IL178" s="711"/>
      <c r="IM178" s="711"/>
      <c r="IN178" s="711"/>
      <c r="IO178" s="711"/>
      <c r="IP178" s="711"/>
      <c r="IQ178" s="711"/>
      <c r="IR178" s="711"/>
      <c r="IS178" s="711"/>
      <c r="IT178" s="711"/>
      <c r="IU178" s="711"/>
      <c r="IV178" s="711"/>
    </row>
    <row r="179" spans="1:256" ht="12.75" customHeight="1">
      <c r="A179" s="708" t="s">
        <v>342</v>
      </c>
      <c r="B179" s="718">
        <v>207.1318005</v>
      </c>
      <c r="C179" s="718">
        <v>242.91885099999999</v>
      </c>
      <c r="D179" s="718">
        <v>0</v>
      </c>
      <c r="E179" s="718">
        <f t="shared" si="24"/>
        <v>-35.787050499999992</v>
      </c>
      <c r="F179" s="718">
        <v>35.787050499999999</v>
      </c>
      <c r="G179" s="718">
        <v>0</v>
      </c>
      <c r="H179" s="718">
        <f t="shared" si="25"/>
        <v>35.787050499999999</v>
      </c>
      <c r="I179" s="718">
        <f t="shared" si="26"/>
        <v>0</v>
      </c>
      <c r="J179" s="718">
        <v>0</v>
      </c>
      <c r="K179" s="718">
        <f t="shared" si="27"/>
        <v>35.787050499999999</v>
      </c>
      <c r="L179" s="693"/>
      <c r="M179" s="711"/>
      <c r="N179" s="711"/>
      <c r="O179" s="711"/>
      <c r="P179" s="711"/>
      <c r="Q179" s="711"/>
      <c r="R179" s="711"/>
      <c r="S179" s="711"/>
      <c r="T179" s="711"/>
      <c r="U179" s="711"/>
      <c r="V179" s="711"/>
      <c r="W179" s="711"/>
      <c r="X179" s="711"/>
      <c r="Y179" s="711"/>
      <c r="Z179" s="711"/>
      <c r="AA179" s="711"/>
      <c r="AB179" s="711"/>
      <c r="AC179" s="711"/>
      <c r="AD179" s="711"/>
      <c r="AE179" s="711"/>
      <c r="AF179" s="711"/>
      <c r="AG179" s="711"/>
      <c r="AH179" s="711"/>
      <c r="AI179" s="711"/>
      <c r="AJ179" s="711"/>
      <c r="AK179" s="711"/>
      <c r="AL179" s="711"/>
      <c r="AM179" s="711"/>
      <c r="AN179" s="711"/>
      <c r="AO179" s="711"/>
      <c r="AP179" s="711"/>
      <c r="AQ179" s="711"/>
      <c r="AR179" s="711"/>
      <c r="AS179" s="711"/>
      <c r="AT179" s="711"/>
      <c r="AU179" s="711"/>
      <c r="AV179" s="711"/>
      <c r="AW179" s="711"/>
      <c r="AX179" s="711"/>
      <c r="AY179" s="711"/>
      <c r="AZ179" s="711"/>
      <c r="BA179" s="711"/>
      <c r="BB179" s="711"/>
      <c r="BC179" s="711"/>
      <c r="BD179" s="711"/>
      <c r="BE179" s="711"/>
      <c r="BF179" s="711"/>
      <c r="BG179" s="711"/>
      <c r="BH179" s="711"/>
      <c r="BI179" s="711"/>
      <c r="BJ179" s="711"/>
      <c r="BK179" s="711"/>
      <c r="BL179" s="711"/>
      <c r="BM179" s="711"/>
      <c r="BN179" s="711"/>
      <c r="BO179" s="711"/>
      <c r="BP179" s="711"/>
      <c r="BQ179" s="711"/>
      <c r="BR179" s="711"/>
      <c r="BS179" s="711"/>
      <c r="BT179" s="711"/>
      <c r="BU179" s="711"/>
      <c r="BV179" s="711"/>
      <c r="BW179" s="711"/>
      <c r="BX179" s="711"/>
      <c r="BY179" s="711"/>
      <c r="BZ179" s="711"/>
      <c r="CA179" s="711"/>
      <c r="CB179" s="711"/>
      <c r="CC179" s="711"/>
      <c r="CD179" s="711"/>
      <c r="CE179" s="711"/>
      <c r="CF179" s="711"/>
      <c r="CG179" s="711"/>
      <c r="CH179" s="711"/>
      <c r="CI179" s="711"/>
      <c r="CJ179" s="711"/>
      <c r="CK179" s="711"/>
      <c r="CL179" s="711"/>
      <c r="CM179" s="711"/>
      <c r="CN179" s="711"/>
      <c r="CO179" s="711"/>
      <c r="CP179" s="711"/>
      <c r="CQ179" s="711"/>
      <c r="CR179" s="711"/>
      <c r="CS179" s="711"/>
      <c r="CT179" s="711"/>
      <c r="CU179" s="711"/>
      <c r="CV179" s="711"/>
      <c r="CW179" s="711"/>
      <c r="CX179" s="711"/>
      <c r="CY179" s="711"/>
      <c r="CZ179" s="711"/>
      <c r="DA179" s="711"/>
      <c r="DB179" s="711"/>
      <c r="DC179" s="711"/>
      <c r="DD179" s="711"/>
      <c r="DE179" s="711"/>
      <c r="DF179" s="711"/>
      <c r="DG179" s="711"/>
      <c r="DH179" s="711"/>
      <c r="DI179" s="711"/>
      <c r="DJ179" s="711"/>
      <c r="DK179" s="711"/>
      <c r="DL179" s="711"/>
      <c r="DM179" s="711"/>
      <c r="DN179" s="711"/>
      <c r="DO179" s="711"/>
      <c r="DP179" s="711"/>
      <c r="DQ179" s="711"/>
      <c r="DR179" s="711"/>
      <c r="DS179" s="711"/>
      <c r="DT179" s="711"/>
      <c r="DU179" s="711"/>
      <c r="DV179" s="711"/>
      <c r="DW179" s="711"/>
      <c r="DX179" s="711"/>
      <c r="DY179" s="711"/>
      <c r="DZ179" s="711"/>
      <c r="EA179" s="711"/>
      <c r="EB179" s="711"/>
      <c r="EC179" s="711"/>
      <c r="ED179" s="711"/>
      <c r="EE179" s="711"/>
      <c r="EF179" s="711"/>
      <c r="EG179" s="711"/>
      <c r="EH179" s="711"/>
      <c r="EI179" s="711"/>
      <c r="EJ179" s="711"/>
      <c r="EK179" s="711"/>
      <c r="EL179" s="711"/>
      <c r="EM179" s="711"/>
      <c r="EN179" s="711"/>
      <c r="EO179" s="711"/>
      <c r="EP179" s="711"/>
      <c r="EQ179" s="711"/>
      <c r="ER179" s="711"/>
      <c r="ES179" s="711"/>
      <c r="ET179" s="711"/>
      <c r="EU179" s="711"/>
      <c r="EV179" s="711"/>
      <c r="EW179" s="711"/>
      <c r="EX179" s="711"/>
      <c r="EY179" s="711"/>
      <c r="EZ179" s="711"/>
      <c r="FA179" s="711"/>
      <c r="FB179" s="711"/>
      <c r="FC179" s="711"/>
      <c r="FD179" s="711"/>
      <c r="FE179" s="711"/>
      <c r="FF179" s="711"/>
      <c r="FG179" s="711"/>
      <c r="FH179" s="711"/>
      <c r="FI179" s="711"/>
      <c r="FJ179" s="711"/>
      <c r="FK179" s="711"/>
      <c r="FL179" s="711"/>
      <c r="FM179" s="711"/>
      <c r="FN179" s="711"/>
      <c r="FO179" s="711"/>
      <c r="FP179" s="711"/>
      <c r="FQ179" s="711"/>
      <c r="FR179" s="711"/>
      <c r="FS179" s="711"/>
      <c r="FT179" s="711"/>
      <c r="FU179" s="711"/>
      <c r="FV179" s="711"/>
      <c r="FW179" s="711"/>
      <c r="FX179" s="711"/>
      <c r="FY179" s="711"/>
      <c r="FZ179" s="711"/>
      <c r="GA179" s="711"/>
      <c r="GB179" s="711"/>
      <c r="GC179" s="711"/>
      <c r="GD179" s="711"/>
      <c r="GE179" s="711"/>
      <c r="GF179" s="711"/>
      <c r="GG179" s="711"/>
      <c r="GH179" s="711"/>
      <c r="GI179" s="711"/>
      <c r="GJ179" s="711"/>
      <c r="GK179" s="711"/>
      <c r="GL179" s="711"/>
      <c r="GM179" s="711"/>
      <c r="GN179" s="711"/>
      <c r="GO179" s="711"/>
      <c r="GP179" s="711"/>
      <c r="GQ179" s="711"/>
      <c r="GR179" s="711"/>
      <c r="GS179" s="711"/>
      <c r="GT179" s="711"/>
      <c r="GU179" s="711"/>
      <c r="GV179" s="711"/>
      <c r="GW179" s="711"/>
      <c r="GX179" s="711"/>
      <c r="GY179" s="711"/>
      <c r="GZ179" s="711"/>
      <c r="HA179" s="711"/>
      <c r="HB179" s="711"/>
      <c r="HC179" s="711"/>
      <c r="HD179" s="711"/>
      <c r="HE179" s="711"/>
      <c r="HF179" s="711"/>
      <c r="HG179" s="711"/>
      <c r="HH179" s="711"/>
      <c r="HI179" s="711"/>
      <c r="HJ179" s="711"/>
      <c r="HK179" s="711"/>
      <c r="HL179" s="711"/>
      <c r="HM179" s="711"/>
      <c r="HN179" s="711"/>
      <c r="HO179" s="711"/>
      <c r="HP179" s="711"/>
      <c r="HQ179" s="711"/>
      <c r="HR179" s="711"/>
      <c r="HS179" s="711"/>
      <c r="HT179" s="711"/>
      <c r="HU179" s="711"/>
      <c r="HV179" s="711"/>
      <c r="HW179" s="711"/>
      <c r="HX179" s="711"/>
      <c r="HY179" s="711"/>
      <c r="HZ179" s="711"/>
      <c r="IA179" s="711"/>
      <c r="IB179" s="711"/>
      <c r="IC179" s="711"/>
      <c r="ID179" s="711"/>
      <c r="IE179" s="711"/>
      <c r="IF179" s="711"/>
      <c r="IG179" s="711"/>
      <c r="IH179" s="711"/>
      <c r="II179" s="711"/>
      <c r="IJ179" s="711"/>
      <c r="IK179" s="711"/>
      <c r="IL179" s="711"/>
      <c r="IM179" s="711"/>
      <c r="IN179" s="711"/>
      <c r="IO179" s="711"/>
      <c r="IP179" s="711"/>
      <c r="IQ179" s="711"/>
      <c r="IR179" s="711"/>
      <c r="IS179" s="711"/>
      <c r="IT179" s="711"/>
      <c r="IU179" s="711"/>
      <c r="IV179" s="711"/>
    </row>
    <row r="180" spans="1:256" ht="12.75" customHeight="1">
      <c r="A180" s="708" t="s">
        <v>343</v>
      </c>
      <c r="B180" s="718">
        <v>210.91</v>
      </c>
      <c r="C180" s="718">
        <v>242.256</v>
      </c>
      <c r="D180" s="718">
        <v>0</v>
      </c>
      <c r="E180" s="718">
        <f t="shared" si="24"/>
        <v>-31.346000000000004</v>
      </c>
      <c r="F180" s="718">
        <f>+E180*-1</f>
        <v>31.346000000000004</v>
      </c>
      <c r="G180" s="718">
        <v>0</v>
      </c>
      <c r="H180" s="718">
        <f t="shared" si="25"/>
        <v>31.346000000000004</v>
      </c>
      <c r="I180" s="718">
        <f t="shared" si="26"/>
        <v>0</v>
      </c>
      <c r="J180" s="718">
        <v>0</v>
      </c>
      <c r="K180" s="718">
        <f t="shared" si="27"/>
        <v>31.346000000000004</v>
      </c>
      <c r="L180" s="693"/>
      <c r="M180" s="711"/>
      <c r="N180" s="711"/>
      <c r="O180" s="711"/>
      <c r="P180" s="711"/>
      <c r="Q180" s="711"/>
      <c r="R180" s="711"/>
      <c r="S180" s="711"/>
      <c r="T180" s="711"/>
      <c r="U180" s="711"/>
      <c r="V180" s="711"/>
      <c r="W180" s="711"/>
      <c r="X180" s="711"/>
      <c r="Y180" s="711"/>
      <c r="Z180" s="711"/>
      <c r="AA180" s="711"/>
      <c r="AB180" s="711"/>
      <c r="AC180" s="711"/>
      <c r="AD180" s="711"/>
      <c r="AE180" s="711"/>
      <c r="AF180" s="711"/>
      <c r="AG180" s="711"/>
      <c r="AH180" s="711"/>
      <c r="AI180" s="711"/>
      <c r="AJ180" s="711"/>
      <c r="AK180" s="711"/>
      <c r="AL180" s="711"/>
      <c r="AM180" s="711"/>
      <c r="AN180" s="711"/>
      <c r="AO180" s="711"/>
      <c r="AP180" s="711"/>
      <c r="AQ180" s="711"/>
      <c r="AR180" s="711"/>
      <c r="AS180" s="711"/>
      <c r="AT180" s="711"/>
      <c r="AU180" s="711"/>
      <c r="AV180" s="711"/>
      <c r="AW180" s="711"/>
      <c r="AX180" s="711"/>
      <c r="AY180" s="711"/>
      <c r="AZ180" s="711"/>
      <c r="BA180" s="711"/>
      <c r="BB180" s="711"/>
      <c r="BC180" s="711"/>
      <c r="BD180" s="711"/>
      <c r="BE180" s="711"/>
      <c r="BF180" s="711"/>
      <c r="BG180" s="711"/>
      <c r="BH180" s="711"/>
      <c r="BI180" s="711"/>
      <c r="BJ180" s="711"/>
      <c r="BK180" s="711"/>
      <c r="BL180" s="711"/>
      <c r="BM180" s="711"/>
      <c r="BN180" s="711"/>
      <c r="BO180" s="711"/>
      <c r="BP180" s="711"/>
      <c r="BQ180" s="711"/>
      <c r="BR180" s="711"/>
      <c r="BS180" s="711"/>
      <c r="BT180" s="711"/>
      <c r="BU180" s="711"/>
      <c r="BV180" s="711"/>
      <c r="BW180" s="711"/>
      <c r="BX180" s="711"/>
      <c r="BY180" s="711"/>
      <c r="BZ180" s="711"/>
      <c r="CA180" s="711"/>
      <c r="CB180" s="711"/>
      <c r="CC180" s="711"/>
      <c r="CD180" s="711"/>
      <c r="CE180" s="711"/>
      <c r="CF180" s="711"/>
      <c r="CG180" s="711"/>
      <c r="CH180" s="711"/>
      <c r="CI180" s="711"/>
      <c r="CJ180" s="711"/>
      <c r="CK180" s="711"/>
      <c r="CL180" s="711"/>
      <c r="CM180" s="711"/>
      <c r="CN180" s="711"/>
      <c r="CO180" s="711"/>
      <c r="CP180" s="711"/>
      <c r="CQ180" s="711"/>
      <c r="CR180" s="711"/>
      <c r="CS180" s="711"/>
      <c r="CT180" s="711"/>
      <c r="CU180" s="711"/>
      <c r="CV180" s="711"/>
      <c r="CW180" s="711"/>
      <c r="CX180" s="711"/>
      <c r="CY180" s="711"/>
      <c r="CZ180" s="711"/>
      <c r="DA180" s="711"/>
      <c r="DB180" s="711"/>
      <c r="DC180" s="711"/>
      <c r="DD180" s="711"/>
      <c r="DE180" s="711"/>
      <c r="DF180" s="711"/>
      <c r="DG180" s="711"/>
      <c r="DH180" s="711"/>
      <c r="DI180" s="711"/>
      <c r="DJ180" s="711"/>
      <c r="DK180" s="711"/>
      <c r="DL180" s="711"/>
      <c r="DM180" s="711"/>
      <c r="DN180" s="711"/>
      <c r="DO180" s="711"/>
      <c r="DP180" s="711"/>
      <c r="DQ180" s="711"/>
      <c r="DR180" s="711"/>
      <c r="DS180" s="711"/>
      <c r="DT180" s="711"/>
      <c r="DU180" s="711"/>
      <c r="DV180" s="711"/>
      <c r="DW180" s="711"/>
      <c r="DX180" s="711"/>
      <c r="DY180" s="711"/>
      <c r="DZ180" s="711"/>
      <c r="EA180" s="711"/>
      <c r="EB180" s="711"/>
      <c r="EC180" s="711"/>
      <c r="ED180" s="711"/>
      <c r="EE180" s="711"/>
      <c r="EF180" s="711"/>
      <c r="EG180" s="711"/>
      <c r="EH180" s="711"/>
      <c r="EI180" s="711"/>
      <c r="EJ180" s="711"/>
      <c r="EK180" s="711"/>
      <c r="EL180" s="711"/>
      <c r="EM180" s="711"/>
      <c r="EN180" s="711"/>
      <c r="EO180" s="711"/>
      <c r="EP180" s="711"/>
      <c r="EQ180" s="711"/>
      <c r="ER180" s="711"/>
      <c r="ES180" s="711"/>
      <c r="ET180" s="711"/>
      <c r="EU180" s="711"/>
      <c r="EV180" s="711"/>
      <c r="EW180" s="711"/>
      <c r="EX180" s="711"/>
      <c r="EY180" s="711"/>
      <c r="EZ180" s="711"/>
      <c r="FA180" s="711"/>
      <c r="FB180" s="711"/>
      <c r="FC180" s="711"/>
      <c r="FD180" s="711"/>
      <c r="FE180" s="711"/>
      <c r="FF180" s="711"/>
      <c r="FG180" s="711"/>
      <c r="FH180" s="711"/>
      <c r="FI180" s="711"/>
      <c r="FJ180" s="711"/>
      <c r="FK180" s="711"/>
      <c r="FL180" s="711"/>
      <c r="FM180" s="711"/>
      <c r="FN180" s="711"/>
      <c r="FO180" s="711"/>
      <c r="FP180" s="711"/>
      <c r="FQ180" s="711"/>
      <c r="FR180" s="711"/>
      <c r="FS180" s="711"/>
      <c r="FT180" s="711"/>
      <c r="FU180" s="711"/>
      <c r="FV180" s="711"/>
      <c r="FW180" s="711"/>
      <c r="FX180" s="711"/>
      <c r="FY180" s="711"/>
      <c r="FZ180" s="711"/>
      <c r="GA180" s="711"/>
      <c r="GB180" s="711"/>
      <c r="GC180" s="711"/>
      <c r="GD180" s="711"/>
      <c r="GE180" s="711"/>
      <c r="GF180" s="711"/>
      <c r="GG180" s="711"/>
      <c r="GH180" s="711"/>
      <c r="GI180" s="711"/>
      <c r="GJ180" s="711"/>
      <c r="GK180" s="711"/>
      <c r="GL180" s="711"/>
      <c r="GM180" s="711"/>
      <c r="GN180" s="711"/>
      <c r="GO180" s="711"/>
      <c r="GP180" s="711"/>
      <c r="GQ180" s="711"/>
      <c r="GR180" s="711"/>
      <c r="GS180" s="711"/>
      <c r="GT180" s="711"/>
      <c r="GU180" s="711"/>
      <c r="GV180" s="711"/>
      <c r="GW180" s="711"/>
      <c r="GX180" s="711"/>
      <c r="GY180" s="711"/>
      <c r="GZ180" s="711"/>
      <c r="HA180" s="711"/>
      <c r="HB180" s="711"/>
      <c r="HC180" s="711"/>
      <c r="HD180" s="711"/>
      <c r="HE180" s="711"/>
      <c r="HF180" s="711"/>
      <c r="HG180" s="711"/>
      <c r="HH180" s="711"/>
      <c r="HI180" s="711"/>
      <c r="HJ180" s="711"/>
      <c r="HK180" s="711"/>
      <c r="HL180" s="711"/>
      <c r="HM180" s="711"/>
      <c r="HN180" s="711"/>
      <c r="HO180" s="711"/>
      <c r="HP180" s="711"/>
      <c r="HQ180" s="711"/>
      <c r="HR180" s="711"/>
      <c r="HS180" s="711"/>
      <c r="HT180" s="711"/>
      <c r="HU180" s="711"/>
      <c r="HV180" s="711"/>
      <c r="HW180" s="711"/>
      <c r="HX180" s="711"/>
      <c r="HY180" s="711"/>
      <c r="HZ180" s="711"/>
      <c r="IA180" s="711"/>
      <c r="IB180" s="711"/>
      <c r="IC180" s="711"/>
      <c r="ID180" s="711"/>
      <c r="IE180" s="711"/>
      <c r="IF180" s="711"/>
      <c r="IG180" s="711"/>
      <c r="IH180" s="711"/>
      <c r="II180" s="711"/>
      <c r="IJ180" s="711"/>
      <c r="IK180" s="711"/>
      <c r="IL180" s="711"/>
      <c r="IM180" s="711"/>
      <c r="IN180" s="711"/>
      <c r="IO180" s="711"/>
      <c r="IP180" s="711"/>
      <c r="IQ180" s="711"/>
      <c r="IR180" s="711"/>
      <c r="IS180" s="711"/>
      <c r="IT180" s="711"/>
      <c r="IU180" s="711"/>
      <c r="IV180" s="711"/>
    </row>
    <row r="181" spans="1:256" ht="12.75" customHeight="1">
      <c r="A181" s="708" t="s">
        <v>344</v>
      </c>
      <c r="B181" s="718">
        <v>334.661</v>
      </c>
      <c r="C181" s="718">
        <v>464.56200000000001</v>
      </c>
      <c r="D181" s="718">
        <v>0</v>
      </c>
      <c r="E181" s="718">
        <f t="shared" si="24"/>
        <v>-129.90100000000001</v>
      </c>
      <c r="F181" s="718">
        <f>+E181*-1</f>
        <v>129.90100000000001</v>
      </c>
      <c r="G181" s="718">
        <v>0</v>
      </c>
      <c r="H181" s="718">
        <f t="shared" si="25"/>
        <v>129.90100000000001</v>
      </c>
      <c r="I181" s="718">
        <f t="shared" si="26"/>
        <v>0</v>
      </c>
      <c r="J181" s="718">
        <v>0</v>
      </c>
      <c r="K181" s="718">
        <f t="shared" si="27"/>
        <v>129.90100000000001</v>
      </c>
      <c r="L181" s="693"/>
      <c r="M181" s="711"/>
      <c r="N181" s="711"/>
      <c r="O181" s="711"/>
      <c r="P181" s="711"/>
      <c r="Q181" s="711"/>
      <c r="R181" s="711"/>
      <c r="S181" s="711"/>
      <c r="T181" s="711"/>
      <c r="U181" s="711"/>
      <c r="V181" s="711"/>
      <c r="W181" s="711"/>
      <c r="X181" s="711"/>
      <c r="Y181" s="711"/>
      <c r="Z181" s="711"/>
      <c r="AA181" s="711"/>
      <c r="AB181" s="711"/>
      <c r="AC181" s="711"/>
      <c r="AD181" s="711"/>
      <c r="AE181" s="711"/>
      <c r="AF181" s="711"/>
      <c r="AG181" s="711"/>
      <c r="AH181" s="711"/>
      <c r="AI181" s="711"/>
      <c r="AJ181" s="711"/>
      <c r="AK181" s="711"/>
      <c r="AL181" s="711"/>
      <c r="AM181" s="711"/>
      <c r="AN181" s="711"/>
      <c r="AO181" s="711"/>
      <c r="AP181" s="711"/>
      <c r="AQ181" s="711"/>
      <c r="AR181" s="711"/>
      <c r="AS181" s="711"/>
      <c r="AT181" s="711"/>
      <c r="AU181" s="711"/>
      <c r="AV181" s="711"/>
      <c r="AW181" s="711"/>
      <c r="AX181" s="711"/>
      <c r="AY181" s="711"/>
      <c r="AZ181" s="711"/>
      <c r="BA181" s="711"/>
      <c r="BB181" s="711"/>
      <c r="BC181" s="711"/>
      <c r="BD181" s="711"/>
      <c r="BE181" s="711"/>
      <c r="BF181" s="711"/>
      <c r="BG181" s="711"/>
      <c r="BH181" s="711"/>
      <c r="BI181" s="711"/>
      <c r="BJ181" s="711"/>
      <c r="BK181" s="711"/>
      <c r="BL181" s="711"/>
      <c r="BM181" s="711"/>
      <c r="BN181" s="711"/>
      <c r="BO181" s="711"/>
      <c r="BP181" s="711"/>
      <c r="BQ181" s="711"/>
      <c r="BR181" s="711"/>
      <c r="BS181" s="711"/>
      <c r="BT181" s="711"/>
      <c r="BU181" s="711"/>
      <c r="BV181" s="711"/>
      <c r="BW181" s="711"/>
      <c r="BX181" s="711"/>
      <c r="BY181" s="711"/>
      <c r="BZ181" s="711"/>
      <c r="CA181" s="711"/>
      <c r="CB181" s="711"/>
      <c r="CC181" s="711"/>
      <c r="CD181" s="711"/>
      <c r="CE181" s="711"/>
      <c r="CF181" s="711"/>
      <c r="CG181" s="711"/>
      <c r="CH181" s="711"/>
      <c r="CI181" s="711"/>
      <c r="CJ181" s="711"/>
      <c r="CK181" s="711"/>
      <c r="CL181" s="711"/>
      <c r="CM181" s="711"/>
      <c r="CN181" s="711"/>
      <c r="CO181" s="711"/>
      <c r="CP181" s="711"/>
      <c r="CQ181" s="711"/>
      <c r="CR181" s="711"/>
      <c r="CS181" s="711"/>
      <c r="CT181" s="711"/>
      <c r="CU181" s="711"/>
      <c r="CV181" s="711"/>
      <c r="CW181" s="711"/>
      <c r="CX181" s="711"/>
      <c r="CY181" s="711"/>
      <c r="CZ181" s="711"/>
      <c r="DA181" s="711"/>
      <c r="DB181" s="711"/>
      <c r="DC181" s="711"/>
      <c r="DD181" s="711"/>
      <c r="DE181" s="711"/>
      <c r="DF181" s="711"/>
      <c r="DG181" s="711"/>
      <c r="DH181" s="711"/>
      <c r="DI181" s="711"/>
      <c r="DJ181" s="711"/>
      <c r="DK181" s="711"/>
      <c r="DL181" s="711"/>
      <c r="DM181" s="711"/>
      <c r="DN181" s="711"/>
      <c r="DO181" s="711"/>
      <c r="DP181" s="711"/>
      <c r="DQ181" s="711"/>
      <c r="DR181" s="711"/>
      <c r="DS181" s="711"/>
      <c r="DT181" s="711"/>
      <c r="DU181" s="711"/>
      <c r="DV181" s="711"/>
      <c r="DW181" s="711"/>
      <c r="DX181" s="711"/>
      <c r="DY181" s="711"/>
      <c r="DZ181" s="711"/>
      <c r="EA181" s="711"/>
      <c r="EB181" s="711"/>
      <c r="EC181" s="711"/>
      <c r="ED181" s="711"/>
      <c r="EE181" s="711"/>
      <c r="EF181" s="711"/>
      <c r="EG181" s="711"/>
      <c r="EH181" s="711"/>
      <c r="EI181" s="711"/>
      <c r="EJ181" s="711"/>
      <c r="EK181" s="711"/>
      <c r="EL181" s="711"/>
      <c r="EM181" s="711"/>
      <c r="EN181" s="711"/>
      <c r="EO181" s="711"/>
      <c r="EP181" s="711"/>
      <c r="EQ181" s="711"/>
      <c r="ER181" s="711"/>
      <c r="ES181" s="711"/>
      <c r="ET181" s="711"/>
      <c r="EU181" s="711"/>
      <c r="EV181" s="711"/>
      <c r="EW181" s="711"/>
      <c r="EX181" s="711"/>
      <c r="EY181" s="711"/>
      <c r="EZ181" s="711"/>
      <c r="FA181" s="711"/>
      <c r="FB181" s="711"/>
      <c r="FC181" s="711"/>
      <c r="FD181" s="711"/>
      <c r="FE181" s="711"/>
      <c r="FF181" s="711"/>
      <c r="FG181" s="711"/>
      <c r="FH181" s="711"/>
      <c r="FI181" s="711"/>
      <c r="FJ181" s="711"/>
      <c r="FK181" s="711"/>
      <c r="FL181" s="711"/>
      <c r="FM181" s="711"/>
      <c r="FN181" s="711"/>
      <c r="FO181" s="711"/>
      <c r="FP181" s="711"/>
      <c r="FQ181" s="711"/>
      <c r="FR181" s="711"/>
      <c r="FS181" s="711"/>
      <c r="FT181" s="711"/>
      <c r="FU181" s="711"/>
      <c r="FV181" s="711"/>
      <c r="FW181" s="711"/>
      <c r="FX181" s="711"/>
      <c r="FY181" s="711"/>
      <c r="FZ181" s="711"/>
      <c r="GA181" s="711"/>
      <c r="GB181" s="711"/>
      <c r="GC181" s="711"/>
      <c r="GD181" s="711"/>
      <c r="GE181" s="711"/>
      <c r="GF181" s="711"/>
      <c r="GG181" s="711"/>
      <c r="GH181" s="711"/>
      <c r="GI181" s="711"/>
      <c r="GJ181" s="711"/>
      <c r="GK181" s="711"/>
      <c r="GL181" s="711"/>
      <c r="GM181" s="711"/>
      <c r="GN181" s="711"/>
      <c r="GO181" s="711"/>
      <c r="GP181" s="711"/>
      <c r="GQ181" s="711"/>
      <c r="GR181" s="711"/>
      <c r="GS181" s="711"/>
      <c r="GT181" s="711"/>
      <c r="GU181" s="711"/>
      <c r="GV181" s="711"/>
      <c r="GW181" s="711"/>
      <c r="GX181" s="711"/>
      <c r="GY181" s="711"/>
      <c r="GZ181" s="711"/>
      <c r="HA181" s="711"/>
      <c r="HB181" s="711"/>
      <c r="HC181" s="711"/>
      <c r="HD181" s="711"/>
      <c r="HE181" s="711"/>
      <c r="HF181" s="711"/>
      <c r="HG181" s="711"/>
      <c r="HH181" s="711"/>
      <c r="HI181" s="711"/>
      <c r="HJ181" s="711"/>
      <c r="HK181" s="711"/>
      <c r="HL181" s="711"/>
      <c r="HM181" s="711"/>
      <c r="HN181" s="711"/>
      <c r="HO181" s="711"/>
      <c r="HP181" s="711"/>
      <c r="HQ181" s="711"/>
      <c r="HR181" s="711"/>
      <c r="HS181" s="711"/>
      <c r="HT181" s="711"/>
      <c r="HU181" s="711"/>
      <c r="HV181" s="711"/>
      <c r="HW181" s="711"/>
      <c r="HX181" s="711"/>
      <c r="HY181" s="711"/>
      <c r="HZ181" s="711"/>
      <c r="IA181" s="711"/>
      <c r="IB181" s="711"/>
      <c r="IC181" s="711"/>
      <c r="ID181" s="711"/>
      <c r="IE181" s="711"/>
      <c r="IF181" s="711"/>
      <c r="IG181" s="711"/>
      <c r="IH181" s="711"/>
      <c r="II181" s="711"/>
      <c r="IJ181" s="711"/>
      <c r="IK181" s="711"/>
      <c r="IL181" s="711"/>
      <c r="IM181" s="711"/>
      <c r="IN181" s="711"/>
      <c r="IO181" s="711"/>
      <c r="IP181" s="711"/>
      <c r="IQ181" s="711"/>
      <c r="IR181" s="711"/>
      <c r="IS181" s="711"/>
      <c r="IT181" s="711"/>
      <c r="IU181" s="711"/>
      <c r="IV181" s="711"/>
    </row>
    <row r="182" spans="1:256" ht="12.75" customHeight="1">
      <c r="A182" s="708"/>
      <c r="B182" s="718"/>
      <c r="C182" s="718"/>
      <c r="D182" s="691"/>
      <c r="E182" s="718"/>
      <c r="F182" s="718"/>
      <c r="G182" s="718"/>
      <c r="H182" s="718"/>
      <c r="I182" s="695"/>
      <c r="J182" s="718"/>
      <c r="K182" s="718"/>
      <c r="L182" s="693"/>
      <c r="M182" s="711"/>
      <c r="N182" s="711"/>
      <c r="O182" s="711"/>
      <c r="P182" s="711"/>
      <c r="Q182" s="711"/>
      <c r="R182" s="711"/>
      <c r="S182" s="711"/>
      <c r="T182" s="711"/>
      <c r="U182" s="711"/>
      <c r="V182" s="711"/>
      <c r="W182" s="711"/>
      <c r="X182" s="711"/>
      <c r="Y182" s="711"/>
      <c r="Z182" s="711"/>
      <c r="AA182" s="711"/>
      <c r="AB182" s="711"/>
      <c r="AC182" s="711"/>
      <c r="AD182" s="711"/>
      <c r="AE182" s="711"/>
      <c r="AF182" s="711"/>
      <c r="AG182" s="711"/>
      <c r="AH182" s="711"/>
      <c r="AI182" s="711"/>
      <c r="AJ182" s="711"/>
      <c r="AK182" s="711"/>
      <c r="AL182" s="711"/>
      <c r="AM182" s="711"/>
      <c r="AN182" s="711"/>
      <c r="AO182" s="711"/>
      <c r="AP182" s="711"/>
      <c r="AQ182" s="711"/>
      <c r="AR182" s="711"/>
      <c r="AS182" s="711"/>
      <c r="AT182" s="711"/>
      <c r="AU182" s="711"/>
      <c r="AV182" s="711"/>
      <c r="AW182" s="711"/>
      <c r="AX182" s="711"/>
      <c r="AY182" s="711"/>
      <c r="AZ182" s="711"/>
      <c r="BA182" s="711"/>
      <c r="BB182" s="711"/>
      <c r="BC182" s="711"/>
      <c r="BD182" s="711"/>
      <c r="BE182" s="711"/>
      <c r="BF182" s="711"/>
      <c r="BG182" s="711"/>
      <c r="BH182" s="711"/>
      <c r="BI182" s="711"/>
      <c r="BJ182" s="711"/>
      <c r="BK182" s="711"/>
      <c r="BL182" s="711"/>
      <c r="BM182" s="711"/>
      <c r="BN182" s="711"/>
      <c r="BO182" s="711"/>
      <c r="BP182" s="711"/>
      <c r="BQ182" s="711"/>
      <c r="BR182" s="711"/>
      <c r="BS182" s="711"/>
      <c r="BT182" s="711"/>
      <c r="BU182" s="711"/>
      <c r="BV182" s="711"/>
      <c r="BW182" s="711"/>
      <c r="BX182" s="711"/>
      <c r="BY182" s="711"/>
      <c r="BZ182" s="711"/>
      <c r="CA182" s="711"/>
      <c r="CB182" s="711"/>
      <c r="CC182" s="711"/>
      <c r="CD182" s="711"/>
      <c r="CE182" s="711"/>
      <c r="CF182" s="711"/>
      <c r="CG182" s="711"/>
      <c r="CH182" s="711"/>
      <c r="CI182" s="711"/>
      <c r="CJ182" s="711"/>
      <c r="CK182" s="711"/>
      <c r="CL182" s="711"/>
      <c r="CM182" s="711"/>
      <c r="CN182" s="711"/>
      <c r="CO182" s="711"/>
      <c r="CP182" s="711"/>
      <c r="CQ182" s="711"/>
      <c r="CR182" s="711"/>
      <c r="CS182" s="711"/>
      <c r="CT182" s="711"/>
      <c r="CU182" s="711"/>
      <c r="CV182" s="711"/>
      <c r="CW182" s="711"/>
      <c r="CX182" s="711"/>
      <c r="CY182" s="711"/>
      <c r="CZ182" s="711"/>
      <c r="DA182" s="711"/>
      <c r="DB182" s="711"/>
      <c r="DC182" s="711"/>
      <c r="DD182" s="711"/>
      <c r="DE182" s="711"/>
      <c r="DF182" s="711"/>
      <c r="DG182" s="711"/>
      <c r="DH182" s="711"/>
      <c r="DI182" s="711"/>
      <c r="DJ182" s="711"/>
      <c r="DK182" s="711"/>
      <c r="DL182" s="711"/>
      <c r="DM182" s="711"/>
      <c r="DN182" s="711"/>
      <c r="DO182" s="711"/>
      <c r="DP182" s="711"/>
      <c r="DQ182" s="711"/>
      <c r="DR182" s="711"/>
      <c r="DS182" s="711"/>
      <c r="DT182" s="711"/>
      <c r="DU182" s="711"/>
      <c r="DV182" s="711"/>
      <c r="DW182" s="711"/>
      <c r="DX182" s="711"/>
      <c r="DY182" s="711"/>
      <c r="DZ182" s="711"/>
      <c r="EA182" s="711"/>
      <c r="EB182" s="711"/>
      <c r="EC182" s="711"/>
      <c r="ED182" s="711"/>
      <c r="EE182" s="711"/>
      <c r="EF182" s="711"/>
      <c r="EG182" s="711"/>
      <c r="EH182" s="711"/>
      <c r="EI182" s="711"/>
      <c r="EJ182" s="711"/>
      <c r="EK182" s="711"/>
      <c r="EL182" s="711"/>
      <c r="EM182" s="711"/>
      <c r="EN182" s="711"/>
      <c r="EO182" s="711"/>
      <c r="EP182" s="711"/>
      <c r="EQ182" s="711"/>
      <c r="ER182" s="711"/>
      <c r="ES182" s="711"/>
      <c r="ET182" s="711"/>
      <c r="EU182" s="711"/>
      <c r="EV182" s="711"/>
      <c r="EW182" s="711"/>
      <c r="EX182" s="711"/>
      <c r="EY182" s="711"/>
      <c r="EZ182" s="711"/>
      <c r="FA182" s="711"/>
      <c r="FB182" s="711"/>
      <c r="FC182" s="711"/>
      <c r="FD182" s="711"/>
      <c r="FE182" s="711"/>
      <c r="FF182" s="711"/>
      <c r="FG182" s="711"/>
      <c r="FH182" s="711"/>
      <c r="FI182" s="711"/>
      <c r="FJ182" s="711"/>
      <c r="FK182" s="711"/>
      <c r="FL182" s="711"/>
      <c r="FM182" s="711"/>
      <c r="FN182" s="711"/>
      <c r="FO182" s="711"/>
      <c r="FP182" s="711"/>
      <c r="FQ182" s="711"/>
      <c r="FR182" s="711"/>
      <c r="FS182" s="711"/>
      <c r="FT182" s="711"/>
      <c r="FU182" s="711"/>
      <c r="FV182" s="711"/>
      <c r="FW182" s="711"/>
      <c r="FX182" s="711"/>
      <c r="FY182" s="711"/>
      <c r="FZ182" s="711"/>
      <c r="GA182" s="711"/>
      <c r="GB182" s="711"/>
      <c r="GC182" s="711"/>
      <c r="GD182" s="711"/>
      <c r="GE182" s="711"/>
      <c r="GF182" s="711"/>
      <c r="GG182" s="711"/>
      <c r="GH182" s="711"/>
      <c r="GI182" s="711"/>
      <c r="GJ182" s="711"/>
      <c r="GK182" s="711"/>
      <c r="GL182" s="711"/>
      <c r="GM182" s="711"/>
      <c r="GN182" s="711"/>
      <c r="GO182" s="711"/>
      <c r="GP182" s="711"/>
      <c r="GQ182" s="711"/>
      <c r="GR182" s="711"/>
      <c r="GS182" s="711"/>
      <c r="GT182" s="711"/>
      <c r="GU182" s="711"/>
      <c r="GV182" s="711"/>
      <c r="GW182" s="711"/>
      <c r="GX182" s="711"/>
      <c r="GY182" s="711"/>
      <c r="GZ182" s="711"/>
      <c r="HA182" s="711"/>
      <c r="HB182" s="711"/>
      <c r="HC182" s="711"/>
      <c r="HD182" s="711"/>
      <c r="HE182" s="711"/>
      <c r="HF182" s="711"/>
      <c r="HG182" s="711"/>
      <c r="HH182" s="711"/>
      <c r="HI182" s="711"/>
      <c r="HJ182" s="711"/>
      <c r="HK182" s="711"/>
      <c r="HL182" s="711"/>
      <c r="HM182" s="711"/>
      <c r="HN182" s="711"/>
      <c r="HO182" s="711"/>
      <c r="HP182" s="711"/>
      <c r="HQ182" s="711"/>
      <c r="HR182" s="711"/>
      <c r="HS182" s="711"/>
      <c r="HT182" s="711"/>
      <c r="HU182" s="711"/>
      <c r="HV182" s="711"/>
      <c r="HW182" s="711"/>
      <c r="HX182" s="711"/>
      <c r="HY182" s="711"/>
      <c r="HZ182" s="711"/>
      <c r="IA182" s="711"/>
      <c r="IB182" s="711"/>
      <c r="IC182" s="711"/>
      <c r="ID182" s="711"/>
      <c r="IE182" s="711"/>
      <c r="IF182" s="711"/>
      <c r="IG182" s="711"/>
      <c r="IH182" s="711"/>
      <c r="II182" s="711"/>
      <c r="IJ182" s="711"/>
      <c r="IK182" s="711"/>
      <c r="IL182" s="711"/>
      <c r="IM182" s="711"/>
      <c r="IN182" s="711"/>
      <c r="IO182" s="711"/>
      <c r="IP182" s="711"/>
      <c r="IQ182" s="711"/>
      <c r="IR182" s="711"/>
      <c r="IS182" s="711"/>
      <c r="IT182" s="711"/>
      <c r="IU182" s="711"/>
      <c r="IV182" s="711"/>
    </row>
    <row r="183" spans="1:256" ht="12.75" customHeight="1">
      <c r="A183" s="712">
        <v>2011</v>
      </c>
      <c r="B183" s="718"/>
      <c r="C183" s="718"/>
      <c r="D183" s="691"/>
      <c r="E183" s="718"/>
      <c r="F183" s="718"/>
      <c r="G183" s="718"/>
      <c r="H183" s="718"/>
      <c r="I183" s="695"/>
      <c r="J183" s="718"/>
      <c r="K183" s="718"/>
      <c r="L183" s="693"/>
      <c r="M183" s="711"/>
      <c r="N183" s="711"/>
      <c r="O183" s="711"/>
      <c r="P183" s="711"/>
      <c r="Q183" s="711"/>
      <c r="R183" s="711"/>
      <c r="S183" s="711"/>
      <c r="T183" s="711"/>
      <c r="U183" s="711"/>
      <c r="V183" s="711"/>
      <c r="W183" s="711"/>
      <c r="X183" s="711"/>
      <c r="Y183" s="711"/>
      <c r="Z183" s="711"/>
      <c r="AA183" s="711"/>
      <c r="AB183" s="711"/>
      <c r="AC183" s="711"/>
      <c r="AD183" s="711"/>
      <c r="AE183" s="711"/>
      <c r="AF183" s="711"/>
      <c r="AG183" s="711"/>
      <c r="AH183" s="711"/>
      <c r="AI183" s="711"/>
      <c r="AJ183" s="711"/>
      <c r="AK183" s="711"/>
      <c r="AL183" s="711"/>
      <c r="AM183" s="711"/>
      <c r="AN183" s="711"/>
      <c r="AO183" s="711"/>
      <c r="AP183" s="711"/>
      <c r="AQ183" s="711"/>
      <c r="AR183" s="711"/>
      <c r="AS183" s="711"/>
      <c r="AT183" s="711"/>
      <c r="AU183" s="711"/>
      <c r="AV183" s="711"/>
      <c r="AW183" s="711"/>
      <c r="AX183" s="711"/>
      <c r="AY183" s="711"/>
      <c r="AZ183" s="711"/>
      <c r="BA183" s="711"/>
      <c r="BB183" s="711"/>
      <c r="BC183" s="711"/>
      <c r="BD183" s="711"/>
      <c r="BE183" s="711"/>
      <c r="BF183" s="711"/>
      <c r="BG183" s="711"/>
      <c r="BH183" s="711"/>
      <c r="BI183" s="711"/>
      <c r="BJ183" s="711"/>
      <c r="BK183" s="711"/>
      <c r="BL183" s="711"/>
      <c r="BM183" s="711"/>
      <c r="BN183" s="711"/>
      <c r="BO183" s="711"/>
      <c r="BP183" s="711"/>
      <c r="BQ183" s="711"/>
      <c r="BR183" s="711"/>
      <c r="BS183" s="711"/>
      <c r="BT183" s="711"/>
      <c r="BU183" s="711"/>
      <c r="BV183" s="711"/>
      <c r="BW183" s="711"/>
      <c r="BX183" s="711"/>
      <c r="BY183" s="711"/>
      <c r="BZ183" s="711"/>
      <c r="CA183" s="711"/>
      <c r="CB183" s="711"/>
      <c r="CC183" s="711"/>
      <c r="CD183" s="711"/>
      <c r="CE183" s="711"/>
      <c r="CF183" s="711"/>
      <c r="CG183" s="711"/>
      <c r="CH183" s="711"/>
      <c r="CI183" s="711"/>
      <c r="CJ183" s="711"/>
      <c r="CK183" s="711"/>
      <c r="CL183" s="711"/>
      <c r="CM183" s="711"/>
      <c r="CN183" s="711"/>
      <c r="CO183" s="711"/>
      <c r="CP183" s="711"/>
      <c r="CQ183" s="711"/>
      <c r="CR183" s="711"/>
      <c r="CS183" s="711"/>
      <c r="CT183" s="711"/>
      <c r="CU183" s="711"/>
      <c r="CV183" s="711"/>
      <c r="CW183" s="711"/>
      <c r="CX183" s="711"/>
      <c r="CY183" s="711"/>
      <c r="CZ183" s="711"/>
      <c r="DA183" s="711"/>
      <c r="DB183" s="711"/>
      <c r="DC183" s="711"/>
      <c r="DD183" s="711"/>
      <c r="DE183" s="711"/>
      <c r="DF183" s="711"/>
      <c r="DG183" s="711"/>
      <c r="DH183" s="711"/>
      <c r="DI183" s="711"/>
      <c r="DJ183" s="711"/>
      <c r="DK183" s="711"/>
      <c r="DL183" s="711"/>
      <c r="DM183" s="711"/>
      <c r="DN183" s="711"/>
      <c r="DO183" s="711"/>
      <c r="DP183" s="711"/>
      <c r="DQ183" s="711"/>
      <c r="DR183" s="711"/>
      <c r="DS183" s="711"/>
      <c r="DT183" s="711"/>
      <c r="DU183" s="711"/>
      <c r="DV183" s="711"/>
      <c r="DW183" s="711"/>
      <c r="DX183" s="711"/>
      <c r="DY183" s="711"/>
      <c r="DZ183" s="711"/>
      <c r="EA183" s="711"/>
      <c r="EB183" s="711"/>
      <c r="EC183" s="711"/>
      <c r="ED183" s="711"/>
      <c r="EE183" s="711"/>
      <c r="EF183" s="711"/>
      <c r="EG183" s="711"/>
      <c r="EH183" s="711"/>
      <c r="EI183" s="711"/>
      <c r="EJ183" s="711"/>
      <c r="EK183" s="711"/>
      <c r="EL183" s="711"/>
      <c r="EM183" s="711"/>
      <c r="EN183" s="711"/>
      <c r="EO183" s="711"/>
      <c r="EP183" s="711"/>
      <c r="EQ183" s="711"/>
      <c r="ER183" s="711"/>
      <c r="ES183" s="711"/>
      <c r="ET183" s="711"/>
      <c r="EU183" s="711"/>
      <c r="EV183" s="711"/>
      <c r="EW183" s="711"/>
      <c r="EX183" s="711"/>
      <c r="EY183" s="711"/>
      <c r="EZ183" s="711"/>
      <c r="FA183" s="711"/>
      <c r="FB183" s="711"/>
      <c r="FC183" s="711"/>
      <c r="FD183" s="711"/>
      <c r="FE183" s="711"/>
      <c r="FF183" s="711"/>
      <c r="FG183" s="711"/>
      <c r="FH183" s="711"/>
      <c r="FI183" s="711"/>
      <c r="FJ183" s="711"/>
      <c r="FK183" s="711"/>
      <c r="FL183" s="711"/>
      <c r="FM183" s="711"/>
      <c r="FN183" s="711"/>
      <c r="FO183" s="711"/>
      <c r="FP183" s="711"/>
      <c r="FQ183" s="711"/>
      <c r="FR183" s="711"/>
      <c r="FS183" s="711"/>
      <c r="FT183" s="711"/>
      <c r="FU183" s="711"/>
      <c r="FV183" s="711"/>
      <c r="FW183" s="711"/>
      <c r="FX183" s="711"/>
      <c r="FY183" s="711"/>
      <c r="FZ183" s="711"/>
      <c r="GA183" s="711"/>
      <c r="GB183" s="711"/>
      <c r="GC183" s="711"/>
      <c r="GD183" s="711"/>
      <c r="GE183" s="711"/>
      <c r="GF183" s="711"/>
      <c r="GG183" s="711"/>
      <c r="GH183" s="711"/>
      <c r="GI183" s="711"/>
      <c r="GJ183" s="711"/>
      <c r="GK183" s="711"/>
      <c r="GL183" s="711"/>
      <c r="GM183" s="711"/>
      <c r="GN183" s="711"/>
      <c r="GO183" s="711"/>
      <c r="GP183" s="711"/>
      <c r="GQ183" s="711"/>
      <c r="GR183" s="711"/>
      <c r="GS183" s="711"/>
      <c r="GT183" s="711"/>
      <c r="GU183" s="711"/>
      <c r="GV183" s="711"/>
      <c r="GW183" s="711"/>
      <c r="GX183" s="711"/>
      <c r="GY183" s="711"/>
      <c r="GZ183" s="711"/>
      <c r="HA183" s="711"/>
      <c r="HB183" s="711"/>
      <c r="HC183" s="711"/>
      <c r="HD183" s="711"/>
      <c r="HE183" s="711"/>
      <c r="HF183" s="711"/>
      <c r="HG183" s="711"/>
      <c r="HH183" s="711"/>
      <c r="HI183" s="711"/>
      <c r="HJ183" s="711"/>
      <c r="HK183" s="711"/>
      <c r="HL183" s="711"/>
      <c r="HM183" s="711"/>
      <c r="HN183" s="711"/>
      <c r="HO183" s="711"/>
      <c r="HP183" s="711"/>
      <c r="HQ183" s="711"/>
      <c r="HR183" s="711"/>
      <c r="HS183" s="711"/>
      <c r="HT183" s="711"/>
      <c r="HU183" s="711"/>
      <c r="HV183" s="711"/>
      <c r="HW183" s="711"/>
      <c r="HX183" s="711"/>
      <c r="HY183" s="711"/>
      <c r="HZ183" s="711"/>
      <c r="IA183" s="711"/>
      <c r="IB183" s="711"/>
      <c r="IC183" s="711"/>
      <c r="ID183" s="711"/>
      <c r="IE183" s="711"/>
      <c r="IF183" s="711"/>
      <c r="IG183" s="711"/>
      <c r="IH183" s="711"/>
      <c r="II183" s="711"/>
      <c r="IJ183" s="711"/>
      <c r="IK183" s="711"/>
      <c r="IL183" s="711"/>
      <c r="IM183" s="711"/>
      <c r="IN183" s="711"/>
      <c r="IO183" s="711"/>
      <c r="IP183" s="711"/>
      <c r="IQ183" s="711"/>
      <c r="IR183" s="711"/>
      <c r="IS183" s="711"/>
      <c r="IT183" s="711"/>
      <c r="IU183" s="711"/>
      <c r="IV183" s="711"/>
    </row>
    <row r="184" spans="1:256" ht="12.75" customHeight="1">
      <c r="A184" s="712"/>
      <c r="B184" s="718"/>
      <c r="C184" s="718"/>
      <c r="D184" s="691"/>
      <c r="E184" s="718"/>
      <c r="F184" s="718"/>
      <c r="G184" s="718"/>
      <c r="H184" s="718"/>
      <c r="I184" s="695"/>
      <c r="J184" s="718"/>
      <c r="K184" s="718"/>
      <c r="L184" s="693"/>
      <c r="M184" s="711"/>
      <c r="N184" s="711"/>
      <c r="O184" s="711"/>
      <c r="P184" s="711"/>
      <c r="Q184" s="711"/>
      <c r="R184" s="711"/>
      <c r="S184" s="711"/>
      <c r="T184" s="711"/>
      <c r="U184" s="711"/>
      <c r="V184" s="711"/>
      <c r="W184" s="711"/>
      <c r="X184" s="711"/>
      <c r="Y184" s="711"/>
      <c r="Z184" s="711"/>
      <c r="AA184" s="711"/>
      <c r="AB184" s="711"/>
      <c r="AC184" s="711"/>
      <c r="AD184" s="711"/>
      <c r="AE184" s="711"/>
      <c r="AF184" s="711"/>
      <c r="AG184" s="711"/>
      <c r="AH184" s="711"/>
      <c r="AI184" s="711"/>
      <c r="AJ184" s="711"/>
      <c r="AK184" s="711"/>
      <c r="AL184" s="711"/>
      <c r="AM184" s="711"/>
      <c r="AN184" s="711"/>
      <c r="AO184" s="711"/>
      <c r="AP184" s="711"/>
      <c r="AQ184" s="711"/>
      <c r="AR184" s="711"/>
      <c r="AS184" s="711"/>
      <c r="AT184" s="711"/>
      <c r="AU184" s="711"/>
      <c r="AV184" s="711"/>
      <c r="AW184" s="711"/>
      <c r="AX184" s="711"/>
      <c r="AY184" s="711"/>
      <c r="AZ184" s="711"/>
      <c r="BA184" s="711"/>
      <c r="BB184" s="711"/>
      <c r="BC184" s="711"/>
      <c r="BD184" s="711"/>
      <c r="BE184" s="711"/>
      <c r="BF184" s="711"/>
      <c r="BG184" s="711"/>
      <c r="BH184" s="711"/>
      <c r="BI184" s="711"/>
      <c r="BJ184" s="711"/>
      <c r="BK184" s="711"/>
      <c r="BL184" s="711"/>
      <c r="BM184" s="711"/>
      <c r="BN184" s="711"/>
      <c r="BO184" s="711"/>
      <c r="BP184" s="711"/>
      <c r="BQ184" s="711"/>
      <c r="BR184" s="711"/>
      <c r="BS184" s="711"/>
      <c r="BT184" s="711"/>
      <c r="BU184" s="711"/>
      <c r="BV184" s="711"/>
      <c r="BW184" s="711"/>
      <c r="BX184" s="711"/>
      <c r="BY184" s="711"/>
      <c r="BZ184" s="711"/>
      <c r="CA184" s="711"/>
      <c r="CB184" s="711"/>
      <c r="CC184" s="711"/>
      <c r="CD184" s="711"/>
      <c r="CE184" s="711"/>
      <c r="CF184" s="711"/>
      <c r="CG184" s="711"/>
      <c r="CH184" s="711"/>
      <c r="CI184" s="711"/>
      <c r="CJ184" s="711"/>
      <c r="CK184" s="711"/>
      <c r="CL184" s="711"/>
      <c r="CM184" s="711"/>
      <c r="CN184" s="711"/>
      <c r="CO184" s="711"/>
      <c r="CP184" s="711"/>
      <c r="CQ184" s="711"/>
      <c r="CR184" s="711"/>
      <c r="CS184" s="711"/>
      <c r="CT184" s="711"/>
      <c r="CU184" s="711"/>
      <c r="CV184" s="711"/>
      <c r="CW184" s="711"/>
      <c r="CX184" s="711"/>
      <c r="CY184" s="711"/>
      <c r="CZ184" s="711"/>
      <c r="DA184" s="711"/>
      <c r="DB184" s="711"/>
      <c r="DC184" s="711"/>
      <c r="DD184" s="711"/>
      <c r="DE184" s="711"/>
      <c r="DF184" s="711"/>
      <c r="DG184" s="711"/>
      <c r="DH184" s="711"/>
      <c r="DI184" s="711"/>
      <c r="DJ184" s="711"/>
      <c r="DK184" s="711"/>
      <c r="DL184" s="711"/>
      <c r="DM184" s="711"/>
      <c r="DN184" s="711"/>
      <c r="DO184" s="711"/>
      <c r="DP184" s="711"/>
      <c r="DQ184" s="711"/>
      <c r="DR184" s="711"/>
      <c r="DS184" s="711"/>
      <c r="DT184" s="711"/>
      <c r="DU184" s="711"/>
      <c r="DV184" s="711"/>
      <c r="DW184" s="711"/>
      <c r="DX184" s="711"/>
      <c r="DY184" s="711"/>
      <c r="DZ184" s="711"/>
      <c r="EA184" s="711"/>
      <c r="EB184" s="711"/>
      <c r="EC184" s="711"/>
      <c r="ED184" s="711"/>
      <c r="EE184" s="711"/>
      <c r="EF184" s="711"/>
      <c r="EG184" s="711"/>
      <c r="EH184" s="711"/>
      <c r="EI184" s="711"/>
      <c r="EJ184" s="711"/>
      <c r="EK184" s="711"/>
      <c r="EL184" s="711"/>
      <c r="EM184" s="711"/>
      <c r="EN184" s="711"/>
      <c r="EO184" s="711"/>
      <c r="EP184" s="711"/>
      <c r="EQ184" s="711"/>
      <c r="ER184" s="711"/>
      <c r="ES184" s="711"/>
      <c r="ET184" s="711"/>
      <c r="EU184" s="711"/>
      <c r="EV184" s="711"/>
      <c r="EW184" s="711"/>
      <c r="EX184" s="711"/>
      <c r="EY184" s="711"/>
      <c r="EZ184" s="711"/>
      <c r="FA184" s="711"/>
      <c r="FB184" s="711"/>
      <c r="FC184" s="711"/>
      <c r="FD184" s="711"/>
      <c r="FE184" s="711"/>
      <c r="FF184" s="711"/>
      <c r="FG184" s="711"/>
      <c r="FH184" s="711"/>
      <c r="FI184" s="711"/>
      <c r="FJ184" s="711"/>
      <c r="FK184" s="711"/>
      <c r="FL184" s="711"/>
      <c r="FM184" s="711"/>
      <c r="FN184" s="711"/>
      <c r="FO184" s="711"/>
      <c r="FP184" s="711"/>
      <c r="FQ184" s="711"/>
      <c r="FR184" s="711"/>
      <c r="FS184" s="711"/>
      <c r="FT184" s="711"/>
      <c r="FU184" s="711"/>
      <c r="FV184" s="711"/>
      <c r="FW184" s="711"/>
      <c r="FX184" s="711"/>
      <c r="FY184" s="711"/>
      <c r="FZ184" s="711"/>
      <c r="GA184" s="711"/>
      <c r="GB184" s="711"/>
      <c r="GC184" s="711"/>
      <c r="GD184" s="711"/>
      <c r="GE184" s="711"/>
      <c r="GF184" s="711"/>
      <c r="GG184" s="711"/>
      <c r="GH184" s="711"/>
      <c r="GI184" s="711"/>
      <c r="GJ184" s="711"/>
      <c r="GK184" s="711"/>
      <c r="GL184" s="711"/>
      <c r="GM184" s="711"/>
      <c r="GN184" s="711"/>
      <c r="GO184" s="711"/>
      <c r="GP184" s="711"/>
      <c r="GQ184" s="711"/>
      <c r="GR184" s="711"/>
      <c r="GS184" s="711"/>
      <c r="GT184" s="711"/>
      <c r="GU184" s="711"/>
      <c r="GV184" s="711"/>
      <c r="GW184" s="711"/>
      <c r="GX184" s="711"/>
      <c r="GY184" s="711"/>
      <c r="GZ184" s="711"/>
      <c r="HA184" s="711"/>
      <c r="HB184" s="711"/>
      <c r="HC184" s="711"/>
      <c r="HD184" s="711"/>
      <c r="HE184" s="711"/>
      <c r="HF184" s="711"/>
      <c r="HG184" s="711"/>
      <c r="HH184" s="711"/>
      <c r="HI184" s="711"/>
      <c r="HJ184" s="711"/>
      <c r="HK184" s="711"/>
      <c r="HL184" s="711"/>
      <c r="HM184" s="711"/>
      <c r="HN184" s="711"/>
      <c r="HO184" s="711"/>
      <c r="HP184" s="711"/>
      <c r="HQ184" s="711"/>
      <c r="HR184" s="711"/>
      <c r="HS184" s="711"/>
      <c r="HT184" s="711"/>
      <c r="HU184" s="711"/>
      <c r="HV184" s="711"/>
      <c r="HW184" s="711"/>
      <c r="HX184" s="711"/>
      <c r="HY184" s="711"/>
      <c r="HZ184" s="711"/>
      <c r="IA184" s="711"/>
      <c r="IB184" s="711"/>
      <c r="IC184" s="711"/>
      <c r="ID184" s="711"/>
      <c r="IE184" s="711"/>
      <c r="IF184" s="711"/>
      <c r="IG184" s="711"/>
      <c r="IH184" s="711"/>
      <c r="II184" s="711"/>
      <c r="IJ184" s="711"/>
      <c r="IK184" s="711"/>
      <c r="IL184" s="711"/>
      <c r="IM184" s="711"/>
      <c r="IN184" s="711"/>
      <c r="IO184" s="711"/>
      <c r="IP184" s="711"/>
      <c r="IQ184" s="711"/>
      <c r="IR184" s="711"/>
      <c r="IS184" s="711"/>
      <c r="IT184" s="711"/>
      <c r="IU184" s="711"/>
      <c r="IV184" s="711"/>
    </row>
    <row r="185" spans="1:256" ht="12.75" customHeight="1">
      <c r="A185" s="708" t="s">
        <v>345</v>
      </c>
      <c r="B185" s="718">
        <v>192.99799999999999</v>
      </c>
      <c r="C185" s="718">
        <v>152.38345860000001</v>
      </c>
      <c r="D185" s="691"/>
      <c r="E185" s="718">
        <f>B185-C185</f>
        <v>40.614541399999979</v>
      </c>
      <c r="F185" s="718">
        <v>-40.6</v>
      </c>
      <c r="G185" s="718">
        <v>0</v>
      </c>
      <c r="H185" s="718">
        <f>F185+G185</f>
        <v>-40.6</v>
      </c>
      <c r="I185" s="718">
        <f>+D185</f>
        <v>0</v>
      </c>
      <c r="J185" s="718">
        <v>0</v>
      </c>
      <c r="K185" s="718">
        <f>+I185+H185+J185</f>
        <v>-40.6</v>
      </c>
      <c r="L185" s="693"/>
      <c r="M185" s="711"/>
      <c r="N185" s="711"/>
      <c r="O185" s="711"/>
      <c r="P185" s="711"/>
      <c r="Q185" s="711"/>
      <c r="R185" s="711"/>
      <c r="S185" s="711"/>
      <c r="T185" s="711"/>
      <c r="U185" s="711"/>
      <c r="V185" s="711"/>
      <c r="W185" s="711"/>
      <c r="X185" s="711"/>
      <c r="Y185" s="711"/>
      <c r="Z185" s="711"/>
      <c r="AA185" s="711"/>
      <c r="AB185" s="711"/>
      <c r="AC185" s="711"/>
      <c r="AD185" s="711"/>
      <c r="AE185" s="711"/>
      <c r="AF185" s="711"/>
      <c r="AG185" s="711"/>
      <c r="AH185" s="711"/>
      <c r="AI185" s="711"/>
      <c r="AJ185" s="711"/>
      <c r="AK185" s="711"/>
      <c r="AL185" s="711"/>
      <c r="AM185" s="711"/>
      <c r="AN185" s="711"/>
      <c r="AO185" s="711"/>
      <c r="AP185" s="711"/>
      <c r="AQ185" s="711"/>
      <c r="AR185" s="711"/>
      <c r="AS185" s="711"/>
      <c r="AT185" s="711"/>
      <c r="AU185" s="711"/>
      <c r="AV185" s="711"/>
      <c r="AW185" s="711"/>
      <c r="AX185" s="711"/>
      <c r="AY185" s="711"/>
      <c r="AZ185" s="711"/>
      <c r="BA185" s="711"/>
      <c r="BB185" s="711"/>
      <c r="BC185" s="711"/>
      <c r="BD185" s="711"/>
      <c r="BE185" s="711"/>
      <c r="BF185" s="711"/>
      <c r="BG185" s="711"/>
      <c r="BH185" s="711"/>
      <c r="BI185" s="711"/>
      <c r="BJ185" s="711"/>
      <c r="BK185" s="711"/>
      <c r="BL185" s="711"/>
      <c r="BM185" s="711"/>
      <c r="BN185" s="711"/>
      <c r="BO185" s="711"/>
      <c r="BP185" s="711"/>
      <c r="BQ185" s="711"/>
      <c r="BR185" s="711"/>
      <c r="BS185" s="711"/>
      <c r="BT185" s="711"/>
      <c r="BU185" s="711"/>
      <c r="BV185" s="711"/>
      <c r="BW185" s="711"/>
      <c r="BX185" s="711"/>
      <c r="BY185" s="711"/>
      <c r="BZ185" s="711"/>
      <c r="CA185" s="711"/>
      <c r="CB185" s="711"/>
      <c r="CC185" s="711"/>
      <c r="CD185" s="711"/>
      <c r="CE185" s="711"/>
      <c r="CF185" s="711"/>
      <c r="CG185" s="711"/>
      <c r="CH185" s="711"/>
      <c r="CI185" s="711"/>
      <c r="CJ185" s="711"/>
      <c r="CK185" s="711"/>
      <c r="CL185" s="711"/>
      <c r="CM185" s="711"/>
      <c r="CN185" s="711"/>
      <c r="CO185" s="711"/>
      <c r="CP185" s="711"/>
      <c r="CQ185" s="711"/>
      <c r="CR185" s="711"/>
      <c r="CS185" s="711"/>
      <c r="CT185" s="711"/>
      <c r="CU185" s="711"/>
      <c r="CV185" s="711"/>
      <c r="CW185" s="711"/>
      <c r="CX185" s="711"/>
      <c r="CY185" s="711"/>
      <c r="CZ185" s="711"/>
      <c r="DA185" s="711"/>
      <c r="DB185" s="711"/>
      <c r="DC185" s="711"/>
      <c r="DD185" s="711"/>
      <c r="DE185" s="711"/>
      <c r="DF185" s="711"/>
      <c r="DG185" s="711"/>
      <c r="DH185" s="711"/>
      <c r="DI185" s="711"/>
      <c r="DJ185" s="711"/>
      <c r="DK185" s="711"/>
      <c r="DL185" s="711"/>
      <c r="DM185" s="711"/>
      <c r="DN185" s="711"/>
      <c r="DO185" s="711"/>
      <c r="DP185" s="711"/>
      <c r="DQ185" s="711"/>
      <c r="DR185" s="711"/>
      <c r="DS185" s="711"/>
      <c r="DT185" s="711"/>
      <c r="DU185" s="711"/>
      <c r="DV185" s="711"/>
      <c r="DW185" s="711"/>
      <c r="DX185" s="711"/>
      <c r="DY185" s="711"/>
      <c r="DZ185" s="711"/>
      <c r="EA185" s="711"/>
      <c r="EB185" s="711"/>
      <c r="EC185" s="711"/>
      <c r="ED185" s="711"/>
      <c r="EE185" s="711"/>
      <c r="EF185" s="711"/>
      <c r="EG185" s="711"/>
      <c r="EH185" s="711"/>
      <c r="EI185" s="711"/>
      <c r="EJ185" s="711"/>
      <c r="EK185" s="711"/>
      <c r="EL185" s="711"/>
      <c r="EM185" s="711"/>
      <c r="EN185" s="711"/>
      <c r="EO185" s="711"/>
      <c r="EP185" s="711"/>
      <c r="EQ185" s="711"/>
      <c r="ER185" s="711"/>
      <c r="ES185" s="711"/>
      <c r="ET185" s="711"/>
      <c r="EU185" s="711"/>
      <c r="EV185" s="711"/>
      <c r="EW185" s="711"/>
      <c r="EX185" s="711"/>
      <c r="EY185" s="711"/>
      <c r="EZ185" s="711"/>
      <c r="FA185" s="711"/>
      <c r="FB185" s="711"/>
      <c r="FC185" s="711"/>
      <c r="FD185" s="711"/>
      <c r="FE185" s="711"/>
      <c r="FF185" s="711"/>
      <c r="FG185" s="711"/>
      <c r="FH185" s="711"/>
      <c r="FI185" s="711"/>
      <c r="FJ185" s="711"/>
      <c r="FK185" s="711"/>
      <c r="FL185" s="711"/>
      <c r="FM185" s="711"/>
      <c r="FN185" s="711"/>
      <c r="FO185" s="711"/>
      <c r="FP185" s="711"/>
      <c r="FQ185" s="711"/>
      <c r="FR185" s="711"/>
      <c r="FS185" s="711"/>
      <c r="FT185" s="711"/>
      <c r="FU185" s="711"/>
      <c r="FV185" s="711"/>
      <c r="FW185" s="711"/>
      <c r="FX185" s="711"/>
      <c r="FY185" s="711"/>
      <c r="FZ185" s="711"/>
      <c r="GA185" s="711"/>
      <c r="GB185" s="711"/>
      <c r="GC185" s="711"/>
      <c r="GD185" s="711"/>
      <c r="GE185" s="711"/>
      <c r="GF185" s="711"/>
      <c r="GG185" s="711"/>
      <c r="GH185" s="711"/>
      <c r="GI185" s="711"/>
      <c r="GJ185" s="711"/>
      <c r="GK185" s="711"/>
      <c r="GL185" s="711"/>
      <c r="GM185" s="711"/>
      <c r="GN185" s="711"/>
      <c r="GO185" s="711"/>
      <c r="GP185" s="711"/>
      <c r="GQ185" s="711"/>
      <c r="GR185" s="711"/>
      <c r="GS185" s="711"/>
      <c r="GT185" s="711"/>
      <c r="GU185" s="711"/>
      <c r="GV185" s="711"/>
      <c r="GW185" s="711"/>
      <c r="GX185" s="711"/>
      <c r="GY185" s="711"/>
      <c r="GZ185" s="711"/>
      <c r="HA185" s="711"/>
      <c r="HB185" s="711"/>
      <c r="HC185" s="711"/>
      <c r="HD185" s="711"/>
      <c r="HE185" s="711"/>
      <c r="HF185" s="711"/>
      <c r="HG185" s="711"/>
      <c r="HH185" s="711"/>
      <c r="HI185" s="711"/>
      <c r="HJ185" s="711"/>
      <c r="HK185" s="711"/>
      <c r="HL185" s="711"/>
      <c r="HM185" s="711"/>
      <c r="HN185" s="711"/>
      <c r="HO185" s="711"/>
      <c r="HP185" s="711"/>
      <c r="HQ185" s="711"/>
      <c r="HR185" s="711"/>
      <c r="HS185" s="711"/>
      <c r="HT185" s="711"/>
      <c r="HU185" s="711"/>
      <c r="HV185" s="711"/>
      <c r="HW185" s="711"/>
      <c r="HX185" s="711"/>
      <c r="HY185" s="711"/>
      <c r="HZ185" s="711"/>
      <c r="IA185" s="711"/>
      <c r="IB185" s="711"/>
      <c r="IC185" s="711"/>
      <c r="ID185" s="711"/>
      <c r="IE185" s="711"/>
      <c r="IF185" s="711"/>
      <c r="IG185" s="711"/>
      <c r="IH185" s="711"/>
      <c r="II185" s="711"/>
      <c r="IJ185" s="711"/>
      <c r="IK185" s="711"/>
      <c r="IL185" s="711"/>
      <c r="IM185" s="711"/>
      <c r="IN185" s="711"/>
      <c r="IO185" s="711"/>
      <c r="IP185" s="711"/>
      <c r="IQ185" s="711"/>
      <c r="IR185" s="711"/>
      <c r="IS185" s="711"/>
      <c r="IT185" s="711"/>
      <c r="IU185" s="711"/>
      <c r="IV185" s="711"/>
    </row>
    <row r="186" spans="1:256" ht="12.75" customHeight="1">
      <c r="A186" s="708" t="s">
        <v>334</v>
      </c>
      <c r="B186" s="718">
        <v>233.507476</v>
      </c>
      <c r="C186" s="718">
        <v>183.10317900000001</v>
      </c>
      <c r="D186" s="691"/>
      <c r="E186" s="718">
        <f>B186-C186</f>
        <v>50.404296999999985</v>
      </c>
      <c r="F186" s="718">
        <v>-50.4</v>
      </c>
      <c r="G186" s="718">
        <v>0</v>
      </c>
      <c r="H186" s="718">
        <f>F186+G186</f>
        <v>-50.4</v>
      </c>
      <c r="I186" s="718">
        <f>+D186</f>
        <v>0</v>
      </c>
      <c r="J186" s="718">
        <v>0</v>
      </c>
      <c r="K186" s="718">
        <f>+I186+H186+J186</f>
        <v>-50.4</v>
      </c>
      <c r="L186" s="693"/>
      <c r="M186" s="711"/>
      <c r="N186" s="711"/>
      <c r="O186" s="711"/>
      <c r="P186" s="711"/>
      <c r="Q186" s="711"/>
      <c r="R186" s="711"/>
      <c r="S186" s="711"/>
      <c r="T186" s="711"/>
      <c r="U186" s="711"/>
      <c r="V186" s="711"/>
      <c r="W186" s="711"/>
      <c r="X186" s="711"/>
      <c r="Y186" s="711"/>
      <c r="Z186" s="711"/>
      <c r="AA186" s="711"/>
      <c r="AB186" s="711"/>
      <c r="AC186" s="711"/>
      <c r="AD186" s="711"/>
      <c r="AE186" s="711"/>
      <c r="AF186" s="711"/>
      <c r="AG186" s="711"/>
      <c r="AH186" s="711"/>
      <c r="AI186" s="711"/>
      <c r="AJ186" s="711"/>
      <c r="AK186" s="711"/>
      <c r="AL186" s="711"/>
      <c r="AM186" s="711"/>
      <c r="AN186" s="711"/>
      <c r="AO186" s="711"/>
      <c r="AP186" s="711"/>
      <c r="AQ186" s="711"/>
      <c r="AR186" s="711"/>
      <c r="AS186" s="711"/>
      <c r="AT186" s="711"/>
      <c r="AU186" s="711"/>
      <c r="AV186" s="711"/>
      <c r="AW186" s="711"/>
      <c r="AX186" s="711"/>
      <c r="AY186" s="711"/>
      <c r="AZ186" s="711"/>
      <c r="BA186" s="711"/>
      <c r="BB186" s="711"/>
      <c r="BC186" s="711"/>
      <c r="BD186" s="711"/>
      <c r="BE186" s="711"/>
      <c r="BF186" s="711"/>
      <c r="BG186" s="711"/>
      <c r="BH186" s="711"/>
      <c r="BI186" s="711"/>
      <c r="BJ186" s="711"/>
      <c r="BK186" s="711"/>
      <c r="BL186" s="711"/>
      <c r="BM186" s="711"/>
      <c r="BN186" s="711"/>
      <c r="BO186" s="711"/>
      <c r="BP186" s="711"/>
      <c r="BQ186" s="711"/>
      <c r="BR186" s="711"/>
      <c r="BS186" s="711"/>
      <c r="BT186" s="711"/>
      <c r="BU186" s="711"/>
      <c r="BV186" s="711"/>
      <c r="BW186" s="711"/>
      <c r="BX186" s="711"/>
      <c r="BY186" s="711"/>
      <c r="BZ186" s="711"/>
      <c r="CA186" s="711"/>
      <c r="CB186" s="711"/>
      <c r="CC186" s="711"/>
      <c r="CD186" s="711"/>
      <c r="CE186" s="711"/>
      <c r="CF186" s="711"/>
      <c r="CG186" s="711"/>
      <c r="CH186" s="711"/>
      <c r="CI186" s="711"/>
      <c r="CJ186" s="711"/>
      <c r="CK186" s="711"/>
      <c r="CL186" s="711"/>
      <c r="CM186" s="711"/>
      <c r="CN186" s="711"/>
      <c r="CO186" s="711"/>
      <c r="CP186" s="711"/>
      <c r="CQ186" s="711"/>
      <c r="CR186" s="711"/>
      <c r="CS186" s="711"/>
      <c r="CT186" s="711"/>
      <c r="CU186" s="711"/>
      <c r="CV186" s="711"/>
      <c r="CW186" s="711"/>
      <c r="CX186" s="711"/>
      <c r="CY186" s="711"/>
      <c r="CZ186" s="711"/>
      <c r="DA186" s="711"/>
      <c r="DB186" s="711"/>
      <c r="DC186" s="711"/>
      <c r="DD186" s="711"/>
      <c r="DE186" s="711"/>
      <c r="DF186" s="711"/>
      <c r="DG186" s="711"/>
      <c r="DH186" s="711"/>
      <c r="DI186" s="711"/>
      <c r="DJ186" s="711"/>
      <c r="DK186" s="711"/>
      <c r="DL186" s="711"/>
      <c r="DM186" s="711"/>
      <c r="DN186" s="711"/>
      <c r="DO186" s="711"/>
      <c r="DP186" s="711"/>
      <c r="DQ186" s="711"/>
      <c r="DR186" s="711"/>
      <c r="DS186" s="711"/>
      <c r="DT186" s="711"/>
      <c r="DU186" s="711"/>
      <c r="DV186" s="711"/>
      <c r="DW186" s="711"/>
      <c r="DX186" s="711"/>
      <c r="DY186" s="711"/>
      <c r="DZ186" s="711"/>
      <c r="EA186" s="711"/>
      <c r="EB186" s="711"/>
      <c r="EC186" s="711"/>
      <c r="ED186" s="711"/>
      <c r="EE186" s="711"/>
      <c r="EF186" s="711"/>
      <c r="EG186" s="711"/>
      <c r="EH186" s="711"/>
      <c r="EI186" s="711"/>
      <c r="EJ186" s="711"/>
      <c r="EK186" s="711"/>
      <c r="EL186" s="711"/>
      <c r="EM186" s="711"/>
      <c r="EN186" s="711"/>
      <c r="EO186" s="711"/>
      <c r="EP186" s="711"/>
      <c r="EQ186" s="711"/>
      <c r="ER186" s="711"/>
      <c r="ES186" s="711"/>
      <c r="ET186" s="711"/>
      <c r="EU186" s="711"/>
      <c r="EV186" s="711"/>
      <c r="EW186" s="711"/>
      <c r="EX186" s="711"/>
      <c r="EY186" s="711"/>
      <c r="EZ186" s="711"/>
      <c r="FA186" s="711"/>
      <c r="FB186" s="711"/>
      <c r="FC186" s="711"/>
      <c r="FD186" s="711"/>
      <c r="FE186" s="711"/>
      <c r="FF186" s="711"/>
      <c r="FG186" s="711"/>
      <c r="FH186" s="711"/>
      <c r="FI186" s="711"/>
      <c r="FJ186" s="711"/>
      <c r="FK186" s="711"/>
      <c r="FL186" s="711"/>
      <c r="FM186" s="711"/>
      <c r="FN186" s="711"/>
      <c r="FO186" s="711"/>
      <c r="FP186" s="711"/>
      <c r="FQ186" s="711"/>
      <c r="FR186" s="711"/>
      <c r="FS186" s="711"/>
      <c r="FT186" s="711"/>
      <c r="FU186" s="711"/>
      <c r="FV186" s="711"/>
      <c r="FW186" s="711"/>
      <c r="FX186" s="711"/>
      <c r="FY186" s="711"/>
      <c r="FZ186" s="711"/>
      <c r="GA186" s="711"/>
      <c r="GB186" s="711"/>
      <c r="GC186" s="711"/>
      <c r="GD186" s="711"/>
      <c r="GE186" s="711"/>
      <c r="GF186" s="711"/>
      <c r="GG186" s="711"/>
      <c r="GH186" s="711"/>
      <c r="GI186" s="711"/>
      <c r="GJ186" s="711"/>
      <c r="GK186" s="711"/>
      <c r="GL186" s="711"/>
      <c r="GM186" s="711"/>
      <c r="GN186" s="711"/>
      <c r="GO186" s="711"/>
      <c r="GP186" s="711"/>
      <c r="GQ186" s="711"/>
      <c r="GR186" s="711"/>
      <c r="GS186" s="711"/>
      <c r="GT186" s="711"/>
      <c r="GU186" s="711"/>
      <c r="GV186" s="711"/>
      <c r="GW186" s="711"/>
      <c r="GX186" s="711"/>
      <c r="GY186" s="711"/>
      <c r="GZ186" s="711"/>
      <c r="HA186" s="711"/>
      <c r="HB186" s="711"/>
      <c r="HC186" s="711"/>
      <c r="HD186" s="711"/>
      <c r="HE186" s="711"/>
      <c r="HF186" s="711"/>
      <c r="HG186" s="711"/>
      <c r="HH186" s="711"/>
      <c r="HI186" s="711"/>
      <c r="HJ186" s="711"/>
      <c r="HK186" s="711"/>
      <c r="HL186" s="711"/>
      <c r="HM186" s="711"/>
      <c r="HN186" s="711"/>
      <c r="HO186" s="711"/>
      <c r="HP186" s="711"/>
      <c r="HQ186" s="711"/>
      <c r="HR186" s="711"/>
      <c r="HS186" s="711"/>
      <c r="HT186" s="711"/>
      <c r="HU186" s="711"/>
      <c r="HV186" s="711"/>
      <c r="HW186" s="711"/>
      <c r="HX186" s="711"/>
      <c r="HY186" s="711"/>
      <c r="HZ186" s="711"/>
      <c r="IA186" s="711"/>
      <c r="IB186" s="711"/>
      <c r="IC186" s="711"/>
      <c r="ID186" s="711"/>
      <c r="IE186" s="711"/>
      <c r="IF186" s="711"/>
      <c r="IG186" s="711"/>
      <c r="IH186" s="711"/>
      <c r="II186" s="711"/>
      <c r="IJ186" s="711"/>
      <c r="IK186" s="711"/>
      <c r="IL186" s="711"/>
      <c r="IM186" s="711"/>
      <c r="IN186" s="711"/>
      <c r="IO186" s="711"/>
      <c r="IP186" s="711"/>
      <c r="IQ186" s="711"/>
      <c r="IR186" s="711"/>
      <c r="IS186" s="711"/>
      <c r="IT186" s="711"/>
      <c r="IU186" s="711"/>
      <c r="IV186" s="711"/>
    </row>
    <row r="187" spans="1:256" ht="12.75" customHeight="1">
      <c r="A187" s="708" t="s">
        <v>335</v>
      </c>
      <c r="B187" s="718"/>
      <c r="C187" s="718"/>
      <c r="D187" s="691"/>
      <c r="E187" s="718"/>
      <c r="F187" s="718"/>
      <c r="G187" s="718"/>
      <c r="H187" s="718"/>
      <c r="I187" s="719"/>
      <c r="J187" s="718"/>
      <c r="K187" s="718"/>
      <c r="L187" s="693"/>
      <c r="M187" s="711"/>
      <c r="N187" s="711"/>
      <c r="O187" s="711"/>
      <c r="P187" s="711"/>
      <c r="Q187" s="711"/>
      <c r="R187" s="711"/>
      <c r="S187" s="711"/>
      <c r="T187" s="711"/>
      <c r="U187" s="711"/>
      <c r="V187" s="711"/>
      <c r="W187" s="711"/>
      <c r="X187" s="711"/>
      <c r="Y187" s="711"/>
      <c r="Z187" s="711"/>
      <c r="AA187" s="711"/>
      <c r="AB187" s="711"/>
      <c r="AC187" s="711"/>
      <c r="AD187" s="711"/>
      <c r="AE187" s="711"/>
      <c r="AF187" s="711"/>
      <c r="AG187" s="711"/>
      <c r="AH187" s="711"/>
      <c r="AI187" s="711"/>
      <c r="AJ187" s="711"/>
      <c r="AK187" s="711"/>
      <c r="AL187" s="711"/>
      <c r="AM187" s="711"/>
      <c r="AN187" s="711"/>
      <c r="AO187" s="711"/>
      <c r="AP187" s="711"/>
      <c r="AQ187" s="711"/>
      <c r="AR187" s="711"/>
      <c r="AS187" s="711"/>
      <c r="AT187" s="711"/>
      <c r="AU187" s="711"/>
      <c r="AV187" s="711"/>
      <c r="AW187" s="711"/>
      <c r="AX187" s="711"/>
      <c r="AY187" s="711"/>
      <c r="AZ187" s="711"/>
      <c r="BA187" s="711"/>
      <c r="BB187" s="711"/>
      <c r="BC187" s="711"/>
      <c r="BD187" s="711"/>
      <c r="BE187" s="711"/>
      <c r="BF187" s="711"/>
      <c r="BG187" s="711"/>
      <c r="BH187" s="711"/>
      <c r="BI187" s="711"/>
      <c r="BJ187" s="711"/>
      <c r="BK187" s="711"/>
      <c r="BL187" s="711"/>
      <c r="BM187" s="711"/>
      <c r="BN187" s="711"/>
      <c r="BO187" s="711"/>
      <c r="BP187" s="711"/>
      <c r="BQ187" s="711"/>
      <c r="BR187" s="711"/>
      <c r="BS187" s="711"/>
      <c r="BT187" s="711"/>
      <c r="BU187" s="711"/>
      <c r="BV187" s="711"/>
      <c r="BW187" s="711"/>
      <c r="BX187" s="711"/>
      <c r="BY187" s="711"/>
      <c r="BZ187" s="711"/>
      <c r="CA187" s="711"/>
      <c r="CB187" s="711"/>
      <c r="CC187" s="711"/>
      <c r="CD187" s="711"/>
      <c r="CE187" s="711"/>
      <c r="CF187" s="711"/>
      <c r="CG187" s="711"/>
      <c r="CH187" s="711"/>
      <c r="CI187" s="711"/>
      <c r="CJ187" s="711"/>
      <c r="CK187" s="711"/>
      <c r="CL187" s="711"/>
      <c r="CM187" s="711"/>
      <c r="CN187" s="711"/>
      <c r="CO187" s="711"/>
      <c r="CP187" s="711"/>
      <c r="CQ187" s="711"/>
      <c r="CR187" s="711"/>
      <c r="CS187" s="711"/>
      <c r="CT187" s="711"/>
      <c r="CU187" s="711"/>
      <c r="CV187" s="711"/>
      <c r="CW187" s="711"/>
      <c r="CX187" s="711"/>
      <c r="CY187" s="711"/>
      <c r="CZ187" s="711"/>
      <c r="DA187" s="711"/>
      <c r="DB187" s="711"/>
      <c r="DC187" s="711"/>
      <c r="DD187" s="711"/>
      <c r="DE187" s="711"/>
      <c r="DF187" s="711"/>
      <c r="DG187" s="711"/>
      <c r="DH187" s="711"/>
      <c r="DI187" s="711"/>
      <c r="DJ187" s="711"/>
      <c r="DK187" s="711"/>
      <c r="DL187" s="711"/>
      <c r="DM187" s="711"/>
      <c r="DN187" s="711"/>
      <c r="DO187" s="711"/>
      <c r="DP187" s="711"/>
      <c r="DQ187" s="711"/>
      <c r="DR187" s="711"/>
      <c r="DS187" s="711"/>
      <c r="DT187" s="711"/>
      <c r="DU187" s="711"/>
      <c r="DV187" s="711"/>
      <c r="DW187" s="711"/>
      <c r="DX187" s="711"/>
      <c r="DY187" s="711"/>
      <c r="DZ187" s="711"/>
      <c r="EA187" s="711"/>
      <c r="EB187" s="711"/>
      <c r="EC187" s="711"/>
      <c r="ED187" s="711"/>
      <c r="EE187" s="711"/>
      <c r="EF187" s="711"/>
      <c r="EG187" s="711"/>
      <c r="EH187" s="711"/>
      <c r="EI187" s="711"/>
      <c r="EJ187" s="711"/>
      <c r="EK187" s="711"/>
      <c r="EL187" s="711"/>
      <c r="EM187" s="711"/>
      <c r="EN187" s="711"/>
      <c r="EO187" s="711"/>
      <c r="EP187" s="711"/>
      <c r="EQ187" s="711"/>
      <c r="ER187" s="711"/>
      <c r="ES187" s="711"/>
      <c r="ET187" s="711"/>
      <c r="EU187" s="711"/>
      <c r="EV187" s="711"/>
      <c r="EW187" s="711"/>
      <c r="EX187" s="711"/>
      <c r="EY187" s="711"/>
      <c r="EZ187" s="711"/>
      <c r="FA187" s="711"/>
      <c r="FB187" s="711"/>
      <c r="FC187" s="711"/>
      <c r="FD187" s="711"/>
      <c r="FE187" s="711"/>
      <c r="FF187" s="711"/>
      <c r="FG187" s="711"/>
      <c r="FH187" s="711"/>
      <c r="FI187" s="711"/>
      <c r="FJ187" s="711"/>
      <c r="FK187" s="711"/>
      <c r="FL187" s="711"/>
      <c r="FM187" s="711"/>
      <c r="FN187" s="711"/>
      <c r="FO187" s="711"/>
      <c r="FP187" s="711"/>
      <c r="FQ187" s="711"/>
      <c r="FR187" s="711"/>
      <c r="FS187" s="711"/>
      <c r="FT187" s="711"/>
      <c r="FU187" s="711"/>
      <c r="FV187" s="711"/>
      <c r="FW187" s="711"/>
      <c r="FX187" s="711"/>
      <c r="FY187" s="711"/>
      <c r="FZ187" s="711"/>
      <c r="GA187" s="711"/>
      <c r="GB187" s="711"/>
      <c r="GC187" s="711"/>
      <c r="GD187" s="711"/>
      <c r="GE187" s="711"/>
      <c r="GF187" s="711"/>
      <c r="GG187" s="711"/>
      <c r="GH187" s="711"/>
      <c r="GI187" s="711"/>
      <c r="GJ187" s="711"/>
      <c r="GK187" s="711"/>
      <c r="GL187" s="711"/>
      <c r="GM187" s="711"/>
      <c r="GN187" s="711"/>
      <c r="GO187" s="711"/>
      <c r="GP187" s="711"/>
      <c r="GQ187" s="711"/>
      <c r="GR187" s="711"/>
      <c r="GS187" s="711"/>
      <c r="GT187" s="711"/>
      <c r="GU187" s="711"/>
      <c r="GV187" s="711"/>
      <c r="GW187" s="711"/>
      <c r="GX187" s="711"/>
      <c r="GY187" s="711"/>
      <c r="GZ187" s="711"/>
      <c r="HA187" s="711"/>
      <c r="HB187" s="711"/>
      <c r="HC187" s="711"/>
      <c r="HD187" s="711"/>
      <c r="HE187" s="711"/>
      <c r="HF187" s="711"/>
      <c r="HG187" s="711"/>
      <c r="HH187" s="711"/>
      <c r="HI187" s="711"/>
      <c r="HJ187" s="711"/>
      <c r="HK187" s="711"/>
      <c r="HL187" s="711"/>
      <c r="HM187" s="711"/>
      <c r="HN187" s="711"/>
      <c r="HO187" s="711"/>
      <c r="HP187" s="711"/>
      <c r="HQ187" s="711"/>
      <c r="HR187" s="711"/>
      <c r="HS187" s="711"/>
      <c r="HT187" s="711"/>
      <c r="HU187" s="711"/>
      <c r="HV187" s="711"/>
      <c r="HW187" s="711"/>
      <c r="HX187" s="711"/>
      <c r="HY187" s="711"/>
      <c r="HZ187" s="711"/>
      <c r="IA187" s="711"/>
      <c r="IB187" s="711"/>
      <c r="IC187" s="711"/>
      <c r="ID187" s="711"/>
      <c r="IE187" s="711"/>
      <c r="IF187" s="711"/>
      <c r="IG187" s="711"/>
      <c r="IH187" s="711"/>
      <c r="II187" s="711"/>
      <c r="IJ187" s="711"/>
      <c r="IK187" s="711"/>
      <c r="IL187" s="711"/>
      <c r="IM187" s="711"/>
      <c r="IN187" s="711"/>
      <c r="IO187" s="711"/>
      <c r="IP187" s="711"/>
      <c r="IQ187" s="711"/>
      <c r="IR187" s="711"/>
      <c r="IS187" s="711"/>
      <c r="IT187" s="711"/>
      <c r="IU187" s="711"/>
      <c r="IV187" s="711"/>
    </row>
    <row r="188" spans="1:256" ht="12.75" customHeight="1" thickBot="1">
      <c r="A188" s="703"/>
      <c r="B188" s="720"/>
      <c r="C188" s="720"/>
      <c r="D188" s="721"/>
      <c r="E188" s="720"/>
      <c r="F188" s="720"/>
      <c r="G188" s="720"/>
      <c r="H188" s="720"/>
      <c r="I188" s="722"/>
      <c r="J188" s="720"/>
      <c r="K188" s="720"/>
      <c r="L188" s="693"/>
      <c r="M188" s="711"/>
      <c r="N188" s="711"/>
      <c r="O188" s="711"/>
      <c r="P188" s="711"/>
      <c r="Q188" s="711"/>
      <c r="R188" s="711"/>
      <c r="S188" s="711"/>
      <c r="T188" s="711"/>
      <c r="U188" s="711"/>
      <c r="V188" s="711"/>
      <c r="W188" s="711"/>
      <c r="X188" s="711"/>
      <c r="Y188" s="711"/>
      <c r="Z188" s="711"/>
      <c r="AA188" s="711"/>
      <c r="AB188" s="711"/>
      <c r="AC188" s="711"/>
      <c r="AD188" s="711"/>
      <c r="AE188" s="711"/>
      <c r="AF188" s="711"/>
      <c r="AG188" s="711"/>
      <c r="AH188" s="711"/>
      <c r="AI188" s="711"/>
      <c r="AJ188" s="711"/>
      <c r="AK188" s="711"/>
      <c r="AL188" s="711"/>
      <c r="AM188" s="711"/>
      <c r="AN188" s="711"/>
      <c r="AO188" s="711"/>
      <c r="AP188" s="711"/>
      <c r="AQ188" s="711"/>
      <c r="AR188" s="711"/>
      <c r="AS188" s="711"/>
      <c r="AT188" s="711"/>
      <c r="AU188" s="711"/>
      <c r="AV188" s="711"/>
      <c r="AW188" s="711"/>
      <c r="AX188" s="711"/>
      <c r="AY188" s="711"/>
      <c r="AZ188" s="711"/>
      <c r="BA188" s="711"/>
      <c r="BB188" s="711"/>
      <c r="BC188" s="711"/>
      <c r="BD188" s="711"/>
      <c r="BE188" s="711"/>
      <c r="BF188" s="711"/>
      <c r="BG188" s="711"/>
      <c r="BH188" s="711"/>
      <c r="BI188" s="711"/>
      <c r="BJ188" s="711"/>
      <c r="BK188" s="711"/>
      <c r="BL188" s="711"/>
      <c r="BM188" s="711"/>
      <c r="BN188" s="711"/>
      <c r="BO188" s="711"/>
      <c r="BP188" s="711"/>
      <c r="BQ188" s="711"/>
      <c r="BR188" s="711"/>
      <c r="BS188" s="711"/>
      <c r="BT188" s="711"/>
      <c r="BU188" s="711"/>
      <c r="BV188" s="711"/>
      <c r="BW188" s="711"/>
      <c r="BX188" s="711"/>
      <c r="BY188" s="711"/>
      <c r="BZ188" s="711"/>
      <c r="CA188" s="711"/>
      <c r="CB188" s="711"/>
      <c r="CC188" s="711"/>
      <c r="CD188" s="711"/>
      <c r="CE188" s="711"/>
      <c r="CF188" s="711"/>
      <c r="CG188" s="711"/>
      <c r="CH188" s="711"/>
      <c r="CI188" s="711"/>
      <c r="CJ188" s="711"/>
      <c r="CK188" s="711"/>
      <c r="CL188" s="711"/>
      <c r="CM188" s="711"/>
      <c r="CN188" s="711"/>
      <c r="CO188" s="711"/>
      <c r="CP188" s="711"/>
      <c r="CQ188" s="711"/>
      <c r="CR188" s="711"/>
      <c r="CS188" s="711"/>
      <c r="CT188" s="711"/>
      <c r="CU188" s="711"/>
      <c r="CV188" s="711"/>
      <c r="CW188" s="711"/>
      <c r="CX188" s="711"/>
      <c r="CY188" s="711"/>
      <c r="CZ188" s="711"/>
      <c r="DA188" s="711"/>
      <c r="DB188" s="711"/>
      <c r="DC188" s="711"/>
      <c r="DD188" s="711"/>
      <c r="DE188" s="711"/>
      <c r="DF188" s="711"/>
      <c r="DG188" s="711"/>
      <c r="DH188" s="711"/>
      <c r="DI188" s="711"/>
      <c r="DJ188" s="711"/>
      <c r="DK188" s="711"/>
      <c r="DL188" s="711"/>
      <c r="DM188" s="711"/>
      <c r="DN188" s="711"/>
      <c r="DO188" s="711"/>
      <c r="DP188" s="711"/>
      <c r="DQ188" s="711"/>
      <c r="DR188" s="711"/>
      <c r="DS188" s="711"/>
      <c r="DT188" s="711"/>
      <c r="DU188" s="711"/>
      <c r="DV188" s="711"/>
      <c r="DW188" s="711"/>
      <c r="DX188" s="711"/>
      <c r="DY188" s="711"/>
      <c r="DZ188" s="711"/>
      <c r="EA188" s="711"/>
      <c r="EB188" s="711"/>
      <c r="EC188" s="711"/>
      <c r="ED188" s="711"/>
      <c r="EE188" s="711"/>
      <c r="EF188" s="711"/>
      <c r="EG188" s="711"/>
      <c r="EH188" s="711"/>
      <c r="EI188" s="711"/>
      <c r="EJ188" s="711"/>
      <c r="EK188" s="711"/>
      <c r="EL188" s="711"/>
      <c r="EM188" s="711"/>
      <c r="EN188" s="711"/>
      <c r="EO188" s="711"/>
      <c r="EP188" s="711"/>
      <c r="EQ188" s="711"/>
      <c r="ER188" s="711"/>
      <c r="ES188" s="711"/>
      <c r="ET188" s="711"/>
      <c r="EU188" s="711"/>
      <c r="EV188" s="711"/>
      <c r="EW188" s="711"/>
      <c r="EX188" s="711"/>
      <c r="EY188" s="711"/>
      <c r="EZ188" s="711"/>
      <c r="FA188" s="711"/>
      <c r="FB188" s="711"/>
      <c r="FC188" s="711"/>
      <c r="FD188" s="711"/>
      <c r="FE188" s="711"/>
      <c r="FF188" s="711"/>
      <c r="FG188" s="711"/>
      <c r="FH188" s="711"/>
      <c r="FI188" s="711"/>
      <c r="FJ188" s="711"/>
      <c r="FK188" s="711"/>
      <c r="FL188" s="711"/>
      <c r="FM188" s="711"/>
      <c r="FN188" s="711"/>
      <c r="FO188" s="711"/>
      <c r="FP188" s="711"/>
      <c r="FQ188" s="711"/>
      <c r="FR188" s="711"/>
      <c r="FS188" s="711"/>
      <c r="FT188" s="711"/>
      <c r="FU188" s="711"/>
      <c r="FV188" s="711"/>
      <c r="FW188" s="711"/>
      <c r="FX188" s="711"/>
      <c r="FY188" s="711"/>
      <c r="FZ188" s="711"/>
      <c r="GA188" s="711"/>
      <c r="GB188" s="711"/>
      <c r="GC188" s="711"/>
      <c r="GD188" s="711"/>
      <c r="GE188" s="711"/>
      <c r="GF188" s="711"/>
      <c r="GG188" s="711"/>
      <c r="GH188" s="711"/>
      <c r="GI188" s="711"/>
      <c r="GJ188" s="711"/>
      <c r="GK188" s="711"/>
      <c r="GL188" s="711"/>
      <c r="GM188" s="711"/>
      <c r="GN188" s="711"/>
      <c r="GO188" s="711"/>
      <c r="GP188" s="711"/>
      <c r="GQ188" s="711"/>
      <c r="GR188" s="711"/>
      <c r="GS188" s="711"/>
      <c r="GT188" s="711"/>
      <c r="GU188" s="711"/>
      <c r="GV188" s="711"/>
      <c r="GW188" s="711"/>
      <c r="GX188" s="711"/>
      <c r="GY188" s="711"/>
      <c r="GZ188" s="711"/>
      <c r="HA188" s="711"/>
      <c r="HB188" s="711"/>
      <c r="HC188" s="711"/>
      <c r="HD188" s="711"/>
      <c r="HE188" s="711"/>
      <c r="HF188" s="711"/>
      <c r="HG188" s="711"/>
      <c r="HH188" s="711"/>
      <c r="HI188" s="711"/>
      <c r="HJ188" s="711"/>
      <c r="HK188" s="711"/>
      <c r="HL188" s="711"/>
      <c r="HM188" s="711"/>
      <c r="HN188" s="711"/>
      <c r="HO188" s="711"/>
      <c r="HP188" s="711"/>
      <c r="HQ188" s="711"/>
      <c r="HR188" s="711"/>
      <c r="HS188" s="711"/>
      <c r="HT188" s="711"/>
      <c r="HU188" s="711"/>
      <c r="HV188" s="711"/>
      <c r="HW188" s="711"/>
      <c r="HX188" s="711"/>
      <c r="HY188" s="711"/>
      <c r="HZ188" s="711"/>
      <c r="IA188" s="711"/>
      <c r="IB188" s="711"/>
      <c r="IC188" s="711"/>
      <c r="ID188" s="711"/>
      <c r="IE188" s="711"/>
      <c r="IF188" s="711"/>
      <c r="IG188" s="711"/>
      <c r="IH188" s="711"/>
      <c r="II188" s="711"/>
      <c r="IJ188" s="711"/>
      <c r="IK188" s="711"/>
      <c r="IL188" s="711"/>
      <c r="IM188" s="711"/>
      <c r="IN188" s="711"/>
      <c r="IO188" s="711"/>
      <c r="IP188" s="711"/>
      <c r="IQ188" s="711"/>
      <c r="IR188" s="711"/>
      <c r="IS188" s="711"/>
      <c r="IT188" s="711"/>
      <c r="IU188" s="711"/>
      <c r="IV188" s="711"/>
    </row>
    <row r="189" spans="1:256" ht="12.75" customHeight="1" thickTop="1">
      <c r="A189" s="688"/>
      <c r="B189" s="688"/>
      <c r="C189" s="688"/>
      <c r="D189" s="688"/>
      <c r="E189" s="688"/>
      <c r="F189" s="688"/>
      <c r="G189" s="688"/>
      <c r="H189" s="688"/>
      <c r="I189" s="688"/>
      <c r="J189" s="688"/>
      <c r="K189" s="688"/>
      <c r="L189" s="688"/>
    </row>
    <row r="190" spans="1:256" ht="12.75" customHeight="1">
      <c r="A190" s="688" t="s">
        <v>215</v>
      </c>
      <c r="B190" s="723"/>
      <c r="C190" s="723"/>
      <c r="D190" s="723"/>
      <c r="E190" s="723"/>
      <c r="F190" s="688"/>
      <c r="G190" s="688"/>
      <c r="H190" s="688"/>
      <c r="I190" s="688"/>
      <c r="J190" s="688"/>
      <c r="K190" s="688"/>
      <c r="L190" s="688"/>
    </row>
    <row r="191" spans="1:256" ht="12.75" customHeight="1">
      <c r="A191" s="688"/>
      <c r="B191" s="688"/>
      <c r="C191" s="688"/>
      <c r="D191" s="688"/>
      <c r="E191" s="688"/>
      <c r="F191" s="688"/>
      <c r="G191" s="688"/>
      <c r="H191" s="688"/>
      <c r="I191" s="723"/>
      <c r="J191" s="688"/>
      <c r="K191" s="688"/>
      <c r="L191" s="688"/>
    </row>
    <row r="192" spans="1:256" ht="12.75" hidden="1" customHeight="1">
      <c r="A192" s="688" t="s">
        <v>216</v>
      </c>
      <c r="B192" s="688"/>
      <c r="C192" s="688"/>
      <c r="D192" s="688"/>
      <c r="E192" s="688"/>
      <c r="F192" s="688"/>
      <c r="G192" s="688"/>
      <c r="H192" s="688"/>
      <c r="I192" s="688"/>
      <c r="J192" s="688"/>
      <c r="K192" s="688"/>
      <c r="L192" s="688"/>
    </row>
    <row r="193" spans="1:12" ht="12.75" hidden="1" customHeight="1">
      <c r="A193" s="688" t="s">
        <v>218</v>
      </c>
      <c r="B193" s="688"/>
      <c r="C193" s="688"/>
      <c r="D193" s="688"/>
      <c r="E193" s="688"/>
      <c r="F193" s="688"/>
      <c r="G193" s="688"/>
      <c r="H193" s="688"/>
      <c r="I193" s="688"/>
      <c r="J193" s="688"/>
      <c r="K193" s="688"/>
      <c r="L193" s="688"/>
    </row>
    <row r="194" spans="1:12" ht="12.75" hidden="1" customHeight="1">
      <c r="A194" s="688" t="s">
        <v>219</v>
      </c>
      <c r="B194" s="688"/>
      <c r="C194" s="688"/>
      <c r="D194" s="688"/>
      <c r="E194" s="688"/>
      <c r="F194" s="688"/>
      <c r="G194" s="688"/>
      <c r="H194" s="688"/>
      <c r="I194" s="688"/>
      <c r="J194" s="688"/>
      <c r="K194" s="688"/>
      <c r="L194" s="688"/>
    </row>
    <row r="195" spans="1:12" ht="12.75" customHeight="1">
      <c r="A195" s="688" t="s">
        <v>736</v>
      </c>
      <c r="B195" s="688"/>
      <c r="C195" s="688"/>
      <c r="D195" s="688"/>
      <c r="E195" s="688"/>
      <c r="F195" s="688"/>
      <c r="G195" s="688"/>
      <c r="H195" s="688"/>
      <c r="I195" s="688"/>
      <c r="J195" s="688"/>
      <c r="K195" s="688"/>
      <c r="L195" s="688"/>
    </row>
    <row r="196" spans="1:12" ht="12.75" customHeight="1">
      <c r="A196" s="688" t="s">
        <v>1195</v>
      </c>
      <c r="B196" s="688"/>
      <c r="C196" s="688"/>
      <c r="D196" s="688"/>
      <c r="E196" s="688"/>
      <c r="F196" s="688"/>
      <c r="G196" s="688"/>
      <c r="H196" s="688"/>
      <c r="I196" s="688"/>
      <c r="J196" s="688"/>
      <c r="K196" s="688"/>
      <c r="L196" s="688"/>
    </row>
    <row r="197" spans="1:12" ht="12.75" customHeight="1">
      <c r="A197" s="688" t="s">
        <v>737</v>
      </c>
      <c r="B197" s="688"/>
      <c r="C197" s="688"/>
      <c r="D197" s="688"/>
      <c r="E197" s="688"/>
      <c r="F197" s="688"/>
      <c r="G197" s="688"/>
      <c r="H197" s="688"/>
      <c r="I197" s="688"/>
      <c r="J197" s="688"/>
      <c r="K197" s="688"/>
      <c r="L197" s="688"/>
    </row>
    <row r="198" spans="1:12" ht="12.9" customHeight="1">
      <c r="A198" s="688"/>
      <c r="B198" s="688"/>
      <c r="C198" s="688"/>
      <c r="D198" s="688"/>
      <c r="E198" s="688"/>
      <c r="F198" s="688"/>
      <c r="G198" s="688"/>
      <c r="H198" s="688"/>
      <c r="I198" s="688"/>
      <c r="J198" s="688"/>
      <c r="K198" s="688"/>
      <c r="L198" s="688"/>
    </row>
    <row r="199" spans="1:12">
      <c r="A199" s="688"/>
      <c r="B199" s="688"/>
      <c r="C199" s="688"/>
      <c r="D199" s="688"/>
      <c r="E199" s="688"/>
      <c r="F199" s="688"/>
      <c r="G199" s="688"/>
      <c r="H199" s="688"/>
      <c r="I199" s="688"/>
      <c r="J199" s="688"/>
      <c r="K199" s="688"/>
      <c r="L199" s="688"/>
    </row>
    <row r="200" spans="1:12">
      <c r="A200" s="688"/>
      <c r="B200" s="688"/>
      <c r="C200" s="688"/>
      <c r="D200" s="688"/>
      <c r="E200" s="688"/>
      <c r="F200" s="688"/>
      <c r="G200" s="688"/>
      <c r="H200" s="688"/>
      <c r="I200" s="688"/>
      <c r="J200" s="688"/>
      <c r="K200" s="688"/>
      <c r="L200" s="688"/>
    </row>
    <row r="201" spans="1:12">
      <c r="A201" s="688"/>
      <c r="B201" s="688"/>
      <c r="C201" s="688"/>
      <c r="D201" s="688"/>
      <c r="E201" s="688"/>
      <c r="F201" s="688"/>
      <c r="G201" s="688"/>
      <c r="H201" s="688"/>
      <c r="I201" s="688"/>
      <c r="J201" s="688"/>
      <c r="K201" s="688"/>
      <c r="L201" s="688"/>
    </row>
    <row r="202" spans="1:12">
      <c r="A202" s="688"/>
      <c r="B202" s="688"/>
      <c r="C202" s="688"/>
      <c r="D202" s="688"/>
      <c r="E202" s="688"/>
      <c r="F202" s="688"/>
      <c r="G202" s="688"/>
      <c r="H202" s="688"/>
      <c r="I202" s="688"/>
      <c r="J202" s="688"/>
      <c r="K202" s="688"/>
      <c r="L202" s="688"/>
    </row>
    <row r="203" spans="1:12">
      <c r="A203" s="688"/>
      <c r="B203" s="688"/>
      <c r="C203" s="688"/>
      <c r="D203" s="688"/>
      <c r="E203" s="688"/>
      <c r="F203" s="688"/>
      <c r="G203" s="688"/>
      <c r="H203" s="688"/>
      <c r="I203" s="688"/>
      <c r="J203" s="688"/>
      <c r="K203" s="688"/>
      <c r="L203" s="688"/>
    </row>
    <row r="204" spans="1:12">
      <c r="A204" s="688"/>
      <c r="B204" s="688"/>
      <c r="C204" s="688"/>
      <c r="D204" s="688"/>
      <c r="E204" s="688"/>
      <c r="F204" s="688"/>
      <c r="G204" s="688"/>
      <c r="H204" s="688"/>
      <c r="I204" s="688"/>
      <c r="J204" s="688"/>
      <c r="K204" s="688"/>
      <c r="L204" s="688"/>
    </row>
    <row r="205" spans="1:12">
      <c r="A205" s="688"/>
      <c r="B205" s="688">
        <v>1000000</v>
      </c>
      <c r="C205" s="688"/>
      <c r="D205" s="688"/>
      <c r="E205" s="688"/>
      <c r="F205" s="688"/>
      <c r="G205" s="688"/>
      <c r="H205" s="688"/>
      <c r="I205" s="688"/>
      <c r="J205" s="688"/>
      <c r="K205" s="688"/>
      <c r="L205" s="688"/>
    </row>
    <row r="206" spans="1:12">
      <c r="A206" s="688"/>
      <c r="B206" s="688"/>
      <c r="C206" s="688"/>
      <c r="D206" s="688"/>
      <c r="E206" s="688"/>
      <c r="F206" s="688"/>
      <c r="G206" s="688"/>
      <c r="H206" s="688"/>
      <c r="I206" s="688"/>
      <c r="J206" s="688"/>
      <c r="K206" s="688"/>
      <c r="L206" s="688"/>
    </row>
    <row r="208" spans="1:12">
      <c r="B208" s="680">
        <v>100505524.40000001</v>
      </c>
    </row>
    <row r="209" spans="2:2">
      <c r="B209" s="680">
        <v>473063.7</v>
      </c>
    </row>
    <row r="210" spans="2:2">
      <c r="B210" s="680">
        <v>11947592.699999999</v>
      </c>
    </row>
    <row r="211" spans="2:2">
      <c r="B211" s="724">
        <v>94821849.299999997</v>
      </c>
    </row>
    <row r="212" spans="2:2">
      <c r="B212" s="680">
        <v>-6736981.2999999998</v>
      </c>
    </row>
    <row r="213" spans="2:2">
      <c r="B213" s="680">
        <v>1894917.8</v>
      </c>
    </row>
    <row r="214" spans="2:2">
      <c r="B214" s="680">
        <f>+B211+B212+B213+B209+B210</f>
        <v>102400442.2</v>
      </c>
    </row>
    <row r="317" spans="8:9">
      <c r="H317" s="680">
        <f>4920100299/1000</f>
        <v>4920100.2989999996</v>
      </c>
      <c r="I317" s="680">
        <v>725</v>
      </c>
    </row>
    <row r="318" spans="8:9">
      <c r="H318" s="680">
        <f>4698281252/1000</f>
        <v>4698281.2520000003</v>
      </c>
      <c r="I318" s="680">
        <v>20</v>
      </c>
    </row>
    <row r="319" spans="8:9">
      <c r="H319" s="680">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28" t="s">
        <v>1740</v>
      </c>
      <c r="D2" s="1928"/>
      <c r="E2" s="1928"/>
      <c r="F2" s="1928"/>
      <c r="G2" s="1928"/>
      <c r="H2" s="1928"/>
      <c r="I2" s="1928"/>
    </row>
    <row r="3" spans="3:9" ht="15.75" customHeight="1" thickBot="1">
      <c r="C3" s="1929" t="s">
        <v>1786</v>
      </c>
      <c r="D3" s="1930"/>
      <c r="E3" s="1930"/>
      <c r="F3" s="1930"/>
      <c r="G3" s="1930"/>
      <c r="H3" s="1930"/>
      <c r="I3" s="1930"/>
    </row>
    <row r="4" spans="3:9" ht="51"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399999999999999" hidden="1" thickTop="1">
      <c r="C27" s="1597" t="s">
        <v>336</v>
      </c>
      <c r="D27" s="1605">
        <v>183.63</v>
      </c>
      <c r="E27" s="1605">
        <v>28.12</v>
      </c>
      <c r="F27" s="1605">
        <v>1184.8499999999999</v>
      </c>
      <c r="G27" s="1605">
        <v>974.37</v>
      </c>
      <c r="H27" s="1605">
        <v>13298.04</v>
      </c>
      <c r="I27" s="1605">
        <v>29.23</v>
      </c>
    </row>
    <row r="28" spans="3:9" ht="17.399999999999999" hidden="1" thickTop="1">
      <c r="C28" s="1597" t="s">
        <v>337</v>
      </c>
      <c r="D28" s="1605">
        <v>215.2</v>
      </c>
      <c r="E28" s="1605">
        <v>37.090000000000003</v>
      </c>
      <c r="F28" s="1605">
        <v>954.18</v>
      </c>
      <c r="G28" s="1605">
        <v>793.43</v>
      </c>
      <c r="H28" s="1605">
        <v>12146.9</v>
      </c>
      <c r="I28" s="1605">
        <v>38.68</v>
      </c>
    </row>
    <row r="29" spans="3:9" ht="17.399999999999999" hidden="1" thickTop="1">
      <c r="C29" s="1597" t="s">
        <v>338</v>
      </c>
      <c r="D29" s="1605">
        <v>193.58</v>
      </c>
      <c r="E29" s="1605">
        <v>32.979999999999997</v>
      </c>
      <c r="F29" s="1605">
        <v>1164.73</v>
      </c>
      <c r="G29" s="1605">
        <v>966.45</v>
      </c>
      <c r="H29" s="1605">
        <v>14163.56</v>
      </c>
      <c r="I29" s="1605">
        <v>34.25</v>
      </c>
    </row>
    <row r="30" spans="3:9" ht="17.399999999999999" hidden="1" thickTop="1">
      <c r="C30" s="1597" t="s">
        <v>339</v>
      </c>
      <c r="D30" s="1605">
        <v>199.59</v>
      </c>
      <c r="E30" s="1605">
        <v>34.340000000000003</v>
      </c>
      <c r="F30" s="1605">
        <v>1272.9100000000001</v>
      </c>
      <c r="G30" s="1605">
        <v>1038.44</v>
      </c>
      <c r="H30" s="1605">
        <v>15370.63</v>
      </c>
      <c r="I30" s="1605">
        <v>37.68</v>
      </c>
    </row>
    <row r="31" spans="3:9" ht="17.399999999999999" hidden="1" thickTop="1">
      <c r="C31" s="1597" t="s">
        <v>340</v>
      </c>
      <c r="D31" s="1605">
        <v>170.86</v>
      </c>
      <c r="E31" s="1605">
        <v>27.25</v>
      </c>
      <c r="F31" s="1605">
        <v>1300.3499999999999</v>
      </c>
      <c r="G31" s="1605">
        <v>1122.4100000000001</v>
      </c>
      <c r="H31" s="1605">
        <v>16268.07</v>
      </c>
      <c r="I31" s="1605">
        <v>33.840000000000003</v>
      </c>
    </row>
    <row r="32" spans="3:9" ht="17.399999999999999" hidden="1" thickTop="1">
      <c r="C32" s="1597" t="s">
        <v>341</v>
      </c>
      <c r="D32" s="1605">
        <v>197.88</v>
      </c>
      <c r="E32" s="1605">
        <v>30.39</v>
      </c>
      <c r="F32" s="1605">
        <v>1158.8399999999999</v>
      </c>
      <c r="G32" s="1605">
        <v>1057.48</v>
      </c>
      <c r="H32" s="1605">
        <v>15991.79</v>
      </c>
      <c r="I32" s="1605">
        <v>39.35</v>
      </c>
    </row>
    <row r="33" spans="3:9" ht="17.399999999999999" hidden="1" thickTop="1">
      <c r="C33" s="1597" t="s">
        <v>342</v>
      </c>
      <c r="D33" s="1609">
        <v>200.32</v>
      </c>
      <c r="E33" s="1609">
        <v>34.58</v>
      </c>
      <c r="F33" s="1609">
        <v>1193.3800000000001</v>
      </c>
      <c r="G33" s="1609">
        <v>1086.1600000000001</v>
      </c>
      <c r="H33" s="1609">
        <v>17527.400000000001</v>
      </c>
      <c r="I33" s="1609">
        <v>40.96</v>
      </c>
    </row>
    <row r="34" spans="3:9" ht="17.399999999999999" hidden="1" thickTop="1">
      <c r="C34" s="1597" t="s">
        <v>343</v>
      </c>
      <c r="D34" s="1609">
        <v>171.446</v>
      </c>
      <c r="E34" s="1609">
        <v>27.66</v>
      </c>
      <c r="F34" s="1609">
        <v>1143.69</v>
      </c>
      <c r="G34" s="1609">
        <v>1077.296</v>
      </c>
      <c r="H34" s="1609">
        <v>17876.307000000001</v>
      </c>
      <c r="I34" s="1609">
        <v>42.009</v>
      </c>
    </row>
    <row r="35" spans="3:9" ht="17.399999999999999" hidden="1" thickTop="1">
      <c r="C35" s="1597" t="s">
        <v>344</v>
      </c>
      <c r="D35" s="1605">
        <v>189.83</v>
      </c>
      <c r="E35" s="1605">
        <v>27.49</v>
      </c>
      <c r="F35" s="1605">
        <v>1161.5899999999999</v>
      </c>
      <c r="G35" s="1605">
        <v>1162.71</v>
      </c>
      <c r="H35" s="1605">
        <v>19347.91</v>
      </c>
      <c r="I35" s="1605">
        <v>40.49</v>
      </c>
    </row>
    <row r="36" spans="3:9" ht="17.399999999999999"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399999999999999" hidden="1" thickTop="1">
      <c r="C38" s="1596">
        <v>2015</v>
      </c>
      <c r="D38" s="1605"/>
      <c r="E38" s="1605"/>
      <c r="F38" s="1605"/>
      <c r="G38" s="1605"/>
      <c r="H38" s="1605"/>
      <c r="I38" s="1605"/>
    </row>
    <row r="39" spans="3:9" ht="17.399999999999999" hidden="1" thickTop="1">
      <c r="C39" s="1597" t="s">
        <v>345</v>
      </c>
      <c r="D39" s="1611">
        <v>170.77</v>
      </c>
      <c r="E39" s="1611">
        <v>29.55</v>
      </c>
      <c r="F39" s="1616">
        <v>1174.0899999999999</v>
      </c>
      <c r="G39" s="1616">
        <v>1124.49</v>
      </c>
      <c r="H39" s="1616">
        <v>16903.259999999998</v>
      </c>
      <c r="I39" s="1611">
        <v>37.6</v>
      </c>
    </row>
    <row r="40" spans="3:9" ht="17.399999999999999" hidden="1" thickTop="1">
      <c r="C40" s="1597" t="s">
        <v>334</v>
      </c>
      <c r="D40" s="1611">
        <v>172.25</v>
      </c>
      <c r="E40" s="1611">
        <v>32.229999999999997</v>
      </c>
      <c r="F40" s="1616">
        <v>1140.94</v>
      </c>
      <c r="G40" s="1616">
        <v>1027.8800000000001</v>
      </c>
      <c r="H40" s="1616">
        <v>16160.42</v>
      </c>
      <c r="I40" s="1611">
        <v>39.94</v>
      </c>
    </row>
    <row r="41" spans="3:9" ht="17.399999999999999" hidden="1" thickTop="1">
      <c r="C41" s="1597" t="s">
        <v>335</v>
      </c>
      <c r="D41" s="1611">
        <v>191.637</v>
      </c>
      <c r="E41" s="1611">
        <v>30.332000000000001</v>
      </c>
      <c r="F41" s="1616">
        <v>1183.6379999999999</v>
      </c>
      <c r="G41" s="1616">
        <v>1110.1690000000001</v>
      </c>
      <c r="H41" s="1616">
        <v>18211.888999999999</v>
      </c>
      <c r="I41" s="1611">
        <v>44.484000000000002</v>
      </c>
    </row>
    <row r="42" spans="3:9" ht="17.399999999999999" hidden="1" thickTop="1">
      <c r="C42" s="1597" t="s">
        <v>336</v>
      </c>
      <c r="D42" s="1611">
        <v>180.34</v>
      </c>
      <c r="E42" s="1611">
        <v>26.98</v>
      </c>
      <c r="F42" s="1616">
        <v>1151.25</v>
      </c>
      <c r="G42" s="1616">
        <v>1107.52</v>
      </c>
      <c r="H42" s="1616">
        <v>17269.689999999999</v>
      </c>
      <c r="I42" s="1611">
        <v>43.55</v>
      </c>
    </row>
    <row r="43" spans="3:9" ht="17.399999999999999" hidden="1" thickTop="1">
      <c r="C43" s="1597" t="s">
        <v>337</v>
      </c>
      <c r="D43" s="1611">
        <v>179.76</v>
      </c>
      <c r="E43" s="1611">
        <v>27.38</v>
      </c>
      <c r="F43" s="1616">
        <v>1052.4960000000001</v>
      </c>
      <c r="G43" s="1616">
        <v>1123.7650000000001</v>
      </c>
      <c r="H43" s="1616">
        <v>18684.617999999999</v>
      </c>
      <c r="I43" s="1611">
        <v>43.219000000000001</v>
      </c>
    </row>
    <row r="44" spans="3:9" ht="17.399999999999999" hidden="1" thickTop="1">
      <c r="C44" s="1597" t="s">
        <v>338</v>
      </c>
      <c r="D44" s="1611">
        <v>196.41</v>
      </c>
      <c r="E44" s="1611">
        <v>31.85</v>
      </c>
      <c r="F44" s="1616">
        <v>1121.24</v>
      </c>
      <c r="G44" s="1616">
        <v>1038.18</v>
      </c>
      <c r="H44" s="1616">
        <v>17478.240000000002</v>
      </c>
      <c r="I44" s="1611">
        <v>47.17</v>
      </c>
    </row>
    <row r="45" spans="3:9" ht="17.399999999999999" hidden="1" thickTop="1">
      <c r="C45" s="1597" t="s">
        <v>339</v>
      </c>
      <c r="D45" s="1611">
        <v>199.1</v>
      </c>
      <c r="E45" s="1611">
        <v>34</v>
      </c>
      <c r="F45" s="1616">
        <v>1288.23</v>
      </c>
      <c r="G45" s="1616">
        <v>1167.43</v>
      </c>
      <c r="H45" s="1616">
        <v>18670.439999999999</v>
      </c>
      <c r="I45" s="1611">
        <v>49.36</v>
      </c>
    </row>
    <row r="46" spans="3:9" ht="17.399999999999999" hidden="1" thickTop="1">
      <c r="C46" s="1597" t="s">
        <v>340</v>
      </c>
      <c r="D46" s="1611">
        <v>153.13</v>
      </c>
      <c r="E46" s="1611">
        <v>28.05</v>
      </c>
      <c r="F46" s="1616">
        <v>1373.48</v>
      </c>
      <c r="G46" s="1616">
        <v>1122.22</v>
      </c>
      <c r="H46" s="1616">
        <v>19750.59</v>
      </c>
      <c r="I46" s="1611">
        <v>46.52</v>
      </c>
    </row>
    <row r="47" spans="3:9" ht="17.399999999999999" hidden="1" thickTop="1">
      <c r="C47" s="1597" t="s">
        <v>341</v>
      </c>
      <c r="D47" s="1612">
        <v>164.309</v>
      </c>
      <c r="E47" s="1612">
        <v>31.146999999999998</v>
      </c>
      <c r="F47" s="1616">
        <v>1196.8720000000001</v>
      </c>
      <c r="G47" s="1616">
        <v>1103.9059999999999</v>
      </c>
      <c r="H47" s="1616">
        <v>19133.21</v>
      </c>
      <c r="I47" s="1612">
        <v>50.401000000000003</v>
      </c>
    </row>
    <row r="48" spans="3:9" ht="17.399999999999999" hidden="1" thickTop="1">
      <c r="C48" s="1597" t="s">
        <v>342</v>
      </c>
      <c r="D48" s="1612">
        <v>156.428</v>
      </c>
      <c r="E48" s="1612">
        <v>30.774999999999999</v>
      </c>
      <c r="F48" s="1616">
        <v>1295.03</v>
      </c>
      <c r="G48" s="1616">
        <v>1152.83</v>
      </c>
      <c r="H48" s="1616">
        <v>22166.446</v>
      </c>
      <c r="I48" s="1612">
        <v>54.045999999999999</v>
      </c>
    </row>
    <row r="49" spans="3:9" ht="17.399999999999999" hidden="1" thickTop="1">
      <c r="C49" s="1597" t="s">
        <v>343</v>
      </c>
      <c r="D49" s="1612">
        <v>143.44</v>
      </c>
      <c r="E49" s="1612">
        <v>32.19</v>
      </c>
      <c r="F49" s="1616">
        <v>1206.1600000000001</v>
      </c>
      <c r="G49" s="1616">
        <v>1151.3399999999999</v>
      </c>
      <c r="H49" s="1616">
        <v>21390.18</v>
      </c>
      <c r="I49" s="1612">
        <v>51.34</v>
      </c>
    </row>
    <row r="50" spans="3:9" ht="17.399999999999999"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399999999999999" hidden="1" thickTop="1">
      <c r="C52" s="1595"/>
      <c r="D52" s="1614"/>
      <c r="E52" s="1614"/>
      <c r="F52" s="1614"/>
      <c r="G52" s="1614"/>
      <c r="H52" s="1614"/>
      <c r="I52" s="1614"/>
    </row>
    <row r="53" spans="3:9" ht="17.399999999999999"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399999999999999"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399999999999999" hidden="1" thickTop="1">
      <c r="C57" s="1597" t="s">
        <v>336</v>
      </c>
      <c r="D57" s="1611">
        <v>161.72999999999999</v>
      </c>
      <c r="E57" s="1611">
        <v>24.974</v>
      </c>
      <c r="F57" s="1611">
        <v>1962.6380000000001</v>
      </c>
      <c r="G57" s="1611">
        <v>841.33500000000004</v>
      </c>
      <c r="H57" s="1616">
        <v>21086.574000000001</v>
      </c>
      <c r="I57" s="1611">
        <v>59.853000000000002</v>
      </c>
    </row>
    <row r="58" spans="3:9" ht="17.399999999999999" hidden="1" thickTop="1">
      <c r="C58" s="1597" t="s">
        <v>337</v>
      </c>
      <c r="D58" s="1611">
        <v>199.256</v>
      </c>
      <c r="E58" s="1611">
        <v>29.113</v>
      </c>
      <c r="F58" s="1611">
        <v>2779.9029999999998</v>
      </c>
      <c r="G58" s="1611">
        <v>675.84500000000003</v>
      </c>
      <c r="H58" s="1616">
        <v>23292.988000000001</v>
      </c>
      <c r="I58" s="1611">
        <v>83.153999999999996</v>
      </c>
    </row>
    <row r="59" spans="3:9" ht="17.399999999999999" hidden="1" thickTop="1">
      <c r="C59" s="1597" t="s">
        <v>338</v>
      </c>
      <c r="D59" s="1611">
        <v>268.19200000000001</v>
      </c>
      <c r="E59" s="1611">
        <v>33.5</v>
      </c>
      <c r="F59" s="1611">
        <v>3203.8</v>
      </c>
      <c r="G59" s="1611">
        <v>741.94</v>
      </c>
      <c r="H59" s="1616">
        <v>23321.170999999998</v>
      </c>
      <c r="I59" s="1611">
        <v>87.956999999999994</v>
      </c>
    </row>
    <row r="60" spans="3:9" ht="17.399999999999999" hidden="1" thickTop="1">
      <c r="C60" s="1597" t="s">
        <v>339</v>
      </c>
      <c r="D60" s="1611">
        <v>242.37</v>
      </c>
      <c r="E60" s="1611">
        <v>31.076000000000001</v>
      </c>
      <c r="F60" s="1611">
        <v>3946.3380000000002</v>
      </c>
      <c r="G60" s="1611">
        <v>1052.838</v>
      </c>
      <c r="H60" s="1616">
        <v>24538.833999999999</v>
      </c>
      <c r="I60" s="1611">
        <v>102.748</v>
      </c>
    </row>
    <row r="61" spans="3:9" ht="17.399999999999999" hidden="1" thickTop="1">
      <c r="C61" s="1597" t="s">
        <v>340</v>
      </c>
      <c r="D61" s="1611">
        <v>253.93799999999999</v>
      </c>
      <c r="E61" s="1611">
        <v>27.768000000000001</v>
      </c>
      <c r="F61" s="1611">
        <v>4038.12</v>
      </c>
      <c r="G61" s="1611">
        <v>1156.3800000000001</v>
      </c>
      <c r="H61" s="1616">
        <v>26009.647000000001</v>
      </c>
      <c r="I61" s="1611">
        <v>109.489</v>
      </c>
    </row>
    <row r="62" spans="3:9" ht="17.399999999999999" hidden="1" thickTop="1">
      <c r="C62" s="1597" t="s">
        <v>341</v>
      </c>
      <c r="D62" s="1611">
        <v>288.5</v>
      </c>
      <c r="E62" s="1611">
        <v>32.5</v>
      </c>
      <c r="F62" s="1611">
        <v>4421.9089999999997</v>
      </c>
      <c r="G62" s="1611">
        <v>1188.528</v>
      </c>
      <c r="H62" s="1616">
        <v>27300</v>
      </c>
      <c r="I62" s="1611">
        <v>100</v>
      </c>
    </row>
    <row r="63" spans="3:9" ht="17.399999999999999" hidden="1" thickTop="1">
      <c r="C63" s="1597" t="s">
        <v>342</v>
      </c>
      <c r="D63" s="1611">
        <v>295.99900000000002</v>
      </c>
      <c r="E63" s="1611">
        <v>29.187000000000001</v>
      </c>
      <c r="F63" s="1611">
        <v>6247.3940000000002</v>
      </c>
      <c r="G63" s="1611">
        <v>1106.3579999999999</v>
      </c>
      <c r="H63" s="1616">
        <v>29801.734</v>
      </c>
      <c r="I63" s="1611">
        <v>117.896</v>
      </c>
    </row>
    <row r="64" spans="3:9" ht="17.399999999999999" hidden="1" thickTop="1">
      <c r="C64" s="1597" t="s">
        <v>343</v>
      </c>
      <c r="D64" s="1611">
        <v>353</v>
      </c>
      <c r="E64" s="1611">
        <v>30.6</v>
      </c>
      <c r="F64" s="1611">
        <v>8691.2000000000007</v>
      </c>
      <c r="G64" s="1611" t="s">
        <v>1350</v>
      </c>
      <c r="H64" s="1616">
        <v>28542.1</v>
      </c>
      <c r="I64" s="1611">
        <v>128.80000000000001</v>
      </c>
    </row>
    <row r="65" spans="3:9" ht="17.399999999999999"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8">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8">
      <c r="C76" s="1597" t="s">
        <v>340</v>
      </c>
      <c r="D76" s="1616">
        <v>541.52</v>
      </c>
      <c r="E76" s="1611">
        <v>26.64</v>
      </c>
      <c r="F76" s="1616">
        <v>20302.995999999999</v>
      </c>
      <c r="G76" s="1616">
        <v>595.61400000000003</v>
      </c>
      <c r="H76" s="1616">
        <v>70771.557000000001</v>
      </c>
      <c r="I76" s="1616">
        <v>419.07</v>
      </c>
    </row>
    <row r="77" spans="3:9" ht="16.8">
      <c r="C77" s="1597" t="s">
        <v>341</v>
      </c>
      <c r="D77" s="1616">
        <v>620</v>
      </c>
      <c r="E77" s="1611">
        <v>27.17</v>
      </c>
      <c r="F77" s="1616">
        <v>20731</v>
      </c>
      <c r="G77" s="1616">
        <v>478</v>
      </c>
      <c r="H77" s="1616">
        <v>83303</v>
      </c>
      <c r="I77" s="1616">
        <v>432</v>
      </c>
    </row>
    <row r="78" spans="3:9" ht="16.8">
      <c r="C78" s="1597" t="s">
        <v>342</v>
      </c>
      <c r="D78" s="1616">
        <v>609.63599999999997</v>
      </c>
      <c r="E78" s="1611">
        <v>27.247</v>
      </c>
      <c r="F78" s="1616">
        <v>23764.643</v>
      </c>
      <c r="G78" s="1616">
        <v>475.07100000000003</v>
      </c>
      <c r="H78" s="1616">
        <v>92540.576000000001</v>
      </c>
      <c r="I78" s="1616">
        <v>478.88799999999998</v>
      </c>
    </row>
    <row r="79" spans="3:9" ht="16.8">
      <c r="C79" s="1597" t="s">
        <v>343</v>
      </c>
      <c r="D79" s="1616">
        <v>575.26900000000001</v>
      </c>
      <c r="E79" s="1611">
        <v>25.638999999999999</v>
      </c>
      <c r="F79" s="1616">
        <v>22748.641</v>
      </c>
      <c r="G79" s="1616">
        <v>347.33100000000002</v>
      </c>
      <c r="H79" s="1616">
        <v>97945.160999999993</v>
      </c>
      <c r="I79" s="1616">
        <v>472.98200000000003</v>
      </c>
    </row>
    <row r="80" spans="3:9" ht="17.399999999999999" thickBot="1">
      <c r="C80" s="1597" t="s">
        <v>344</v>
      </c>
      <c r="D80" s="1616">
        <v>524.20399999999995</v>
      </c>
      <c r="E80" s="1611">
        <v>19.193999999999999</v>
      </c>
      <c r="F80" s="1616">
        <v>26779.106</v>
      </c>
      <c r="G80" s="1616">
        <v>347.21300000000002</v>
      </c>
      <c r="H80" s="1616">
        <v>118198.935</v>
      </c>
      <c r="I80" s="1616">
        <v>524.80700000000002</v>
      </c>
    </row>
    <row r="81" spans="3:15" ht="17.399999999999999" thickBot="1">
      <c r="C81" s="1601" t="s">
        <v>1150</v>
      </c>
      <c r="D81" s="1617">
        <f t="shared" ref="D81:I81" si="3">SUM(D69:D80)</f>
        <v>5903.4430000000011</v>
      </c>
      <c r="E81" s="1323">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8">
      <c r="C83" s="1596">
        <v>2018</v>
      </c>
      <c r="D83" s="1616"/>
      <c r="E83" s="1611"/>
      <c r="F83" s="1616"/>
      <c r="G83" s="1616"/>
      <c r="H83" s="1616"/>
      <c r="I83" s="1611"/>
    </row>
    <row r="84" spans="3:15" ht="16.8">
      <c r="C84" s="1597" t="s">
        <v>345</v>
      </c>
      <c r="D84" s="1616">
        <v>548.125</v>
      </c>
      <c r="E84" s="1611">
        <v>22.728000000000002</v>
      </c>
      <c r="F84" s="1616">
        <v>20981.214</v>
      </c>
      <c r="G84" s="1616">
        <v>449.6</v>
      </c>
      <c r="H84" s="1616">
        <v>100593.9</v>
      </c>
      <c r="I84" s="1616">
        <v>501.8</v>
      </c>
    </row>
    <row r="85" spans="3:15" ht="16.8">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4"/>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3">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6" thickTop="1">
      <c r="C108" s="1082"/>
      <c r="D108" s="1496"/>
      <c r="E108" s="1496"/>
      <c r="F108" s="1496"/>
      <c r="G108" s="1496"/>
      <c r="H108" s="1496"/>
      <c r="I108" s="1496"/>
    </row>
    <row r="109" spans="3:10" ht="16.8">
      <c r="C109" s="1421" t="s">
        <v>1775</v>
      </c>
      <c r="D109" s="1216"/>
      <c r="E109" s="1216"/>
      <c r="F109" s="1216"/>
      <c r="G109" s="1216"/>
      <c r="H109" s="1216"/>
      <c r="I109" s="1216"/>
      <c r="J109" s="924"/>
    </row>
    <row r="110" spans="3:10">
      <c r="C110" s="924"/>
      <c r="D110" s="924"/>
      <c r="E110" s="924"/>
      <c r="F110" s="924"/>
      <c r="G110" s="924"/>
      <c r="H110" s="924"/>
      <c r="I110" s="924"/>
      <c r="J110" s="924"/>
    </row>
    <row r="111" spans="3:10">
      <c r="C111" s="924"/>
      <c r="D111" s="924"/>
      <c r="E111" s="924"/>
      <c r="F111" s="924"/>
      <c r="G111" s="924"/>
      <c r="H111" s="924"/>
      <c r="I111" s="924"/>
      <c r="J111" s="924"/>
    </row>
    <row r="112" spans="3:10">
      <c r="D112" s="924"/>
      <c r="E112" s="924"/>
      <c r="F112" s="924"/>
      <c r="G112" s="924"/>
      <c r="H112" s="1209"/>
      <c r="I112" s="924"/>
      <c r="J112" s="924"/>
    </row>
    <row r="113" spans="6:10">
      <c r="I113" s="924"/>
      <c r="J113" s="924"/>
    </row>
    <row r="114" spans="6:10">
      <c r="I114" s="924"/>
      <c r="J114" s="924"/>
    </row>
    <row r="115" spans="6:10">
      <c r="F115" s="924"/>
      <c r="I115" s="924"/>
      <c r="J115" s="924"/>
    </row>
    <row r="116" spans="6:10">
      <c r="I116" s="924"/>
      <c r="J116" s="924"/>
    </row>
    <row r="117" spans="6:10">
      <c r="I117" s="924"/>
      <c r="J117" s="924"/>
    </row>
    <row r="118" spans="6:10">
      <c r="I118" s="924"/>
      <c r="J118" s="924"/>
    </row>
    <row r="119" spans="6:10">
      <c r="I119" s="924"/>
      <c r="J119" s="924"/>
    </row>
    <row r="120" spans="6:10">
      <c r="I120" s="924"/>
      <c r="J120" s="924"/>
    </row>
    <row r="121" spans="6:10">
      <c r="I121" s="924"/>
      <c r="J121" s="924"/>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31" t="s">
        <v>1741</v>
      </c>
      <c r="C1" s="1931"/>
      <c r="D1" s="1931"/>
      <c r="E1" s="1931"/>
      <c r="F1" s="1931"/>
      <c r="G1" s="1021"/>
    </row>
    <row r="2" spans="2:7">
      <c r="B2" s="1932" t="s">
        <v>1359</v>
      </c>
      <c r="C2" s="1932"/>
      <c r="D2" s="1932"/>
      <c r="E2" s="1932"/>
      <c r="F2" s="1932"/>
    </row>
    <row r="3" spans="2:7" ht="15.6" thickBot="1">
      <c r="B3" s="3"/>
      <c r="C3" s="3"/>
      <c r="D3" s="3"/>
      <c r="E3" s="3"/>
      <c r="F3" s="3"/>
    </row>
    <row r="4" spans="2:7" ht="16.2" thickBot="1">
      <c r="B4" s="1584" t="s">
        <v>263</v>
      </c>
      <c r="C4" s="1022" t="s">
        <v>1745</v>
      </c>
      <c r="D4" s="1023" t="s">
        <v>1746</v>
      </c>
      <c r="E4" s="1022" t="s">
        <v>1747</v>
      </c>
      <c r="F4" s="1023" t="s">
        <v>1748</v>
      </c>
    </row>
    <row r="5" spans="2:7" ht="18">
      <c r="B5" s="1585"/>
      <c r="C5" s="1024"/>
      <c r="D5" s="1025"/>
      <c r="E5" s="1024"/>
      <c r="F5" s="1025"/>
    </row>
    <row r="6" spans="2:7" ht="15.6" hidden="1">
      <c r="B6" s="1579">
        <v>2016</v>
      </c>
      <c r="C6" s="1026"/>
      <c r="D6" s="1027"/>
      <c r="E6" s="1026"/>
      <c r="F6" s="1027"/>
    </row>
    <row r="7" spans="2:7" ht="15.6" hidden="1">
      <c r="B7" s="1586" t="s">
        <v>345</v>
      </c>
      <c r="C7" s="1347">
        <v>249.17781189999999</v>
      </c>
      <c r="D7" s="1589">
        <v>395.34554888999998</v>
      </c>
      <c r="E7" s="1347">
        <f>+D7+C7</f>
        <v>644.52336078999997</v>
      </c>
      <c r="F7" s="1349">
        <f>+C7-D7</f>
        <v>-146.16773698999998</v>
      </c>
    </row>
    <row r="8" spans="2:7" ht="15.6" hidden="1">
      <c r="B8" s="1586" t="s">
        <v>334</v>
      </c>
      <c r="C8" s="1347">
        <v>209.55185183</v>
      </c>
      <c r="D8" s="1589">
        <v>427.72780231000002</v>
      </c>
      <c r="E8" s="1347">
        <f t="shared" ref="E8:E18" si="0">+D8+C8</f>
        <v>637.27965414000005</v>
      </c>
      <c r="F8" s="1349">
        <f t="shared" ref="F8:F18" si="1">+C8-D8</f>
        <v>-218.17595048000001</v>
      </c>
    </row>
    <row r="9" spans="2:7" ht="15.6" hidden="1">
      <c r="B9" s="1586" t="s">
        <v>335</v>
      </c>
      <c r="C9" s="1347">
        <v>166.49663235</v>
      </c>
      <c r="D9" s="1589">
        <v>478.05701492600002</v>
      </c>
      <c r="E9" s="1347">
        <f t="shared" si="0"/>
        <v>644.55364727599999</v>
      </c>
      <c r="F9" s="1349">
        <f t="shared" si="1"/>
        <v>-311.56038257600005</v>
      </c>
    </row>
    <row r="10" spans="2:7" ht="15.6" hidden="1">
      <c r="B10" s="1586" t="s">
        <v>336</v>
      </c>
      <c r="C10" s="1347">
        <v>157.82985009000001</v>
      </c>
      <c r="D10" s="1589">
        <v>356.48083895499997</v>
      </c>
      <c r="E10" s="1347">
        <f t="shared" si="0"/>
        <v>514.310689045</v>
      </c>
      <c r="F10" s="1349">
        <f t="shared" si="1"/>
        <v>-198.65098886499996</v>
      </c>
    </row>
    <row r="11" spans="2:7" ht="15.6" hidden="1">
      <c r="B11" s="1586" t="s">
        <v>337</v>
      </c>
      <c r="C11" s="1347">
        <v>165.20101191999998</v>
      </c>
      <c r="D11" s="1589">
        <v>408.48907707000001</v>
      </c>
      <c r="E11" s="1347">
        <f t="shared" si="0"/>
        <v>573.69008899000005</v>
      </c>
      <c r="F11" s="1349">
        <f t="shared" si="1"/>
        <v>-243.28806515000002</v>
      </c>
    </row>
    <row r="12" spans="2:7" ht="15.6" hidden="1">
      <c r="B12" s="1586" t="s">
        <v>338</v>
      </c>
      <c r="C12" s="1347">
        <v>176.20607389</v>
      </c>
      <c r="D12" s="1589">
        <v>429.408273753</v>
      </c>
      <c r="E12" s="1347">
        <f t="shared" si="0"/>
        <v>605.61434764299997</v>
      </c>
      <c r="F12" s="1349">
        <f t="shared" si="1"/>
        <v>-253.202199863</v>
      </c>
    </row>
    <row r="13" spans="2:7" ht="15.6" hidden="1">
      <c r="B13" s="1586" t="s">
        <v>339</v>
      </c>
      <c r="C13" s="1347">
        <v>184.20575156999999</v>
      </c>
      <c r="D13" s="1589">
        <v>394.22839668</v>
      </c>
      <c r="E13" s="1347">
        <f t="shared" si="0"/>
        <v>578.43414825000002</v>
      </c>
      <c r="F13" s="1349">
        <f t="shared" si="1"/>
        <v>-210.02264511000001</v>
      </c>
    </row>
    <row r="14" spans="2:7" ht="15.6" hidden="1">
      <c r="B14" s="1586" t="s">
        <v>340</v>
      </c>
      <c r="C14" s="1347">
        <v>202.13691759</v>
      </c>
      <c r="D14" s="1589">
        <v>445.02606943000001</v>
      </c>
      <c r="E14" s="1347">
        <f t="shared" si="0"/>
        <v>647.16298701999995</v>
      </c>
      <c r="F14" s="1349">
        <f t="shared" si="1"/>
        <v>-242.88915184000001</v>
      </c>
    </row>
    <row r="15" spans="2:7" ht="15.6" hidden="1">
      <c r="B15" s="1586" t="s">
        <v>341</v>
      </c>
      <c r="C15" s="1347">
        <v>250.41591206000001</v>
      </c>
      <c r="D15" s="1589">
        <v>443.88834850000001</v>
      </c>
      <c r="E15" s="1347">
        <f>+D15+C15</f>
        <v>694.30426055999999</v>
      </c>
      <c r="F15" s="1349">
        <f t="shared" si="1"/>
        <v>-193.47243644</v>
      </c>
    </row>
    <row r="16" spans="2:7" ht="15.6" hidden="1">
      <c r="B16" s="1586" t="s">
        <v>342</v>
      </c>
      <c r="C16" s="1347">
        <v>318.45319076999999</v>
      </c>
      <c r="D16" s="1589">
        <v>468.06434322799998</v>
      </c>
      <c r="E16" s="1347">
        <f t="shared" si="0"/>
        <v>786.51753399799998</v>
      </c>
      <c r="F16" s="1349">
        <f>+C16-D16</f>
        <v>-149.61115245799999</v>
      </c>
    </row>
    <row r="17" spans="2:6" ht="15.6" hidden="1">
      <c r="B17" s="1586" t="s">
        <v>343</v>
      </c>
      <c r="C17" s="1347">
        <v>460.72757288999998</v>
      </c>
      <c r="D17" s="1589">
        <v>475.33286603899995</v>
      </c>
      <c r="E17" s="1347">
        <f t="shared" si="0"/>
        <v>936.06043892899993</v>
      </c>
      <c r="F17" s="1349">
        <f>+C17-D17</f>
        <v>-14.605293148999976</v>
      </c>
    </row>
    <row r="18" spans="2:6" ht="15.6" hidden="1">
      <c r="B18" s="1586" t="s">
        <v>344</v>
      </c>
      <c r="C18" s="1347">
        <v>291.87076279000001</v>
      </c>
      <c r="D18" s="1589">
        <v>489.36610879599999</v>
      </c>
      <c r="E18" s="1347">
        <f t="shared" si="0"/>
        <v>781.23687158600001</v>
      </c>
      <c r="F18" s="1349">
        <f t="shared" si="1"/>
        <v>-197.49534600599998</v>
      </c>
    </row>
    <row r="19" spans="2:6" ht="16.2" hidden="1" thickBot="1">
      <c r="B19" s="1587" t="s">
        <v>37</v>
      </c>
      <c r="C19" s="1350">
        <f>SUM(C7:C18)</f>
        <v>2832.2733396499998</v>
      </c>
      <c r="D19" s="1590">
        <f>SUM(D7:D18)</f>
        <v>5211.4146885769997</v>
      </c>
      <c r="E19" s="1350">
        <f>SUM(E7:E18)</f>
        <v>8043.6880282270004</v>
      </c>
      <c r="F19" s="1351">
        <f>SUM(F7:F18)</f>
        <v>-2379.1413489269999</v>
      </c>
    </row>
    <row r="20" spans="2:6" ht="15.6" hidden="1">
      <c r="B20" s="1586"/>
      <c r="C20" s="1347"/>
      <c r="D20" s="1589"/>
      <c r="E20" s="1347"/>
      <c r="F20" s="1349"/>
    </row>
    <row r="21" spans="2:6" ht="15.6">
      <c r="B21" s="1579">
        <v>2017</v>
      </c>
      <c r="C21" s="1347"/>
      <c r="D21" s="1589"/>
      <c r="E21" s="1347"/>
      <c r="F21" s="1352"/>
    </row>
    <row r="22" spans="2:6" ht="15.6">
      <c r="B22" s="1588" t="s">
        <v>345</v>
      </c>
      <c r="C22" s="1348">
        <v>291.97086805555557</v>
      </c>
      <c r="D22" s="1349">
        <v>385</v>
      </c>
      <c r="E22" s="1347">
        <f t="shared" ref="E22:E33" si="2">+D22+C22</f>
        <v>676.97086805555557</v>
      </c>
      <c r="F22" s="1349">
        <f t="shared" ref="F22:F33" si="3">+C22-D22</f>
        <v>-93.02913194444443</v>
      </c>
    </row>
    <row r="23" spans="2:6" ht="15.75" customHeight="1">
      <c r="B23" s="1588" t="s">
        <v>334</v>
      </c>
      <c r="C23" s="1348">
        <v>290.34151516000003</v>
      </c>
      <c r="D23" s="1349">
        <v>424.4</v>
      </c>
      <c r="E23" s="1347">
        <f t="shared" si="2"/>
        <v>714.74151516000006</v>
      </c>
      <c r="F23" s="1349">
        <f t="shared" si="3"/>
        <v>-134.05848483999995</v>
      </c>
    </row>
    <row r="24" spans="2:6" ht="15.6">
      <c r="B24" s="1588" t="s">
        <v>335</v>
      </c>
      <c r="C24" s="1348">
        <v>265.66932163999996</v>
      </c>
      <c r="D24" s="1349">
        <v>461.8</v>
      </c>
      <c r="E24" s="1347">
        <f t="shared" si="2"/>
        <v>727.46932163999998</v>
      </c>
      <c r="F24" s="1349">
        <f t="shared" si="3"/>
        <v>-196.13067836000005</v>
      </c>
    </row>
    <row r="25" spans="2:6" ht="15.6">
      <c r="B25" s="1588" t="s">
        <v>336</v>
      </c>
      <c r="C25" s="1348">
        <v>225.5758256</v>
      </c>
      <c r="D25" s="1349">
        <v>405.5</v>
      </c>
      <c r="E25" s="1347">
        <f t="shared" si="2"/>
        <v>631.07582560000003</v>
      </c>
      <c r="F25" s="1349">
        <f t="shared" si="3"/>
        <v>-179.9241744</v>
      </c>
    </row>
    <row r="26" spans="2:6" ht="15.6">
      <c r="B26" s="1588" t="s">
        <v>337</v>
      </c>
      <c r="C26" s="1348">
        <v>268.61010532</v>
      </c>
      <c r="D26" s="1349">
        <v>465.6</v>
      </c>
      <c r="E26" s="1347">
        <f t="shared" si="2"/>
        <v>734.21010532000003</v>
      </c>
      <c r="F26" s="1349">
        <f t="shared" si="3"/>
        <v>-196.98989468000002</v>
      </c>
    </row>
    <row r="27" spans="2:6" ht="15.6">
      <c r="B27" s="1588" t="s">
        <v>338</v>
      </c>
      <c r="C27" s="1348">
        <v>264.49658079</v>
      </c>
      <c r="D27" s="1349">
        <v>495.1</v>
      </c>
      <c r="E27" s="1347">
        <f t="shared" si="2"/>
        <v>759.59658078999996</v>
      </c>
      <c r="F27" s="1349">
        <f t="shared" si="3"/>
        <v>-230.60341921000003</v>
      </c>
    </row>
    <row r="28" spans="2:6" ht="15.6">
      <c r="B28" s="1588" t="s">
        <v>339</v>
      </c>
      <c r="C28" s="1348">
        <v>261.94287888000002</v>
      </c>
      <c r="D28" s="1349">
        <v>481.9</v>
      </c>
      <c r="E28" s="1347">
        <f t="shared" si="2"/>
        <v>743.84287887999994</v>
      </c>
      <c r="F28" s="1349">
        <f t="shared" si="3"/>
        <v>-219.95712111999995</v>
      </c>
    </row>
    <row r="29" spans="2:6" ht="15.6">
      <c r="B29" s="1588" t="s">
        <v>340</v>
      </c>
      <c r="C29" s="1353">
        <v>356.42626541999999</v>
      </c>
      <c r="D29" s="1349">
        <v>448.2</v>
      </c>
      <c r="E29" s="1347">
        <f t="shared" si="2"/>
        <v>804.62626541999998</v>
      </c>
      <c r="F29" s="1349">
        <f t="shared" si="3"/>
        <v>-91.773734579999996</v>
      </c>
    </row>
    <row r="30" spans="2:6" ht="15.6">
      <c r="B30" s="1588" t="s">
        <v>341</v>
      </c>
      <c r="C30" s="1353">
        <v>324.80602639</v>
      </c>
      <c r="D30" s="1349">
        <v>440</v>
      </c>
      <c r="E30" s="1347">
        <f t="shared" si="2"/>
        <v>764.80602638999994</v>
      </c>
      <c r="F30" s="1349">
        <f t="shared" si="3"/>
        <v>-115.19397361</v>
      </c>
    </row>
    <row r="31" spans="2:6" ht="15.6">
      <c r="B31" s="1588" t="s">
        <v>342</v>
      </c>
      <c r="C31" s="1348">
        <v>352.796718795</v>
      </c>
      <c r="D31" s="1349">
        <v>460.8</v>
      </c>
      <c r="E31" s="1347">
        <f t="shared" si="2"/>
        <v>813.59671879500002</v>
      </c>
      <c r="F31" s="1349">
        <f t="shared" si="3"/>
        <v>-108.00328120500001</v>
      </c>
    </row>
    <row r="32" spans="2:6" ht="15.6">
      <c r="B32" s="1588" t="s">
        <v>343</v>
      </c>
      <c r="C32" s="1348">
        <v>577.74575894000009</v>
      </c>
      <c r="D32" s="1349">
        <v>493.7</v>
      </c>
      <c r="E32" s="1347">
        <f t="shared" si="2"/>
        <v>1071.4457589400001</v>
      </c>
      <c r="F32" s="1349">
        <f t="shared" si="3"/>
        <v>84.045758940000098</v>
      </c>
    </row>
    <row r="33" spans="2:12" ht="16.2" thickBot="1">
      <c r="B33" s="1588" t="s">
        <v>344</v>
      </c>
      <c r="C33" s="1348">
        <v>299.8</v>
      </c>
      <c r="D33" s="1349">
        <v>556.29999999999995</v>
      </c>
      <c r="E33" s="1347">
        <f t="shared" si="2"/>
        <v>856.09999999999991</v>
      </c>
      <c r="F33" s="1349">
        <f t="shared" si="3"/>
        <v>-256.49999999999994</v>
      </c>
    </row>
    <row r="34" spans="2:12" ht="16.2" thickBot="1">
      <c r="B34" s="1584" t="s">
        <v>37</v>
      </c>
      <c r="C34" s="1350">
        <f>SUM(C22:C33)</f>
        <v>3780.1818649905558</v>
      </c>
      <c r="D34" s="1354">
        <f>SUM(D22:D33)</f>
        <v>5518.3</v>
      </c>
      <c r="E34" s="1351">
        <f>SUM(E22:E33)</f>
        <v>9298.4818649905556</v>
      </c>
      <c r="F34" s="1354">
        <f>SUM(F22:F33)</f>
        <v>-1738.1181350094446</v>
      </c>
    </row>
    <row r="35" spans="2:12" ht="15.6">
      <c r="B35" s="1588"/>
      <c r="C35" s="1348"/>
      <c r="D35" s="1349"/>
      <c r="E35" s="1347"/>
      <c r="F35" s="1347"/>
    </row>
    <row r="36" spans="2:12" ht="15.6">
      <c r="B36" s="1579">
        <v>2018</v>
      </c>
      <c r="C36" s="1348"/>
      <c r="D36" s="1349"/>
      <c r="E36" s="1347"/>
      <c r="F36" s="1347"/>
    </row>
    <row r="37" spans="2:12" ht="15.6">
      <c r="B37" s="1588" t="s">
        <v>345</v>
      </c>
      <c r="C37" s="1348">
        <v>251.2</v>
      </c>
      <c r="D37" s="1349">
        <v>489.66879999999998</v>
      </c>
      <c r="E37" s="1347">
        <f>+D37+C37</f>
        <v>740.86879999999996</v>
      </c>
      <c r="F37" s="1349">
        <f>+C37-D37</f>
        <v>-238.46879999999999</v>
      </c>
      <c r="H37" s="924"/>
      <c r="I37" s="924"/>
      <c r="J37" s="924"/>
      <c r="K37" s="924"/>
      <c r="L37" s="924"/>
    </row>
    <row r="38" spans="2:12" ht="15.6">
      <c r="B38" s="1588" t="s">
        <v>334</v>
      </c>
      <c r="C38" s="1348">
        <v>346.31799999999998</v>
      </c>
      <c r="D38" s="1349">
        <v>574.87800000000004</v>
      </c>
      <c r="E38" s="1347">
        <f>+D38+C38</f>
        <v>921.19600000000003</v>
      </c>
      <c r="F38" s="1349">
        <f>+C38-D38</f>
        <v>-228.56000000000006</v>
      </c>
      <c r="H38" s="924"/>
      <c r="I38" s="924"/>
      <c r="J38" s="924"/>
      <c r="K38" s="924"/>
      <c r="L38" s="924"/>
    </row>
    <row r="39" spans="2:12" ht="15.6">
      <c r="B39" s="1588" t="s">
        <v>335</v>
      </c>
      <c r="C39" s="1348">
        <v>288.55189999999999</v>
      </c>
      <c r="D39" s="1349">
        <v>605.77980000000002</v>
      </c>
      <c r="E39" s="1347">
        <f>+D39+C39</f>
        <v>894.33169999999996</v>
      </c>
      <c r="F39" s="1349">
        <f>+C39-D39</f>
        <v>-317.22790000000003</v>
      </c>
    </row>
    <row r="40" spans="2:12" ht="15.6">
      <c r="B40" s="1588" t="s">
        <v>336</v>
      </c>
      <c r="C40" s="1348">
        <v>329.61900000000003</v>
      </c>
      <c r="D40" s="1349">
        <v>544.09220000000005</v>
      </c>
      <c r="E40" s="1347">
        <f>+D40+C40</f>
        <v>873.71120000000008</v>
      </c>
      <c r="F40" s="1349">
        <f>+C40-D40</f>
        <v>-214.47320000000002</v>
      </c>
      <c r="H40" s="1355"/>
    </row>
    <row r="41" spans="2:12" ht="15.6">
      <c r="B41" s="1588" t="s">
        <v>337</v>
      </c>
      <c r="C41" s="1348">
        <v>267.18040000000002</v>
      </c>
      <c r="D41" s="1349">
        <v>532.38810000000001</v>
      </c>
      <c r="E41" s="1347">
        <f t="shared" ref="E41:E46" si="4">+D41+C41</f>
        <v>799.56850000000009</v>
      </c>
      <c r="F41" s="1349">
        <f t="shared" ref="F41:F46" si="5">+C41-D41</f>
        <v>-265.20769999999999</v>
      </c>
      <c r="H41" s="924"/>
    </row>
    <row r="42" spans="2:12" ht="15.6">
      <c r="B42" s="1588" t="s">
        <v>338</v>
      </c>
      <c r="C42" s="1348">
        <v>384.63938619999999</v>
      </c>
      <c r="D42" s="1349">
        <v>614.64811345999999</v>
      </c>
      <c r="E42" s="1347">
        <f t="shared" si="4"/>
        <v>999.28749965999998</v>
      </c>
      <c r="F42" s="1349">
        <f t="shared" si="5"/>
        <v>-230.00872726</v>
      </c>
      <c r="H42" s="924"/>
    </row>
    <row r="43" spans="2:12" ht="15.6">
      <c r="B43" s="1588" t="s">
        <v>339</v>
      </c>
      <c r="C43" s="1348">
        <v>340.26918572000005</v>
      </c>
      <c r="D43" s="1349">
        <v>560.01585276000003</v>
      </c>
      <c r="E43" s="1347">
        <f t="shared" si="4"/>
        <v>900.28503848000014</v>
      </c>
      <c r="F43" s="1349">
        <f t="shared" si="5"/>
        <v>-219.74666703999998</v>
      </c>
      <c r="H43" s="924"/>
    </row>
    <row r="44" spans="2:12" ht="15.6">
      <c r="B44" s="1588" t="s">
        <v>340</v>
      </c>
      <c r="C44" s="1348">
        <v>449.34836155199997</v>
      </c>
      <c r="D44" s="1349">
        <v>576.53875034999999</v>
      </c>
      <c r="E44" s="1347">
        <f t="shared" si="4"/>
        <v>1025.887111902</v>
      </c>
      <c r="F44" s="1349">
        <f t="shared" si="5"/>
        <v>-127.19038879800001</v>
      </c>
      <c r="H44" s="924"/>
    </row>
    <row r="45" spans="2:12" ht="15.6">
      <c r="B45" s="1588" t="s">
        <v>341</v>
      </c>
      <c r="C45" s="1348">
        <v>353.40230932999998</v>
      </c>
      <c r="D45" s="1349">
        <v>577.13114929000005</v>
      </c>
      <c r="E45" s="1347">
        <f t="shared" si="4"/>
        <v>930.53345862000003</v>
      </c>
      <c r="F45" s="1349">
        <f t="shared" si="5"/>
        <v>-223.72883996000007</v>
      </c>
      <c r="H45" s="924"/>
    </row>
    <row r="46" spans="2:12" ht="15.6">
      <c r="B46" s="1588" t="s">
        <v>342</v>
      </c>
      <c r="C46" s="1348">
        <v>448.6</v>
      </c>
      <c r="D46" s="1589">
        <v>592.29999999999995</v>
      </c>
      <c r="E46" s="1348">
        <f t="shared" si="4"/>
        <v>1040.9000000000001</v>
      </c>
      <c r="F46" s="1348">
        <f t="shared" si="5"/>
        <v>-143.69999999999993</v>
      </c>
      <c r="H46" s="924"/>
    </row>
    <row r="47" spans="2:12" ht="15.6">
      <c r="B47" s="1588" t="s">
        <v>343</v>
      </c>
      <c r="C47" s="1348">
        <v>471.7</v>
      </c>
      <c r="D47" s="1589">
        <v>628.70000000000005</v>
      </c>
      <c r="E47" s="1348">
        <f>+D47+C47</f>
        <v>1100.4000000000001</v>
      </c>
      <c r="F47" s="1348">
        <f>+C47-D47</f>
        <v>-157.00000000000006</v>
      </c>
      <c r="H47" s="924"/>
    </row>
    <row r="48" spans="2:12" ht="16.2" thickBot="1">
      <c r="B48" s="1588" t="s">
        <v>344</v>
      </c>
      <c r="C48" s="1348">
        <v>364.8</v>
      </c>
      <c r="D48" s="1589">
        <v>494.7</v>
      </c>
      <c r="E48" s="1348">
        <f>+D48+C48</f>
        <v>859.5</v>
      </c>
      <c r="F48" s="1348">
        <f>+C48-D48</f>
        <v>-129.89999999999998</v>
      </c>
      <c r="H48" s="924"/>
    </row>
    <row r="49" spans="2:8" ht="16.2" thickBot="1">
      <c r="B49" s="1584" t="s">
        <v>37</v>
      </c>
      <c r="C49" s="1350">
        <f>SUM(C37:C48)</f>
        <v>4295.6285428019992</v>
      </c>
      <c r="D49" s="1354">
        <f>SUM(D37:D48)</f>
        <v>6790.8407658600008</v>
      </c>
      <c r="E49" s="1351">
        <f>SUM(E37:E48)</f>
        <v>11086.469308662001</v>
      </c>
      <c r="F49" s="1354">
        <f>SUM(F37:F48)</f>
        <v>-2495.2122230579998</v>
      </c>
      <c r="H49" s="924"/>
    </row>
    <row r="50" spans="2:8" ht="15.6">
      <c r="B50" s="1588"/>
      <c r="C50" s="1348"/>
      <c r="D50" s="1589"/>
      <c r="E50" s="1348"/>
      <c r="F50" s="1348"/>
      <c r="H50" s="924"/>
    </row>
    <row r="51" spans="2:8" ht="15.6">
      <c r="B51" s="1579">
        <v>2019</v>
      </c>
      <c r="C51" s="1348"/>
      <c r="D51" s="1589"/>
      <c r="E51" s="1348"/>
      <c r="F51" s="1348"/>
      <c r="H51" s="924"/>
    </row>
    <row r="52" spans="2:8" ht="15.6">
      <c r="B52" s="1579" t="s">
        <v>345</v>
      </c>
      <c r="C52" s="1348">
        <v>292.60000000000002</v>
      </c>
      <c r="D52" s="1589">
        <v>336.8</v>
      </c>
      <c r="E52" s="1348">
        <v>629.40000000000009</v>
      </c>
      <c r="F52" s="1348">
        <f t="shared" ref="F52:F60" si="6">+C52-D52</f>
        <v>-44.199999999999989</v>
      </c>
      <c r="H52" s="924"/>
    </row>
    <row r="53" spans="2:8" ht="15.6">
      <c r="B53" s="1579" t="s">
        <v>334</v>
      </c>
      <c r="C53" s="1348">
        <v>348.4</v>
      </c>
      <c r="D53" s="1589">
        <v>370.5</v>
      </c>
      <c r="E53" s="1348">
        <f t="shared" ref="E53:E60" si="7">+D53+C53</f>
        <v>718.9</v>
      </c>
      <c r="F53" s="1348">
        <f t="shared" si="6"/>
        <v>-22.100000000000023</v>
      </c>
      <c r="H53" s="924"/>
    </row>
    <row r="54" spans="2:8" ht="15.6">
      <c r="B54" s="1579" t="s">
        <v>335</v>
      </c>
      <c r="C54" s="1348">
        <v>295.89999999999998</v>
      </c>
      <c r="D54" s="1589">
        <v>329</v>
      </c>
      <c r="E54" s="1348">
        <f t="shared" si="7"/>
        <v>624.9</v>
      </c>
      <c r="F54" s="1348">
        <f t="shared" si="6"/>
        <v>-33.100000000000023</v>
      </c>
      <c r="H54" s="924"/>
    </row>
    <row r="55" spans="2:8" ht="15.6">
      <c r="B55" s="1579" t="s">
        <v>336</v>
      </c>
      <c r="C55" s="1348">
        <v>277</v>
      </c>
      <c r="D55" s="1589">
        <v>416.7</v>
      </c>
      <c r="E55" s="1348">
        <f t="shared" si="7"/>
        <v>693.7</v>
      </c>
      <c r="F55" s="1348">
        <f t="shared" si="6"/>
        <v>-139.69999999999999</v>
      </c>
      <c r="H55" s="924"/>
    </row>
    <row r="56" spans="2:8" ht="15.6">
      <c r="B56" s="1579" t="s">
        <v>337</v>
      </c>
      <c r="C56" s="1348">
        <v>343.2</v>
      </c>
      <c r="D56" s="1589">
        <v>436.8</v>
      </c>
      <c r="E56" s="1348">
        <f t="shared" si="7"/>
        <v>780</v>
      </c>
      <c r="F56" s="1348">
        <f t="shared" si="6"/>
        <v>-93.600000000000023</v>
      </c>
      <c r="H56" s="924"/>
    </row>
    <row r="57" spans="2:8" ht="15.6">
      <c r="B57" s="1579" t="s">
        <v>338</v>
      </c>
      <c r="C57" s="1348">
        <v>239.8</v>
      </c>
      <c r="D57" s="1589">
        <v>458.5</v>
      </c>
      <c r="E57" s="1348">
        <f t="shared" si="7"/>
        <v>698.3</v>
      </c>
      <c r="F57" s="1348">
        <f t="shared" si="6"/>
        <v>-218.7</v>
      </c>
      <c r="H57" s="924"/>
    </row>
    <row r="58" spans="2:8" ht="15.6">
      <c r="B58" s="1579" t="s">
        <v>339</v>
      </c>
      <c r="C58" s="1348">
        <v>299.5</v>
      </c>
      <c r="D58" s="1589">
        <v>357</v>
      </c>
      <c r="E58" s="1348">
        <f t="shared" si="7"/>
        <v>656.5</v>
      </c>
      <c r="F58" s="1348">
        <f t="shared" si="6"/>
        <v>-57.5</v>
      </c>
      <c r="H58" s="924"/>
    </row>
    <row r="59" spans="2:8" ht="15.6">
      <c r="B59" s="1579" t="s">
        <v>340</v>
      </c>
      <c r="C59" s="1581">
        <v>345.4</v>
      </c>
      <c r="D59" s="1591">
        <v>384.2</v>
      </c>
      <c r="E59" s="1582">
        <f t="shared" si="7"/>
        <v>729.59999999999991</v>
      </c>
      <c r="F59" s="1583">
        <f t="shared" si="6"/>
        <v>-38.800000000000011</v>
      </c>
      <c r="H59" s="924"/>
    </row>
    <row r="60" spans="2:8" ht="16.2" thickBot="1">
      <c r="B60" s="1579" t="s">
        <v>341</v>
      </c>
      <c r="C60" s="1592">
        <v>378.4</v>
      </c>
      <c r="D60" s="1580">
        <v>403.7</v>
      </c>
      <c r="E60" s="1463">
        <f t="shared" si="7"/>
        <v>782.09999999999991</v>
      </c>
      <c r="F60" s="1464">
        <f t="shared" si="6"/>
        <v>-25.300000000000011</v>
      </c>
      <c r="H60" s="924"/>
    </row>
    <row r="61" spans="2:8" ht="15.6" thickTop="1">
      <c r="B61" s="1082"/>
      <c r="D61" s="1209"/>
      <c r="H61" s="924"/>
    </row>
    <row r="62" spans="2:8" ht="15.6">
      <c r="B62" s="1421" t="s">
        <v>1790</v>
      </c>
      <c r="H62" s="924"/>
    </row>
    <row r="63" spans="2:8">
      <c r="H63" s="924"/>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8"/>
    <col min="2" max="2" width="9.1796875" style="1028" bestFit="1" customWidth="1"/>
    <col min="3" max="3" width="9.08984375" style="1028" bestFit="1" customWidth="1"/>
    <col min="4" max="4" width="8.90625" style="1028"/>
    <col min="5" max="5" width="11.6328125" style="1028" customWidth="1"/>
    <col min="6" max="6" width="8.90625" style="1028"/>
    <col min="7" max="7" width="11" style="1028" bestFit="1" customWidth="1"/>
    <col min="8" max="9" width="8.90625" style="1028"/>
    <col min="10" max="12" width="11" style="1028" bestFit="1" customWidth="1"/>
    <col min="13" max="13" width="8.90625" style="1028"/>
    <col min="14" max="14" width="9.36328125" style="1028" bestFit="1" customWidth="1"/>
    <col min="15" max="16" width="8.90625" style="1028"/>
    <col min="17" max="17" width="9.36328125" style="1028" bestFit="1" customWidth="1"/>
    <col min="18" max="20" width="8.90625" style="1028"/>
    <col min="21" max="23" width="9.36328125" style="1028" bestFit="1" customWidth="1"/>
    <col min="24" max="25" width="8.90625" style="1028"/>
    <col min="26" max="26" width="9.36328125" style="1028" bestFit="1" customWidth="1"/>
    <col min="27" max="28" width="8.90625" style="1028"/>
    <col min="29" max="29" width="9.36328125" style="1028" bestFit="1" customWidth="1"/>
    <col min="30" max="32" width="8.90625" style="1028"/>
    <col min="33" max="33" width="9.36328125" style="1028" bestFit="1" customWidth="1"/>
    <col min="34" max="37" width="8.90625" style="1028"/>
    <col min="38" max="38" width="9.36328125" style="1028" bestFit="1" customWidth="1"/>
    <col min="39" max="42" width="8.90625" style="1028"/>
    <col min="43" max="46" width="9.36328125" style="1028" bestFit="1" customWidth="1"/>
    <col min="47" max="50" width="8.90625" style="1028"/>
    <col min="51" max="51" width="12.453125" style="1028" bestFit="1" customWidth="1"/>
    <col min="52" max="53" width="10.1796875" style="1028" bestFit="1" customWidth="1"/>
    <col min="54" max="54" width="8.90625" style="1028"/>
    <col min="55" max="55" width="11" style="1028" bestFit="1" customWidth="1"/>
    <col min="56" max="56" width="12.453125" style="1028" bestFit="1" customWidth="1"/>
    <col min="57" max="57" width="9.36328125" style="1028" bestFit="1" customWidth="1"/>
    <col min="58" max="63" width="8.90625" style="1028"/>
    <col min="64" max="65" width="9.36328125" style="1028" bestFit="1" customWidth="1"/>
    <col min="66" max="71" width="8.90625" style="1028"/>
    <col min="72" max="73" width="9.36328125" style="1028" bestFit="1" customWidth="1"/>
    <col min="74" max="77" width="8.90625" style="1028"/>
    <col min="78" max="78" width="9.36328125" style="1028" bestFit="1" customWidth="1"/>
    <col min="79" max="91" width="8.90625" style="1028"/>
    <col min="92" max="93" width="9.36328125" style="1028" bestFit="1" customWidth="1"/>
    <col min="94" max="98" width="8.90625" style="1028"/>
    <col min="99" max="99" width="9.36328125" style="1028" bestFit="1" customWidth="1"/>
    <col min="100" max="105" width="8.90625" style="1028"/>
    <col min="106" max="106" width="9.36328125" style="1028" bestFit="1" customWidth="1"/>
    <col min="107" max="109" width="8.90625" style="1028"/>
    <col min="110" max="110" width="13.54296875" style="1028" bestFit="1" customWidth="1"/>
    <col min="111" max="112" width="9.36328125" style="1028" bestFit="1" customWidth="1"/>
    <col min="113" max="114" width="8.90625" style="1028"/>
    <col min="115" max="115" width="9.36328125" style="1028" bestFit="1" customWidth="1"/>
    <col min="116" max="117" width="8.90625" style="1028"/>
    <col min="118" max="118" width="9.36328125" style="1028" bestFit="1" customWidth="1"/>
    <col min="119" max="120" width="8.90625" style="1028"/>
    <col min="121" max="121" width="13.54296875" style="1028" bestFit="1" customWidth="1"/>
    <col min="122" max="122" width="12.453125" style="1028" bestFit="1" customWidth="1"/>
    <col min="123" max="123" width="13.54296875" style="1028" bestFit="1" customWidth="1"/>
    <col min="124" max="124" width="8.90625" style="1028"/>
    <col min="125" max="125" width="10.1796875" style="1028" bestFit="1" customWidth="1"/>
    <col min="126" max="126" width="9.36328125" style="1028" bestFit="1" customWidth="1"/>
    <col min="127" max="129" width="8.90625" style="1028"/>
    <col min="130" max="130" width="10.1796875" style="1028" bestFit="1" customWidth="1"/>
    <col min="131" max="131" width="9.36328125" style="1028" bestFit="1" customWidth="1"/>
    <col min="132" max="133" width="8.90625" style="1028"/>
    <col min="134" max="134" width="9.36328125" style="1028" bestFit="1" customWidth="1"/>
    <col min="135" max="136" width="8.90625" style="1028"/>
    <col min="137" max="137" width="10.1796875" style="1028" bestFit="1" customWidth="1"/>
    <col min="138" max="138" width="8.90625" style="1028"/>
    <col min="139" max="139" width="10.1796875" style="1028" bestFit="1" customWidth="1"/>
    <col min="140" max="140" width="8.90625" style="1028"/>
    <col min="141" max="141" width="9.36328125" style="1028" bestFit="1" customWidth="1"/>
    <col min="142" max="142" width="8.90625" style="1028"/>
    <col min="143" max="143" width="9.36328125" style="1028" bestFit="1" customWidth="1"/>
    <col min="144" max="146" width="8.90625" style="1028"/>
    <col min="147" max="147" width="9.36328125" style="1028" bestFit="1" customWidth="1"/>
    <col min="148" max="150" width="8.90625" style="1028"/>
    <col min="151" max="151" width="9.36328125" style="1028" bestFit="1" customWidth="1"/>
    <col min="152" max="155" width="8.90625" style="1028"/>
    <col min="156" max="156" width="9.36328125" style="1028" bestFit="1" customWidth="1"/>
    <col min="157" max="157" width="8.90625" style="1028"/>
    <col min="158" max="158" width="9.36328125" style="1028" bestFit="1" customWidth="1"/>
    <col min="159" max="161" width="8.90625" style="1028"/>
    <col min="162" max="162" width="9.36328125" style="1028" bestFit="1" customWidth="1"/>
    <col min="163" max="165" width="8.90625" style="1028"/>
    <col min="166" max="166" width="9.36328125" style="1028" bestFit="1" customWidth="1"/>
    <col min="167" max="170" width="8.90625" style="1028"/>
    <col min="171" max="171" width="9.36328125" style="1028" bestFit="1" customWidth="1"/>
    <col min="172" max="178" width="8.90625" style="1028"/>
    <col min="179" max="180" width="13.54296875" style="1028" bestFit="1" customWidth="1"/>
    <col min="181" max="181" width="10.81640625" style="1028" bestFit="1" customWidth="1"/>
    <col min="182" max="182" width="10" style="1028" bestFit="1" customWidth="1"/>
    <col min="183" max="183" width="8.90625" style="1028"/>
    <col min="184" max="184" width="12.453125" style="1028" bestFit="1" customWidth="1"/>
    <col min="185" max="187" width="8.90625" style="1028"/>
    <col min="188" max="188" width="13.54296875" style="1028" bestFit="1" customWidth="1"/>
    <col min="189" max="16384" width="8.90625" style="1028"/>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2"/>
      <c r="D4" s="1412"/>
      <c r="E4" s="1412">
        <v>256026</v>
      </c>
      <c r="F4" s="1412"/>
      <c r="G4" s="1412">
        <v>256026</v>
      </c>
      <c r="H4" s="1412"/>
      <c r="I4" s="1412"/>
      <c r="J4" s="1412">
        <v>8961</v>
      </c>
      <c r="K4" s="1412">
        <v>8961</v>
      </c>
      <c r="L4" s="1412">
        <v>8961</v>
      </c>
      <c r="M4" s="1412"/>
      <c r="N4" s="1412">
        <v>0</v>
      </c>
      <c r="O4" s="1412"/>
      <c r="P4" s="1412"/>
      <c r="Q4" s="1412">
        <v>0</v>
      </c>
      <c r="R4" s="1412"/>
      <c r="S4" s="1412"/>
      <c r="T4" s="1412"/>
      <c r="U4" s="1412">
        <v>0</v>
      </c>
      <c r="V4" s="1412">
        <v>0</v>
      </c>
      <c r="W4" s="1412"/>
      <c r="X4" s="1412"/>
      <c r="Y4" s="1412"/>
      <c r="Z4" s="1412">
        <v>0</v>
      </c>
      <c r="AA4" s="1412"/>
      <c r="AB4" s="1412"/>
      <c r="AC4" s="1412">
        <v>0</v>
      </c>
      <c r="AD4" s="1412"/>
      <c r="AE4" s="1412"/>
      <c r="AF4" s="1412"/>
      <c r="AG4" s="1412">
        <v>0</v>
      </c>
      <c r="AH4" s="1412"/>
      <c r="AI4" s="1412"/>
      <c r="AJ4" s="1412"/>
      <c r="AK4" s="1412"/>
      <c r="AL4" s="1412">
        <v>0</v>
      </c>
      <c r="AM4" s="1412"/>
      <c r="AN4" s="1412"/>
      <c r="AO4" s="1412"/>
      <c r="AP4" s="1412"/>
      <c r="AQ4" s="1412">
        <v>752734</v>
      </c>
      <c r="AR4" s="1412">
        <v>618314</v>
      </c>
      <c r="AS4" s="1412">
        <v>134420</v>
      </c>
      <c r="AT4" s="1412">
        <v>134420</v>
      </c>
      <c r="AU4" s="1412"/>
      <c r="AV4" s="1412"/>
      <c r="AW4" s="1412"/>
      <c r="AX4" s="1412"/>
      <c r="AY4" s="1412">
        <v>1595090</v>
      </c>
      <c r="AZ4" s="1412">
        <v>1595090</v>
      </c>
      <c r="BA4" s="1412">
        <v>1595090</v>
      </c>
      <c r="BB4" s="1412"/>
      <c r="BC4" s="1412"/>
      <c r="BD4" s="1412">
        <v>0</v>
      </c>
      <c r="BE4" s="1412">
        <v>0</v>
      </c>
      <c r="BF4" s="1412"/>
      <c r="BG4" s="1412"/>
      <c r="BH4" s="1412"/>
      <c r="BI4" s="1412"/>
      <c r="BJ4" s="1412"/>
      <c r="BK4" s="1412"/>
      <c r="BL4" s="1412">
        <v>0</v>
      </c>
      <c r="BM4" s="1412">
        <v>0</v>
      </c>
      <c r="BN4" s="1412"/>
      <c r="BO4" s="1412"/>
      <c r="BP4" s="1412"/>
      <c r="BQ4" s="1412"/>
      <c r="BR4" s="1412"/>
      <c r="BS4" s="1412"/>
      <c r="BT4" s="1412">
        <v>0</v>
      </c>
      <c r="BU4" s="1412">
        <v>0</v>
      </c>
      <c r="BV4" s="1412"/>
      <c r="BW4" s="1412"/>
      <c r="BX4" s="1412"/>
      <c r="BY4" s="1412"/>
      <c r="BZ4" s="1412">
        <v>0</v>
      </c>
      <c r="CA4" s="1412"/>
      <c r="CB4" s="1412"/>
      <c r="CC4" s="1412"/>
      <c r="CD4" s="1412"/>
      <c r="CE4" s="1412"/>
      <c r="CF4" s="1412"/>
      <c r="CG4" s="1412"/>
      <c r="CH4" s="1412"/>
      <c r="CI4" s="1412"/>
      <c r="CJ4" s="1412"/>
      <c r="CK4" s="1412"/>
      <c r="CL4" s="1412"/>
      <c r="CM4" s="1412"/>
      <c r="CN4" s="1412">
        <v>0</v>
      </c>
      <c r="CO4" s="1412">
        <v>0</v>
      </c>
      <c r="CP4" s="1412"/>
      <c r="CQ4" s="1412"/>
      <c r="CR4" s="1412"/>
      <c r="CS4" s="1412"/>
      <c r="CT4" s="1412"/>
      <c r="CU4" s="1412">
        <v>0</v>
      </c>
      <c r="CV4" s="1412"/>
      <c r="CW4" s="1412"/>
      <c r="CX4" s="1412"/>
      <c r="CY4" s="1412"/>
      <c r="CZ4" s="1412"/>
      <c r="DA4" s="1412"/>
      <c r="DB4" s="1412">
        <v>0</v>
      </c>
      <c r="DC4" s="1412"/>
      <c r="DD4" s="1412"/>
      <c r="DE4" s="1412"/>
      <c r="DF4" s="1412">
        <v>78471628</v>
      </c>
      <c r="DG4" s="1412">
        <v>0</v>
      </c>
      <c r="DH4" s="1412">
        <v>0</v>
      </c>
      <c r="DI4" s="1412"/>
      <c r="DJ4" s="1412"/>
      <c r="DK4" s="1412">
        <v>0</v>
      </c>
      <c r="DL4" s="1412"/>
      <c r="DM4" s="1412"/>
      <c r="DN4" s="1412">
        <v>0</v>
      </c>
      <c r="DO4" s="1412"/>
      <c r="DP4" s="1412"/>
      <c r="DQ4" s="1412">
        <v>70160878</v>
      </c>
      <c r="DR4" s="1412">
        <v>2620336</v>
      </c>
      <c r="DS4" s="1412">
        <v>67540542</v>
      </c>
      <c r="DT4" s="1412"/>
      <c r="DU4" s="1412">
        <v>8310750</v>
      </c>
      <c r="DV4" s="1412">
        <v>0</v>
      </c>
      <c r="DW4" s="1412"/>
      <c r="DX4" s="1412"/>
      <c r="DY4" s="1412"/>
      <c r="DZ4" s="1412">
        <v>8344350</v>
      </c>
      <c r="EA4" s="1412">
        <v>0</v>
      </c>
      <c r="EB4" s="1412"/>
      <c r="EC4" s="1412"/>
      <c r="ED4" s="1412">
        <v>0</v>
      </c>
      <c r="EE4" s="1412"/>
      <c r="EF4" s="1412"/>
      <c r="EG4" s="1412">
        <v>8344350</v>
      </c>
      <c r="EH4" s="1412"/>
      <c r="EI4" s="1412">
        <v>8344350</v>
      </c>
      <c r="EJ4" s="1412"/>
      <c r="EK4" s="1412">
        <v>0</v>
      </c>
      <c r="EL4" s="1412"/>
      <c r="EM4" s="1412">
        <v>0</v>
      </c>
      <c r="EN4" s="1412"/>
      <c r="EO4" s="1412"/>
      <c r="EP4" s="1412"/>
      <c r="EQ4" s="1412">
        <v>0</v>
      </c>
      <c r="ER4" s="1412"/>
      <c r="ES4" s="1412"/>
      <c r="ET4" s="1412"/>
      <c r="EU4" s="1412">
        <v>0</v>
      </c>
      <c r="EV4" s="1412"/>
      <c r="EW4" s="1412"/>
      <c r="EX4" s="1412"/>
      <c r="EY4" s="1412"/>
      <c r="EZ4" s="1412">
        <v>0</v>
      </c>
      <c r="FA4" s="1412"/>
      <c r="FB4" s="1412">
        <v>0</v>
      </c>
      <c r="FC4" s="1412"/>
      <c r="FD4" s="1412"/>
      <c r="FE4" s="1412"/>
      <c r="FF4" s="1412">
        <v>0</v>
      </c>
      <c r="FG4" s="1412"/>
      <c r="FH4" s="1412"/>
      <c r="FI4" s="1412"/>
      <c r="FJ4" s="1412">
        <v>0</v>
      </c>
      <c r="FK4" s="1412"/>
      <c r="FL4" s="1412"/>
      <c r="FM4" s="1412"/>
      <c r="FN4" s="1412"/>
      <c r="FO4" s="1412">
        <v>0</v>
      </c>
      <c r="FP4" s="1412"/>
      <c r="FQ4" s="1412"/>
      <c r="FR4" s="1412"/>
      <c r="FS4" s="1412"/>
      <c r="FT4" s="1412"/>
      <c r="FU4" s="1412"/>
      <c r="FV4" s="1412"/>
      <c r="FW4" s="1412">
        <v>23661402</v>
      </c>
      <c r="FX4" s="1412">
        <v>16901590</v>
      </c>
      <c r="FY4" s="1412">
        <v>6578623</v>
      </c>
      <c r="FZ4" s="1412">
        <v>181189</v>
      </c>
      <c r="GA4" s="1412"/>
      <c r="GB4" s="1412">
        <v>10658022</v>
      </c>
      <c r="GC4" s="1412"/>
      <c r="GD4" s="1412"/>
      <c r="GE4" s="1412"/>
      <c r="GF4" s="1412">
        <v>123748213</v>
      </c>
      <c r="GG4" s="1206"/>
    </row>
    <row r="5" spans="2:189">
      <c r="B5" s="1208">
        <v>42036</v>
      </c>
      <c r="C5" s="1412"/>
      <c r="D5" s="1412"/>
      <c r="E5" s="1412">
        <v>190881</v>
      </c>
      <c r="F5" s="1412"/>
      <c r="G5" s="1412">
        <v>190881</v>
      </c>
      <c r="H5" s="1412"/>
      <c r="I5" s="1412"/>
      <c r="J5" s="1412">
        <v>86353</v>
      </c>
      <c r="K5" s="1412">
        <v>86353</v>
      </c>
      <c r="L5" s="1412">
        <v>86353</v>
      </c>
      <c r="M5" s="1412"/>
      <c r="N5" s="1412">
        <v>0</v>
      </c>
      <c r="O5" s="1412"/>
      <c r="P5" s="1412"/>
      <c r="Q5" s="1412">
        <v>0</v>
      </c>
      <c r="R5" s="1412"/>
      <c r="S5" s="1412"/>
      <c r="T5" s="1412"/>
      <c r="U5" s="1412">
        <v>0</v>
      </c>
      <c r="V5" s="1412">
        <v>0</v>
      </c>
      <c r="W5" s="1412"/>
      <c r="X5" s="1412"/>
      <c r="Y5" s="1412"/>
      <c r="Z5" s="1412">
        <v>0</v>
      </c>
      <c r="AA5" s="1412"/>
      <c r="AB5" s="1412"/>
      <c r="AC5" s="1412">
        <v>0</v>
      </c>
      <c r="AD5" s="1412"/>
      <c r="AE5" s="1412"/>
      <c r="AF5" s="1412"/>
      <c r="AG5" s="1412">
        <v>0</v>
      </c>
      <c r="AH5" s="1412"/>
      <c r="AI5" s="1412"/>
      <c r="AJ5" s="1412"/>
      <c r="AK5" s="1412"/>
      <c r="AL5" s="1412">
        <v>0</v>
      </c>
      <c r="AM5" s="1412"/>
      <c r="AN5" s="1412"/>
      <c r="AO5" s="1412"/>
      <c r="AP5" s="1412"/>
      <c r="AQ5" s="1412">
        <v>589460</v>
      </c>
      <c r="AR5" s="1412">
        <v>449622</v>
      </c>
      <c r="AS5" s="1412">
        <v>139838</v>
      </c>
      <c r="AT5" s="1412">
        <v>139838</v>
      </c>
      <c r="AU5" s="1412"/>
      <c r="AV5" s="1412"/>
      <c r="AW5" s="1412"/>
      <c r="AX5" s="1412"/>
      <c r="AY5" s="1412">
        <v>1595090</v>
      </c>
      <c r="AZ5" s="1412">
        <v>1595090</v>
      </c>
      <c r="BA5" s="1412">
        <v>1595090</v>
      </c>
      <c r="BB5" s="1412"/>
      <c r="BC5" s="1412"/>
      <c r="BD5" s="1412">
        <v>0</v>
      </c>
      <c r="BE5" s="1412">
        <v>0</v>
      </c>
      <c r="BF5" s="1412"/>
      <c r="BG5" s="1412"/>
      <c r="BH5" s="1412"/>
      <c r="BI5" s="1412"/>
      <c r="BJ5" s="1412"/>
      <c r="BK5" s="1412"/>
      <c r="BL5" s="1412">
        <v>0</v>
      </c>
      <c r="BM5" s="1412">
        <v>0</v>
      </c>
      <c r="BN5" s="1412"/>
      <c r="BO5" s="1412"/>
      <c r="BP5" s="1412"/>
      <c r="BQ5" s="1412"/>
      <c r="BR5" s="1412"/>
      <c r="BS5" s="1412"/>
      <c r="BT5" s="1412">
        <v>0</v>
      </c>
      <c r="BU5" s="1412">
        <v>0</v>
      </c>
      <c r="BV5" s="1412"/>
      <c r="BW5" s="1412"/>
      <c r="BX5" s="1412"/>
      <c r="BY5" s="1412"/>
      <c r="BZ5" s="1412">
        <v>0</v>
      </c>
      <c r="CA5" s="1412"/>
      <c r="CB5" s="1412"/>
      <c r="CC5" s="1412"/>
      <c r="CD5" s="1412"/>
      <c r="CE5" s="1412"/>
      <c r="CF5" s="1412"/>
      <c r="CG5" s="1412"/>
      <c r="CH5" s="1412"/>
      <c r="CI5" s="1412"/>
      <c r="CJ5" s="1412"/>
      <c r="CK5" s="1412"/>
      <c r="CL5" s="1412"/>
      <c r="CM5" s="1412"/>
      <c r="CN5" s="1412">
        <v>0</v>
      </c>
      <c r="CO5" s="1412">
        <v>0</v>
      </c>
      <c r="CP5" s="1412"/>
      <c r="CQ5" s="1412"/>
      <c r="CR5" s="1412"/>
      <c r="CS5" s="1412"/>
      <c r="CT5" s="1412"/>
      <c r="CU5" s="1412">
        <v>0</v>
      </c>
      <c r="CV5" s="1412"/>
      <c r="CW5" s="1412"/>
      <c r="CX5" s="1412"/>
      <c r="CY5" s="1412"/>
      <c r="CZ5" s="1412"/>
      <c r="DA5" s="1412"/>
      <c r="DB5" s="1412">
        <v>0</v>
      </c>
      <c r="DC5" s="1412"/>
      <c r="DD5" s="1412"/>
      <c r="DE5" s="1412"/>
      <c r="DF5" s="1412">
        <v>80283201</v>
      </c>
      <c r="DG5" s="1412">
        <v>0</v>
      </c>
      <c r="DH5" s="1412">
        <v>0</v>
      </c>
      <c r="DI5" s="1412"/>
      <c r="DJ5" s="1412"/>
      <c r="DK5" s="1412">
        <v>0</v>
      </c>
      <c r="DL5" s="1412"/>
      <c r="DM5" s="1412"/>
      <c r="DN5" s="1412">
        <v>0</v>
      </c>
      <c r="DO5" s="1412"/>
      <c r="DP5" s="1412"/>
      <c r="DQ5" s="1412">
        <v>71972451</v>
      </c>
      <c r="DR5" s="1412">
        <v>2676155</v>
      </c>
      <c r="DS5" s="1412">
        <v>69296296</v>
      </c>
      <c r="DT5" s="1412"/>
      <c r="DU5" s="1412">
        <v>8310750</v>
      </c>
      <c r="DV5" s="1412">
        <v>0</v>
      </c>
      <c r="DW5" s="1412"/>
      <c r="DX5" s="1412"/>
      <c r="DY5" s="1412"/>
      <c r="DZ5" s="1412">
        <v>8346700</v>
      </c>
      <c r="EA5" s="1412">
        <v>0</v>
      </c>
      <c r="EB5" s="1412"/>
      <c r="EC5" s="1412"/>
      <c r="ED5" s="1412">
        <v>0</v>
      </c>
      <c r="EE5" s="1412"/>
      <c r="EF5" s="1412"/>
      <c r="EG5" s="1412">
        <v>8346700</v>
      </c>
      <c r="EH5" s="1412"/>
      <c r="EI5" s="1412">
        <v>8346700</v>
      </c>
      <c r="EJ5" s="1412"/>
      <c r="EK5" s="1412">
        <v>0</v>
      </c>
      <c r="EL5" s="1412"/>
      <c r="EM5" s="1412">
        <v>0</v>
      </c>
      <c r="EN5" s="1412"/>
      <c r="EO5" s="1412"/>
      <c r="EP5" s="1412"/>
      <c r="EQ5" s="1412">
        <v>0</v>
      </c>
      <c r="ER5" s="1412"/>
      <c r="ES5" s="1412"/>
      <c r="ET5" s="1412"/>
      <c r="EU5" s="1412">
        <v>0</v>
      </c>
      <c r="EV5" s="1412"/>
      <c r="EW5" s="1412"/>
      <c r="EX5" s="1412"/>
      <c r="EY5" s="1412"/>
      <c r="EZ5" s="1412">
        <v>0</v>
      </c>
      <c r="FA5" s="1412"/>
      <c r="FB5" s="1412">
        <v>0</v>
      </c>
      <c r="FC5" s="1412"/>
      <c r="FD5" s="1412"/>
      <c r="FE5" s="1412"/>
      <c r="FF5" s="1412">
        <v>0</v>
      </c>
      <c r="FG5" s="1412"/>
      <c r="FH5" s="1412"/>
      <c r="FI5" s="1412"/>
      <c r="FJ5" s="1412">
        <v>0</v>
      </c>
      <c r="FK5" s="1412"/>
      <c r="FL5" s="1412"/>
      <c r="FM5" s="1412"/>
      <c r="FN5" s="1412"/>
      <c r="FO5" s="1412">
        <v>0</v>
      </c>
      <c r="FP5" s="1412"/>
      <c r="FQ5" s="1412"/>
      <c r="FR5" s="1412"/>
      <c r="FS5" s="1412"/>
      <c r="FT5" s="1412"/>
      <c r="FU5" s="1412"/>
      <c r="FV5" s="1412"/>
      <c r="FW5" s="1412">
        <v>23578705</v>
      </c>
      <c r="FX5" s="1412">
        <v>16902783</v>
      </c>
      <c r="FY5" s="1412">
        <v>6505315</v>
      </c>
      <c r="FZ5" s="1412">
        <v>170607</v>
      </c>
      <c r="GA5" s="1412"/>
      <c r="GB5" s="1412">
        <v>10991795</v>
      </c>
      <c r="GC5" s="1412"/>
      <c r="GD5" s="1412"/>
      <c r="GE5" s="1412"/>
      <c r="GF5" s="1412">
        <v>125662185</v>
      </c>
      <c r="GG5" s="1206"/>
    </row>
    <row r="6" spans="2:189">
      <c r="B6" s="1208">
        <v>42064</v>
      </c>
      <c r="C6" s="1412"/>
      <c r="D6" s="1412"/>
      <c r="E6" s="1412">
        <v>149137</v>
      </c>
      <c r="F6" s="1412"/>
      <c r="G6" s="1412">
        <v>149137</v>
      </c>
      <c r="H6" s="1412"/>
      <c r="I6" s="1412"/>
      <c r="J6" s="1412">
        <v>712</v>
      </c>
      <c r="K6" s="1412">
        <v>712</v>
      </c>
      <c r="L6" s="1412">
        <v>712</v>
      </c>
      <c r="M6" s="1412"/>
      <c r="N6" s="1412">
        <v>0</v>
      </c>
      <c r="O6" s="1412"/>
      <c r="P6" s="1412"/>
      <c r="Q6" s="1412">
        <v>0</v>
      </c>
      <c r="R6" s="1412"/>
      <c r="S6" s="1412"/>
      <c r="T6" s="1412"/>
      <c r="U6" s="1412">
        <v>0</v>
      </c>
      <c r="V6" s="1412">
        <v>0</v>
      </c>
      <c r="W6" s="1412"/>
      <c r="X6" s="1412"/>
      <c r="Y6" s="1412"/>
      <c r="Z6" s="1412">
        <v>0</v>
      </c>
      <c r="AA6" s="1412"/>
      <c r="AB6" s="1412"/>
      <c r="AC6" s="1412">
        <v>0</v>
      </c>
      <c r="AD6" s="1412"/>
      <c r="AE6" s="1412"/>
      <c r="AF6" s="1412"/>
      <c r="AG6" s="1412">
        <v>0</v>
      </c>
      <c r="AH6" s="1412"/>
      <c r="AI6" s="1412"/>
      <c r="AJ6" s="1412"/>
      <c r="AK6" s="1412"/>
      <c r="AL6" s="1412">
        <v>0</v>
      </c>
      <c r="AM6" s="1412"/>
      <c r="AN6" s="1412"/>
      <c r="AO6" s="1412"/>
      <c r="AP6" s="1412"/>
      <c r="AQ6" s="1412">
        <v>509681</v>
      </c>
      <c r="AR6" s="1412">
        <v>371401</v>
      </c>
      <c r="AS6" s="1412">
        <v>138280</v>
      </c>
      <c r="AT6" s="1412">
        <v>138280</v>
      </c>
      <c r="AU6" s="1412"/>
      <c r="AV6" s="1412"/>
      <c r="AW6" s="1412"/>
      <c r="AX6" s="1412"/>
      <c r="AY6" s="1412">
        <v>1472924</v>
      </c>
      <c r="AZ6" s="1412">
        <v>1472924</v>
      </c>
      <c r="BA6" s="1412">
        <v>1472924</v>
      </c>
      <c r="BB6" s="1412"/>
      <c r="BC6" s="1412"/>
      <c r="BD6" s="1412">
        <v>0</v>
      </c>
      <c r="BE6" s="1412">
        <v>0</v>
      </c>
      <c r="BF6" s="1412"/>
      <c r="BG6" s="1412"/>
      <c r="BH6" s="1412"/>
      <c r="BI6" s="1412"/>
      <c r="BJ6" s="1412"/>
      <c r="BK6" s="1412"/>
      <c r="BL6" s="1412">
        <v>0</v>
      </c>
      <c r="BM6" s="1412">
        <v>0</v>
      </c>
      <c r="BN6" s="1412"/>
      <c r="BO6" s="1412"/>
      <c r="BP6" s="1412"/>
      <c r="BQ6" s="1412"/>
      <c r="BR6" s="1412"/>
      <c r="BS6" s="1412"/>
      <c r="BT6" s="1412">
        <v>0</v>
      </c>
      <c r="BU6" s="1412">
        <v>0</v>
      </c>
      <c r="BV6" s="1412"/>
      <c r="BW6" s="1412"/>
      <c r="BX6" s="1412"/>
      <c r="BY6" s="1412"/>
      <c r="BZ6" s="1412">
        <v>0</v>
      </c>
      <c r="CA6" s="1412"/>
      <c r="CB6" s="1412"/>
      <c r="CC6" s="1412"/>
      <c r="CD6" s="1412"/>
      <c r="CE6" s="1412"/>
      <c r="CF6" s="1412"/>
      <c r="CG6" s="1412"/>
      <c r="CH6" s="1412"/>
      <c r="CI6" s="1412"/>
      <c r="CJ6" s="1412"/>
      <c r="CK6" s="1412"/>
      <c r="CL6" s="1412"/>
      <c r="CM6" s="1412"/>
      <c r="CN6" s="1412">
        <v>0</v>
      </c>
      <c r="CO6" s="1412">
        <v>0</v>
      </c>
      <c r="CP6" s="1412"/>
      <c r="CQ6" s="1412"/>
      <c r="CR6" s="1412"/>
      <c r="CS6" s="1412"/>
      <c r="CT6" s="1412"/>
      <c r="CU6" s="1412">
        <v>0</v>
      </c>
      <c r="CV6" s="1412"/>
      <c r="CW6" s="1412"/>
      <c r="CX6" s="1412"/>
      <c r="CY6" s="1412"/>
      <c r="CZ6" s="1412"/>
      <c r="DA6" s="1412"/>
      <c r="DB6" s="1412">
        <v>0</v>
      </c>
      <c r="DC6" s="1412"/>
      <c r="DD6" s="1412"/>
      <c r="DE6" s="1412"/>
      <c r="DF6" s="1412">
        <v>80796129</v>
      </c>
      <c r="DG6" s="1412">
        <v>0</v>
      </c>
      <c r="DH6" s="1412">
        <v>0</v>
      </c>
      <c r="DI6" s="1412"/>
      <c r="DJ6" s="1412"/>
      <c r="DK6" s="1412">
        <v>0</v>
      </c>
      <c r="DL6" s="1412"/>
      <c r="DM6" s="1412"/>
      <c r="DN6" s="1412">
        <v>0</v>
      </c>
      <c r="DO6" s="1412"/>
      <c r="DP6" s="1412"/>
      <c r="DQ6" s="1412">
        <v>73253059</v>
      </c>
      <c r="DR6" s="1412">
        <v>2672189</v>
      </c>
      <c r="DS6" s="1412">
        <v>70580870</v>
      </c>
      <c r="DT6" s="1412"/>
      <c r="DU6" s="1412">
        <v>7543070</v>
      </c>
      <c r="DV6" s="1412">
        <v>0</v>
      </c>
      <c r="DW6" s="1412"/>
      <c r="DX6" s="1412"/>
      <c r="DY6" s="1412"/>
      <c r="DZ6" s="1412">
        <v>8247150</v>
      </c>
      <c r="EA6" s="1412">
        <v>0</v>
      </c>
      <c r="EB6" s="1412"/>
      <c r="EC6" s="1412"/>
      <c r="ED6" s="1412">
        <v>0</v>
      </c>
      <c r="EE6" s="1412"/>
      <c r="EF6" s="1412"/>
      <c r="EG6" s="1412">
        <v>8247150</v>
      </c>
      <c r="EH6" s="1412"/>
      <c r="EI6" s="1412">
        <v>8247150</v>
      </c>
      <c r="EJ6" s="1412"/>
      <c r="EK6" s="1412">
        <v>0</v>
      </c>
      <c r="EL6" s="1412"/>
      <c r="EM6" s="1412">
        <v>0</v>
      </c>
      <c r="EN6" s="1412"/>
      <c r="EO6" s="1412"/>
      <c r="EP6" s="1412"/>
      <c r="EQ6" s="1412">
        <v>0</v>
      </c>
      <c r="ER6" s="1412"/>
      <c r="ES6" s="1412"/>
      <c r="ET6" s="1412"/>
      <c r="EU6" s="1412">
        <v>0</v>
      </c>
      <c r="EV6" s="1412"/>
      <c r="EW6" s="1412"/>
      <c r="EX6" s="1412"/>
      <c r="EY6" s="1412"/>
      <c r="EZ6" s="1412">
        <v>0</v>
      </c>
      <c r="FA6" s="1412"/>
      <c r="FB6" s="1412">
        <v>0</v>
      </c>
      <c r="FC6" s="1412"/>
      <c r="FD6" s="1412"/>
      <c r="FE6" s="1412"/>
      <c r="FF6" s="1412">
        <v>0</v>
      </c>
      <c r="FG6" s="1412"/>
      <c r="FH6" s="1412"/>
      <c r="FI6" s="1412"/>
      <c r="FJ6" s="1412">
        <v>0</v>
      </c>
      <c r="FK6" s="1412"/>
      <c r="FL6" s="1412"/>
      <c r="FM6" s="1412"/>
      <c r="FN6" s="1412"/>
      <c r="FO6" s="1412">
        <v>0</v>
      </c>
      <c r="FP6" s="1412"/>
      <c r="FQ6" s="1412"/>
      <c r="FR6" s="1412"/>
      <c r="FS6" s="1412"/>
      <c r="FT6" s="1412"/>
      <c r="FU6" s="1412"/>
      <c r="FV6" s="1412"/>
      <c r="FW6" s="1412">
        <v>23386597</v>
      </c>
      <c r="FX6" s="1412">
        <v>16892526</v>
      </c>
      <c r="FY6" s="1412">
        <v>6331145</v>
      </c>
      <c r="FZ6" s="1412">
        <v>162926</v>
      </c>
      <c r="GA6" s="1412"/>
      <c r="GB6" s="1412">
        <v>10944379</v>
      </c>
      <c r="GC6" s="1412"/>
      <c r="GD6" s="1412"/>
      <c r="GE6" s="1412"/>
      <c r="GF6" s="1412">
        <v>125506709</v>
      </c>
      <c r="GG6" s="1206"/>
    </row>
    <row r="7" spans="2:189">
      <c r="B7" s="1208">
        <v>42095</v>
      </c>
      <c r="C7" s="1412"/>
      <c r="D7" s="1412"/>
      <c r="E7" s="1412">
        <v>53562</v>
      </c>
      <c r="F7" s="1412"/>
      <c r="G7" s="1412">
        <v>53562</v>
      </c>
      <c r="H7" s="1412"/>
      <c r="I7" s="1412"/>
      <c r="J7" s="1412">
        <v>0</v>
      </c>
      <c r="K7" s="1412">
        <v>0</v>
      </c>
      <c r="L7" s="1412"/>
      <c r="M7" s="1412"/>
      <c r="N7" s="1412">
        <v>0</v>
      </c>
      <c r="O7" s="1412"/>
      <c r="P7" s="1412"/>
      <c r="Q7" s="1412">
        <v>0</v>
      </c>
      <c r="R7" s="1412"/>
      <c r="S7" s="1412"/>
      <c r="T7" s="1412"/>
      <c r="U7" s="1412">
        <v>0</v>
      </c>
      <c r="V7" s="1412">
        <v>0</v>
      </c>
      <c r="W7" s="1412"/>
      <c r="X7" s="1412"/>
      <c r="Y7" s="1412"/>
      <c r="Z7" s="1412">
        <v>0</v>
      </c>
      <c r="AA7" s="1412"/>
      <c r="AB7" s="1412"/>
      <c r="AC7" s="1412">
        <v>0</v>
      </c>
      <c r="AD7" s="1412"/>
      <c r="AE7" s="1412"/>
      <c r="AF7" s="1412"/>
      <c r="AG7" s="1412">
        <v>0</v>
      </c>
      <c r="AH7" s="1412"/>
      <c r="AI7" s="1412"/>
      <c r="AJ7" s="1412"/>
      <c r="AK7" s="1412"/>
      <c r="AL7" s="1412">
        <v>0</v>
      </c>
      <c r="AM7" s="1412"/>
      <c r="AN7" s="1412"/>
      <c r="AO7" s="1412"/>
      <c r="AP7" s="1412"/>
      <c r="AQ7" s="1412">
        <v>349297</v>
      </c>
      <c r="AR7" s="1412">
        <v>278821</v>
      </c>
      <c r="AS7" s="1412">
        <v>70476</v>
      </c>
      <c r="AT7" s="1412">
        <v>70476</v>
      </c>
      <c r="AU7" s="1412"/>
      <c r="AV7" s="1412"/>
      <c r="AW7" s="1412"/>
      <c r="AX7" s="1412"/>
      <c r="AY7" s="1412">
        <v>178712</v>
      </c>
      <c r="AZ7" s="1412">
        <v>178712</v>
      </c>
      <c r="BA7" s="1412">
        <v>178712</v>
      </c>
      <c r="BB7" s="1412"/>
      <c r="BC7" s="1412"/>
      <c r="BD7" s="1412"/>
      <c r="BE7" s="1412">
        <v>0</v>
      </c>
      <c r="BF7" s="1412"/>
      <c r="BG7" s="1412"/>
      <c r="BH7" s="1412"/>
      <c r="BI7" s="1412"/>
      <c r="BJ7" s="1412"/>
      <c r="BK7" s="1412"/>
      <c r="BL7" s="1412">
        <v>0</v>
      </c>
      <c r="BM7" s="1412">
        <v>0</v>
      </c>
      <c r="BN7" s="1412"/>
      <c r="BO7" s="1412"/>
      <c r="BP7" s="1412"/>
      <c r="BQ7" s="1412"/>
      <c r="BR7" s="1412"/>
      <c r="BS7" s="1412"/>
      <c r="BT7" s="1412">
        <v>0</v>
      </c>
      <c r="BU7" s="1412">
        <v>0</v>
      </c>
      <c r="BV7" s="1412"/>
      <c r="BW7" s="1412"/>
      <c r="BX7" s="1412"/>
      <c r="BY7" s="1412"/>
      <c r="BZ7" s="1412">
        <v>0</v>
      </c>
      <c r="CA7" s="1412"/>
      <c r="CB7" s="1412"/>
      <c r="CC7" s="1412"/>
      <c r="CD7" s="1412"/>
      <c r="CE7" s="1412"/>
      <c r="CF7" s="1412"/>
      <c r="CG7" s="1412"/>
      <c r="CH7" s="1412"/>
      <c r="CI7" s="1412"/>
      <c r="CJ7" s="1412"/>
      <c r="CK7" s="1412"/>
      <c r="CL7" s="1412"/>
      <c r="CM7" s="1412"/>
      <c r="CN7" s="1412">
        <v>0</v>
      </c>
      <c r="CO7" s="1412">
        <v>0</v>
      </c>
      <c r="CP7" s="1412"/>
      <c r="CQ7" s="1412"/>
      <c r="CR7" s="1412"/>
      <c r="CS7" s="1412"/>
      <c r="CT7" s="1412"/>
      <c r="CU7" s="1412">
        <v>0</v>
      </c>
      <c r="CV7" s="1412"/>
      <c r="CW7" s="1412"/>
      <c r="CX7" s="1412"/>
      <c r="CY7" s="1412"/>
      <c r="CZ7" s="1412"/>
      <c r="DA7" s="1412"/>
      <c r="DB7" s="1412">
        <v>0</v>
      </c>
      <c r="DC7" s="1412"/>
      <c r="DD7" s="1412"/>
      <c r="DE7" s="1412"/>
      <c r="DF7" s="1412">
        <v>66738601</v>
      </c>
      <c r="DG7" s="1412">
        <v>0</v>
      </c>
      <c r="DH7" s="1412">
        <v>0</v>
      </c>
      <c r="DI7" s="1412"/>
      <c r="DJ7" s="1412"/>
      <c r="DK7" s="1412">
        <v>0</v>
      </c>
      <c r="DL7" s="1412"/>
      <c r="DM7" s="1412"/>
      <c r="DN7" s="1412">
        <v>0</v>
      </c>
      <c r="DO7" s="1412"/>
      <c r="DP7" s="1412"/>
      <c r="DQ7" s="1412">
        <v>66738601</v>
      </c>
      <c r="DR7" s="1412">
        <v>2061892</v>
      </c>
      <c r="DS7" s="1412">
        <v>64676709</v>
      </c>
      <c r="DT7" s="1412"/>
      <c r="DU7" s="1412"/>
      <c r="DV7" s="1412">
        <v>0</v>
      </c>
      <c r="DW7" s="1412"/>
      <c r="DX7" s="1412"/>
      <c r="DY7" s="1412"/>
      <c r="DZ7" s="1412">
        <v>0</v>
      </c>
      <c r="EA7" s="1412">
        <v>0</v>
      </c>
      <c r="EB7" s="1412"/>
      <c r="EC7" s="1412"/>
      <c r="ED7" s="1412">
        <v>0</v>
      </c>
      <c r="EE7" s="1412"/>
      <c r="EF7" s="1412"/>
      <c r="EG7" s="1412">
        <v>0</v>
      </c>
      <c r="EH7" s="1412"/>
      <c r="EI7" s="1412"/>
      <c r="EJ7" s="1412"/>
      <c r="EK7" s="1412">
        <v>0</v>
      </c>
      <c r="EL7" s="1412"/>
      <c r="EM7" s="1412">
        <v>0</v>
      </c>
      <c r="EN7" s="1412"/>
      <c r="EO7" s="1412"/>
      <c r="EP7" s="1412"/>
      <c r="EQ7" s="1412">
        <v>0</v>
      </c>
      <c r="ER7" s="1412"/>
      <c r="ES7" s="1412"/>
      <c r="ET7" s="1412"/>
      <c r="EU7" s="1412">
        <v>0</v>
      </c>
      <c r="EV7" s="1412"/>
      <c r="EW7" s="1412"/>
      <c r="EX7" s="1412"/>
      <c r="EY7" s="1412"/>
      <c r="EZ7" s="1412">
        <v>0</v>
      </c>
      <c r="FA7" s="1412"/>
      <c r="FB7" s="1412">
        <v>0</v>
      </c>
      <c r="FC7" s="1412"/>
      <c r="FD7" s="1412"/>
      <c r="FE7" s="1412"/>
      <c r="FF7" s="1412">
        <v>0</v>
      </c>
      <c r="FG7" s="1412"/>
      <c r="FH7" s="1412"/>
      <c r="FI7" s="1412"/>
      <c r="FJ7" s="1412">
        <v>0</v>
      </c>
      <c r="FK7" s="1412"/>
      <c r="FL7" s="1412"/>
      <c r="FM7" s="1412"/>
      <c r="FN7" s="1412"/>
      <c r="FO7" s="1412">
        <v>0</v>
      </c>
      <c r="FP7" s="1412"/>
      <c r="FQ7" s="1412"/>
      <c r="FR7" s="1412"/>
      <c r="FS7" s="1412"/>
      <c r="FT7" s="1412"/>
      <c r="FU7" s="1412"/>
      <c r="FV7" s="1412"/>
      <c r="FW7" s="1412">
        <v>21298812</v>
      </c>
      <c r="FX7" s="1412">
        <v>15625713</v>
      </c>
      <c r="FY7" s="1412">
        <v>5523069</v>
      </c>
      <c r="FZ7" s="1412">
        <v>150030</v>
      </c>
      <c r="GA7" s="1412"/>
      <c r="GB7" s="1412">
        <v>10274230</v>
      </c>
      <c r="GC7" s="1412"/>
      <c r="GD7" s="1412"/>
      <c r="GE7" s="1412"/>
      <c r="GF7" s="1412">
        <v>98893214</v>
      </c>
      <c r="GG7" s="1206"/>
    </row>
    <row r="8" spans="2:189">
      <c r="B8" s="1208">
        <v>42125</v>
      </c>
      <c r="C8" s="1412"/>
      <c r="D8" s="1412"/>
      <c r="E8" s="1412">
        <v>3031</v>
      </c>
      <c r="F8" s="1412"/>
      <c r="G8" s="1412">
        <v>3031</v>
      </c>
      <c r="H8" s="1412"/>
      <c r="I8" s="1412"/>
      <c r="J8" s="1412">
        <v>0</v>
      </c>
      <c r="K8" s="1412">
        <v>0</v>
      </c>
      <c r="L8" s="1412"/>
      <c r="M8" s="1412"/>
      <c r="N8" s="1412">
        <v>0</v>
      </c>
      <c r="O8" s="1412"/>
      <c r="P8" s="1412"/>
      <c r="Q8" s="1412">
        <v>0</v>
      </c>
      <c r="R8" s="1412"/>
      <c r="S8" s="1412"/>
      <c r="T8" s="1412"/>
      <c r="U8" s="1412">
        <v>0</v>
      </c>
      <c r="V8" s="1412">
        <v>0</v>
      </c>
      <c r="W8" s="1412"/>
      <c r="X8" s="1412"/>
      <c r="Y8" s="1412"/>
      <c r="Z8" s="1412">
        <v>0</v>
      </c>
      <c r="AA8" s="1412"/>
      <c r="AB8" s="1412"/>
      <c r="AC8" s="1412">
        <v>0</v>
      </c>
      <c r="AD8" s="1412"/>
      <c r="AE8" s="1412"/>
      <c r="AF8" s="1412"/>
      <c r="AG8" s="1412">
        <v>0</v>
      </c>
      <c r="AH8" s="1412"/>
      <c r="AI8" s="1412"/>
      <c r="AJ8" s="1412"/>
      <c r="AK8" s="1412"/>
      <c r="AL8" s="1412">
        <v>0</v>
      </c>
      <c r="AM8" s="1412"/>
      <c r="AN8" s="1412"/>
      <c r="AO8" s="1412"/>
      <c r="AP8" s="1412"/>
      <c r="AQ8" s="1412">
        <v>441103</v>
      </c>
      <c r="AR8" s="1412">
        <v>431136</v>
      </c>
      <c r="AS8" s="1412">
        <v>9967</v>
      </c>
      <c r="AT8" s="1412">
        <v>9967</v>
      </c>
      <c r="AU8" s="1412"/>
      <c r="AV8" s="1412"/>
      <c r="AW8" s="1412"/>
      <c r="AX8" s="1412"/>
      <c r="AY8" s="1412">
        <v>178712</v>
      </c>
      <c r="AZ8" s="1412">
        <v>178712</v>
      </c>
      <c r="BA8" s="1412">
        <v>178712</v>
      </c>
      <c r="BB8" s="1412"/>
      <c r="BC8" s="1412"/>
      <c r="BD8" s="1412"/>
      <c r="BE8" s="1412">
        <v>0</v>
      </c>
      <c r="BF8" s="1412"/>
      <c r="BG8" s="1412"/>
      <c r="BH8" s="1412"/>
      <c r="BI8" s="1412"/>
      <c r="BJ8" s="1412"/>
      <c r="BK8" s="1412"/>
      <c r="BL8" s="1412">
        <v>0</v>
      </c>
      <c r="BM8" s="1412">
        <v>0</v>
      </c>
      <c r="BN8" s="1412"/>
      <c r="BO8" s="1412"/>
      <c r="BP8" s="1412"/>
      <c r="BQ8" s="1412"/>
      <c r="BR8" s="1412"/>
      <c r="BS8" s="1412"/>
      <c r="BT8" s="1412">
        <v>0</v>
      </c>
      <c r="BU8" s="1412">
        <v>0</v>
      </c>
      <c r="BV8" s="1412"/>
      <c r="BW8" s="1412"/>
      <c r="BX8" s="1412"/>
      <c r="BY8" s="1412"/>
      <c r="BZ8" s="1412">
        <v>0</v>
      </c>
      <c r="CA8" s="1412"/>
      <c r="CB8" s="1412"/>
      <c r="CC8" s="1412"/>
      <c r="CD8" s="1412"/>
      <c r="CE8" s="1412"/>
      <c r="CF8" s="1412"/>
      <c r="CG8" s="1412"/>
      <c r="CH8" s="1412"/>
      <c r="CI8" s="1412"/>
      <c r="CJ8" s="1412"/>
      <c r="CK8" s="1412"/>
      <c r="CL8" s="1412"/>
      <c r="CM8" s="1412"/>
      <c r="CN8" s="1412">
        <v>0</v>
      </c>
      <c r="CO8" s="1412">
        <v>0</v>
      </c>
      <c r="CP8" s="1412"/>
      <c r="CQ8" s="1412"/>
      <c r="CR8" s="1412"/>
      <c r="CS8" s="1412"/>
      <c r="CT8" s="1412"/>
      <c r="CU8" s="1412">
        <v>0</v>
      </c>
      <c r="CV8" s="1412"/>
      <c r="CW8" s="1412"/>
      <c r="CX8" s="1412"/>
      <c r="CY8" s="1412"/>
      <c r="CZ8" s="1412"/>
      <c r="DA8" s="1412"/>
      <c r="DB8" s="1412">
        <v>0</v>
      </c>
      <c r="DC8" s="1412"/>
      <c r="DD8" s="1412"/>
      <c r="DE8" s="1412"/>
      <c r="DF8" s="1412">
        <v>67861046</v>
      </c>
      <c r="DG8" s="1412">
        <v>0</v>
      </c>
      <c r="DH8" s="1412">
        <v>0</v>
      </c>
      <c r="DI8" s="1412"/>
      <c r="DJ8" s="1412"/>
      <c r="DK8" s="1412">
        <v>0</v>
      </c>
      <c r="DL8" s="1412"/>
      <c r="DM8" s="1412"/>
      <c r="DN8" s="1412">
        <v>0</v>
      </c>
      <c r="DO8" s="1412"/>
      <c r="DP8" s="1412"/>
      <c r="DQ8" s="1412">
        <v>67861046</v>
      </c>
      <c r="DR8" s="1412">
        <v>2096477</v>
      </c>
      <c r="DS8" s="1412">
        <v>65764569</v>
      </c>
      <c r="DT8" s="1412"/>
      <c r="DU8" s="1412"/>
      <c r="DV8" s="1412">
        <v>0</v>
      </c>
      <c r="DW8" s="1412"/>
      <c r="DX8" s="1412"/>
      <c r="DY8" s="1412"/>
      <c r="DZ8" s="1412">
        <v>0</v>
      </c>
      <c r="EA8" s="1412">
        <v>0</v>
      </c>
      <c r="EB8" s="1412"/>
      <c r="EC8" s="1412"/>
      <c r="ED8" s="1412">
        <v>0</v>
      </c>
      <c r="EE8" s="1412"/>
      <c r="EF8" s="1412"/>
      <c r="EG8" s="1412">
        <v>0</v>
      </c>
      <c r="EH8" s="1412"/>
      <c r="EI8" s="1412"/>
      <c r="EJ8" s="1412"/>
      <c r="EK8" s="1412">
        <v>0</v>
      </c>
      <c r="EL8" s="1412"/>
      <c r="EM8" s="1412">
        <v>0</v>
      </c>
      <c r="EN8" s="1412"/>
      <c r="EO8" s="1412"/>
      <c r="EP8" s="1412"/>
      <c r="EQ8" s="1412">
        <v>0</v>
      </c>
      <c r="ER8" s="1412"/>
      <c r="ES8" s="1412"/>
      <c r="ET8" s="1412"/>
      <c r="EU8" s="1412">
        <v>0</v>
      </c>
      <c r="EV8" s="1412"/>
      <c r="EW8" s="1412"/>
      <c r="EX8" s="1412"/>
      <c r="EY8" s="1412"/>
      <c r="EZ8" s="1412">
        <v>0</v>
      </c>
      <c r="FA8" s="1412"/>
      <c r="FB8" s="1412">
        <v>0</v>
      </c>
      <c r="FC8" s="1412"/>
      <c r="FD8" s="1412"/>
      <c r="FE8" s="1412"/>
      <c r="FF8" s="1412">
        <v>0</v>
      </c>
      <c r="FG8" s="1412"/>
      <c r="FH8" s="1412"/>
      <c r="FI8" s="1412"/>
      <c r="FJ8" s="1412">
        <v>0</v>
      </c>
      <c r="FK8" s="1412"/>
      <c r="FL8" s="1412"/>
      <c r="FM8" s="1412"/>
      <c r="FN8" s="1412"/>
      <c r="FO8" s="1412">
        <v>0</v>
      </c>
      <c r="FP8" s="1412"/>
      <c r="FQ8" s="1412"/>
      <c r="FR8" s="1412"/>
      <c r="FS8" s="1412"/>
      <c r="FT8" s="1412"/>
      <c r="FU8" s="1412"/>
      <c r="FV8" s="1412"/>
      <c r="FW8" s="1412">
        <v>21203556</v>
      </c>
      <c r="FX8" s="1412">
        <v>15620764</v>
      </c>
      <c r="FY8" s="1412">
        <v>5437224</v>
      </c>
      <c r="FZ8" s="1412">
        <v>145568</v>
      </c>
      <c r="GA8" s="1412"/>
      <c r="GB8" s="1412">
        <v>9595968</v>
      </c>
      <c r="GC8" s="1412"/>
      <c r="GD8" s="1412"/>
      <c r="GE8" s="1412"/>
      <c r="GF8" s="1412">
        <v>99283416</v>
      </c>
      <c r="GG8" s="1206"/>
    </row>
    <row r="9" spans="2:189">
      <c r="B9" s="1208">
        <v>42156</v>
      </c>
      <c r="C9" s="1412"/>
      <c r="D9" s="1412"/>
      <c r="E9" s="1412">
        <v>30499.77</v>
      </c>
      <c r="F9" s="1412"/>
      <c r="G9" s="1412">
        <v>30499.77</v>
      </c>
      <c r="H9" s="1412"/>
      <c r="I9" s="1412"/>
      <c r="J9" s="1412">
        <v>0</v>
      </c>
      <c r="K9" s="1412">
        <v>0</v>
      </c>
      <c r="L9" s="1412"/>
      <c r="M9" s="1412"/>
      <c r="N9" s="1412">
        <v>0</v>
      </c>
      <c r="O9" s="1412"/>
      <c r="P9" s="1412"/>
      <c r="Q9" s="1412">
        <v>0</v>
      </c>
      <c r="R9" s="1412"/>
      <c r="S9" s="1412"/>
      <c r="T9" s="1412"/>
      <c r="U9" s="1412">
        <v>0</v>
      </c>
      <c r="V9" s="1412">
        <v>0</v>
      </c>
      <c r="W9" s="1412"/>
      <c r="X9" s="1412"/>
      <c r="Y9" s="1412"/>
      <c r="Z9" s="1412">
        <v>0</v>
      </c>
      <c r="AA9" s="1412"/>
      <c r="AB9" s="1412"/>
      <c r="AC9" s="1412">
        <v>0</v>
      </c>
      <c r="AD9" s="1412"/>
      <c r="AE9" s="1412"/>
      <c r="AF9" s="1412"/>
      <c r="AG9" s="1412">
        <v>0</v>
      </c>
      <c r="AH9" s="1412"/>
      <c r="AI9" s="1412"/>
      <c r="AJ9" s="1412"/>
      <c r="AK9" s="1412"/>
      <c r="AL9" s="1412">
        <v>0</v>
      </c>
      <c r="AM9" s="1412"/>
      <c r="AN9" s="1412"/>
      <c r="AO9" s="1412"/>
      <c r="AP9" s="1412"/>
      <c r="AQ9" s="1412">
        <v>293177.21871118544</v>
      </c>
      <c r="AR9" s="1412">
        <v>283210.67489377043</v>
      </c>
      <c r="AS9" s="1412">
        <v>9966.5438174150004</v>
      </c>
      <c r="AT9" s="1412">
        <v>9966.5438174150004</v>
      </c>
      <c r="AU9" s="1412"/>
      <c r="AV9" s="1412"/>
      <c r="AW9" s="1412"/>
      <c r="AX9" s="1412"/>
      <c r="AY9" s="1412">
        <v>178712</v>
      </c>
      <c r="AZ9" s="1412">
        <v>178712</v>
      </c>
      <c r="BA9" s="1412">
        <v>178712</v>
      </c>
      <c r="BB9" s="1412"/>
      <c r="BC9" s="1412"/>
      <c r="BD9" s="1412"/>
      <c r="BE9" s="1412">
        <v>0</v>
      </c>
      <c r="BF9" s="1412"/>
      <c r="BG9" s="1412"/>
      <c r="BH9" s="1412"/>
      <c r="BI9" s="1412"/>
      <c r="BJ9" s="1412"/>
      <c r="BK9" s="1412"/>
      <c r="BL9" s="1412">
        <v>0</v>
      </c>
      <c r="BM9" s="1412">
        <v>0</v>
      </c>
      <c r="BN9" s="1412"/>
      <c r="BO9" s="1412"/>
      <c r="BP9" s="1412"/>
      <c r="BQ9" s="1412"/>
      <c r="BR9" s="1412"/>
      <c r="BS9" s="1412"/>
      <c r="BT9" s="1412">
        <v>0</v>
      </c>
      <c r="BU9" s="1412">
        <v>0</v>
      </c>
      <c r="BV9" s="1412"/>
      <c r="BW9" s="1412"/>
      <c r="BX9" s="1412"/>
      <c r="BY9" s="1412"/>
      <c r="BZ9" s="1412">
        <v>0</v>
      </c>
      <c r="CA9" s="1412"/>
      <c r="CB9" s="1412"/>
      <c r="CC9" s="1412"/>
      <c r="CD9" s="1412"/>
      <c r="CE9" s="1412"/>
      <c r="CF9" s="1412"/>
      <c r="CG9" s="1412"/>
      <c r="CH9" s="1412"/>
      <c r="CI9" s="1412"/>
      <c r="CJ9" s="1412"/>
      <c r="CK9" s="1412"/>
      <c r="CL9" s="1412"/>
      <c r="CM9" s="1412"/>
      <c r="CN9" s="1412">
        <v>0</v>
      </c>
      <c r="CO9" s="1412">
        <v>0</v>
      </c>
      <c r="CP9" s="1412"/>
      <c r="CQ9" s="1412"/>
      <c r="CR9" s="1412"/>
      <c r="CS9" s="1412"/>
      <c r="CT9" s="1412"/>
      <c r="CU9" s="1412">
        <v>0</v>
      </c>
      <c r="CV9" s="1412"/>
      <c r="CW9" s="1412"/>
      <c r="CX9" s="1412"/>
      <c r="CY9" s="1412"/>
      <c r="CZ9" s="1412"/>
      <c r="DA9" s="1412"/>
      <c r="DB9" s="1412">
        <v>0</v>
      </c>
      <c r="DC9" s="1412"/>
      <c r="DD9" s="1412"/>
      <c r="DE9" s="1412"/>
      <c r="DF9" s="1412">
        <v>68128225.270000026</v>
      </c>
      <c r="DG9" s="1412">
        <v>0</v>
      </c>
      <c r="DH9" s="1412">
        <v>0</v>
      </c>
      <c r="DI9" s="1412"/>
      <c r="DJ9" s="1412"/>
      <c r="DK9" s="1412">
        <v>0</v>
      </c>
      <c r="DL9" s="1412"/>
      <c r="DM9" s="1412"/>
      <c r="DN9" s="1412">
        <v>0</v>
      </c>
      <c r="DO9" s="1412"/>
      <c r="DP9" s="1412"/>
      <c r="DQ9" s="1412">
        <v>68128225.270000026</v>
      </c>
      <c r="DR9" s="1412">
        <v>2104709.36614786</v>
      </c>
      <c r="DS9" s="1412">
        <v>66023515.903852165</v>
      </c>
      <c r="DT9" s="1412"/>
      <c r="DU9" s="1412"/>
      <c r="DV9" s="1412">
        <v>0</v>
      </c>
      <c r="DW9" s="1412"/>
      <c r="DX9" s="1412"/>
      <c r="DY9" s="1412"/>
      <c r="DZ9" s="1412">
        <v>0</v>
      </c>
      <c r="EA9" s="1412">
        <v>0</v>
      </c>
      <c r="EB9" s="1412"/>
      <c r="EC9" s="1412"/>
      <c r="ED9" s="1412">
        <v>0</v>
      </c>
      <c r="EE9" s="1412"/>
      <c r="EF9" s="1412"/>
      <c r="EG9" s="1412">
        <v>0</v>
      </c>
      <c r="EH9" s="1412"/>
      <c r="EI9" s="1412"/>
      <c r="EJ9" s="1412"/>
      <c r="EK9" s="1412">
        <v>0</v>
      </c>
      <c r="EL9" s="1412"/>
      <c r="EM9" s="1412">
        <v>0</v>
      </c>
      <c r="EN9" s="1412"/>
      <c r="EO9" s="1412"/>
      <c r="EP9" s="1412"/>
      <c r="EQ9" s="1412">
        <v>0</v>
      </c>
      <c r="ER9" s="1412"/>
      <c r="ES9" s="1412"/>
      <c r="ET9" s="1412"/>
      <c r="EU9" s="1412">
        <v>0</v>
      </c>
      <c r="EV9" s="1412"/>
      <c r="EW9" s="1412"/>
      <c r="EX9" s="1412"/>
      <c r="EY9" s="1412"/>
      <c r="EZ9" s="1412">
        <v>0</v>
      </c>
      <c r="FA9" s="1412"/>
      <c r="FB9" s="1412">
        <v>0</v>
      </c>
      <c r="FC9" s="1412"/>
      <c r="FD9" s="1412"/>
      <c r="FE9" s="1412"/>
      <c r="FF9" s="1412">
        <v>0</v>
      </c>
      <c r="FG9" s="1412"/>
      <c r="FH9" s="1412"/>
      <c r="FI9" s="1412"/>
      <c r="FJ9" s="1412">
        <v>0</v>
      </c>
      <c r="FK9" s="1412"/>
      <c r="FL9" s="1412"/>
      <c r="FM9" s="1412"/>
      <c r="FN9" s="1412"/>
      <c r="FO9" s="1412">
        <v>0</v>
      </c>
      <c r="FP9" s="1412"/>
      <c r="FQ9" s="1412"/>
      <c r="FR9" s="1412"/>
      <c r="FS9" s="1412"/>
      <c r="FT9" s="1412"/>
      <c r="FU9" s="1412"/>
      <c r="FV9" s="1412"/>
      <c r="FW9" s="1412">
        <v>21110017.310000002</v>
      </c>
      <c r="FX9" s="1412">
        <v>15615925.450000001</v>
      </c>
      <c r="FY9" s="1412">
        <v>5353295.3099999996</v>
      </c>
      <c r="FZ9" s="1412">
        <v>140796.54999999999</v>
      </c>
      <c r="GA9" s="1412"/>
      <c r="GB9" s="1412">
        <v>9696091.5799999982</v>
      </c>
      <c r="GC9" s="1412"/>
      <c r="GD9" s="1412"/>
      <c r="GE9" s="1412"/>
      <c r="GF9" s="1412">
        <v>99436723.148711205</v>
      </c>
      <c r="GG9" s="1206"/>
    </row>
    <row r="10" spans="2:189">
      <c r="B10" s="1208">
        <v>42186</v>
      </c>
      <c r="C10" s="1412"/>
      <c r="D10" s="1412"/>
      <c r="E10" s="1412">
        <v>1608276</v>
      </c>
      <c r="F10" s="1412"/>
      <c r="G10" s="1412">
        <v>1608276</v>
      </c>
      <c r="H10" s="1412"/>
      <c r="I10" s="1412"/>
      <c r="J10" s="1412">
        <v>0</v>
      </c>
      <c r="K10" s="1412">
        <v>0</v>
      </c>
      <c r="L10" s="1412"/>
      <c r="M10" s="1412"/>
      <c r="N10" s="1412">
        <v>0</v>
      </c>
      <c r="O10" s="1412"/>
      <c r="P10" s="1412"/>
      <c r="Q10" s="1412">
        <v>0</v>
      </c>
      <c r="R10" s="1412"/>
      <c r="S10" s="1412"/>
      <c r="T10" s="1412"/>
      <c r="U10" s="1412">
        <v>0</v>
      </c>
      <c r="V10" s="1412">
        <v>0</v>
      </c>
      <c r="W10" s="1412"/>
      <c r="X10" s="1412"/>
      <c r="Y10" s="1412"/>
      <c r="Z10" s="1412">
        <v>0</v>
      </c>
      <c r="AA10" s="1412"/>
      <c r="AB10" s="1412"/>
      <c r="AC10" s="1412">
        <v>0</v>
      </c>
      <c r="AD10" s="1412"/>
      <c r="AE10" s="1412"/>
      <c r="AF10" s="1412"/>
      <c r="AG10" s="1412">
        <v>0</v>
      </c>
      <c r="AH10" s="1412"/>
      <c r="AI10" s="1412"/>
      <c r="AJ10" s="1412"/>
      <c r="AK10" s="1412"/>
      <c r="AL10" s="1412">
        <v>0</v>
      </c>
      <c r="AM10" s="1412"/>
      <c r="AN10" s="1412"/>
      <c r="AO10" s="1412"/>
      <c r="AP10" s="1412"/>
      <c r="AQ10" s="1412">
        <v>171891</v>
      </c>
      <c r="AR10" s="1412">
        <v>161924</v>
      </c>
      <c r="AS10" s="1412">
        <v>9967</v>
      </c>
      <c r="AT10" s="1412">
        <v>9967</v>
      </c>
      <c r="AU10" s="1412"/>
      <c r="AV10" s="1412"/>
      <c r="AW10" s="1412"/>
      <c r="AX10" s="1412"/>
      <c r="AY10" s="1412">
        <v>178712</v>
      </c>
      <c r="AZ10" s="1412">
        <v>178712</v>
      </c>
      <c r="BA10" s="1412">
        <v>178712</v>
      </c>
      <c r="BB10" s="1412"/>
      <c r="BC10" s="1412"/>
      <c r="BD10" s="1412"/>
      <c r="BE10" s="1412">
        <v>0</v>
      </c>
      <c r="BF10" s="1412"/>
      <c r="BG10" s="1412"/>
      <c r="BH10" s="1412"/>
      <c r="BI10" s="1412"/>
      <c r="BJ10" s="1412"/>
      <c r="BK10" s="1412"/>
      <c r="BL10" s="1412">
        <v>0</v>
      </c>
      <c r="BM10" s="1412">
        <v>0</v>
      </c>
      <c r="BN10" s="1412"/>
      <c r="BO10" s="1412"/>
      <c r="BP10" s="1412"/>
      <c r="BQ10" s="1412"/>
      <c r="BR10" s="1412"/>
      <c r="BS10" s="1412"/>
      <c r="BT10" s="1412">
        <v>0</v>
      </c>
      <c r="BU10" s="1412">
        <v>0</v>
      </c>
      <c r="BV10" s="1412"/>
      <c r="BW10" s="1412"/>
      <c r="BX10" s="1412"/>
      <c r="BY10" s="1412"/>
      <c r="BZ10" s="1412">
        <v>0</v>
      </c>
      <c r="CA10" s="1412"/>
      <c r="CB10" s="1412"/>
      <c r="CC10" s="1412"/>
      <c r="CD10" s="1412"/>
      <c r="CE10" s="1412"/>
      <c r="CF10" s="1412"/>
      <c r="CG10" s="1412"/>
      <c r="CH10" s="1412"/>
      <c r="CI10" s="1412"/>
      <c r="CJ10" s="1412"/>
      <c r="CK10" s="1412"/>
      <c r="CL10" s="1412"/>
      <c r="CM10" s="1412"/>
      <c r="CN10" s="1412">
        <v>0</v>
      </c>
      <c r="CO10" s="1412">
        <v>0</v>
      </c>
      <c r="CP10" s="1412"/>
      <c r="CQ10" s="1412"/>
      <c r="CR10" s="1412"/>
      <c r="CS10" s="1412"/>
      <c r="CT10" s="1412"/>
      <c r="CU10" s="1412">
        <v>0</v>
      </c>
      <c r="CV10" s="1412"/>
      <c r="CW10" s="1412"/>
      <c r="CX10" s="1412"/>
      <c r="CY10" s="1412"/>
      <c r="CZ10" s="1412"/>
      <c r="DA10" s="1412"/>
      <c r="DB10" s="1412">
        <v>0</v>
      </c>
      <c r="DC10" s="1412"/>
      <c r="DD10" s="1412"/>
      <c r="DE10" s="1412"/>
      <c r="DF10" s="1412">
        <v>67788295</v>
      </c>
      <c r="DG10" s="1412">
        <v>0</v>
      </c>
      <c r="DH10" s="1412">
        <v>0</v>
      </c>
      <c r="DI10" s="1412"/>
      <c r="DJ10" s="1412"/>
      <c r="DK10" s="1412">
        <v>0</v>
      </c>
      <c r="DL10" s="1412"/>
      <c r="DM10" s="1412"/>
      <c r="DN10" s="1412">
        <v>0</v>
      </c>
      <c r="DO10" s="1412"/>
      <c r="DP10" s="1412"/>
      <c r="DQ10" s="1412">
        <v>67788295</v>
      </c>
      <c r="DR10" s="1412">
        <v>2094235</v>
      </c>
      <c r="DS10" s="1412">
        <v>65694060</v>
      </c>
      <c r="DT10" s="1412"/>
      <c r="DU10" s="1412"/>
      <c r="DV10" s="1412">
        <v>0</v>
      </c>
      <c r="DW10" s="1412"/>
      <c r="DX10" s="1412"/>
      <c r="DY10" s="1412"/>
      <c r="DZ10" s="1412">
        <v>0</v>
      </c>
      <c r="EA10" s="1412">
        <v>0</v>
      </c>
      <c r="EB10" s="1412"/>
      <c r="EC10" s="1412"/>
      <c r="ED10" s="1412">
        <v>0</v>
      </c>
      <c r="EE10" s="1412"/>
      <c r="EF10" s="1412"/>
      <c r="EG10" s="1412">
        <v>0</v>
      </c>
      <c r="EH10" s="1412"/>
      <c r="EI10" s="1412"/>
      <c r="EJ10" s="1412"/>
      <c r="EK10" s="1412">
        <v>0</v>
      </c>
      <c r="EL10" s="1412"/>
      <c r="EM10" s="1412">
        <v>0</v>
      </c>
      <c r="EN10" s="1412"/>
      <c r="EO10" s="1412"/>
      <c r="EP10" s="1412"/>
      <c r="EQ10" s="1412">
        <v>0</v>
      </c>
      <c r="ER10" s="1412"/>
      <c r="ES10" s="1412"/>
      <c r="ET10" s="1412"/>
      <c r="EU10" s="1412">
        <v>0</v>
      </c>
      <c r="EV10" s="1412"/>
      <c r="EW10" s="1412"/>
      <c r="EX10" s="1412"/>
      <c r="EY10" s="1412"/>
      <c r="EZ10" s="1412">
        <v>0</v>
      </c>
      <c r="FA10" s="1412"/>
      <c r="FB10" s="1412">
        <v>0</v>
      </c>
      <c r="FC10" s="1412"/>
      <c r="FD10" s="1412"/>
      <c r="FE10" s="1412"/>
      <c r="FF10" s="1412">
        <v>0</v>
      </c>
      <c r="FG10" s="1412"/>
      <c r="FH10" s="1412"/>
      <c r="FI10" s="1412"/>
      <c r="FJ10" s="1412">
        <v>0</v>
      </c>
      <c r="FK10" s="1412"/>
      <c r="FL10" s="1412"/>
      <c r="FM10" s="1412"/>
      <c r="FN10" s="1412"/>
      <c r="FO10" s="1412">
        <v>0</v>
      </c>
      <c r="FP10" s="1412"/>
      <c r="FQ10" s="1412"/>
      <c r="FR10" s="1412"/>
      <c r="FS10" s="1412"/>
      <c r="FT10" s="1412"/>
      <c r="FU10" s="1412"/>
      <c r="FV10" s="1412"/>
      <c r="FW10" s="1412">
        <v>21027278</v>
      </c>
      <c r="FX10" s="1412">
        <v>15611086</v>
      </c>
      <c r="FY10" s="1412">
        <v>5266609</v>
      </c>
      <c r="FZ10" s="1412">
        <v>149583</v>
      </c>
      <c r="GA10" s="1412"/>
      <c r="GB10" s="1412">
        <v>9201031</v>
      </c>
      <c r="GC10" s="1412"/>
      <c r="GD10" s="1412"/>
      <c r="GE10" s="1412"/>
      <c r="GF10" s="1412">
        <v>99975483</v>
      </c>
      <c r="GG10" s="1206"/>
    </row>
    <row r="11" spans="2:189">
      <c r="B11" s="1208">
        <v>42217</v>
      </c>
      <c r="C11" s="1412"/>
      <c r="D11" s="1412"/>
      <c r="E11" s="1412">
        <v>1770091</v>
      </c>
      <c r="F11" s="1412"/>
      <c r="G11" s="1412">
        <v>1770091</v>
      </c>
      <c r="H11" s="1412"/>
      <c r="I11" s="1412"/>
      <c r="J11" s="1412">
        <v>0</v>
      </c>
      <c r="K11" s="1412">
        <v>0</v>
      </c>
      <c r="L11" s="1412"/>
      <c r="M11" s="1412"/>
      <c r="N11" s="1412">
        <v>0</v>
      </c>
      <c r="O11" s="1412"/>
      <c r="P11" s="1412"/>
      <c r="Q11" s="1412">
        <v>0</v>
      </c>
      <c r="R11" s="1412"/>
      <c r="S11" s="1412"/>
      <c r="T11" s="1412"/>
      <c r="U11" s="1412">
        <v>0</v>
      </c>
      <c r="V11" s="1412">
        <v>0</v>
      </c>
      <c r="W11" s="1412"/>
      <c r="X11" s="1412"/>
      <c r="Y11" s="1412"/>
      <c r="Z11" s="1412">
        <v>0</v>
      </c>
      <c r="AA11" s="1412"/>
      <c r="AB11" s="1412"/>
      <c r="AC11" s="1412">
        <v>0</v>
      </c>
      <c r="AD11" s="1412"/>
      <c r="AE11" s="1412"/>
      <c r="AF11" s="1412"/>
      <c r="AG11" s="1412">
        <v>0</v>
      </c>
      <c r="AH11" s="1412"/>
      <c r="AI11" s="1412"/>
      <c r="AJ11" s="1412"/>
      <c r="AK11" s="1412"/>
      <c r="AL11" s="1412">
        <v>0</v>
      </c>
      <c r="AM11" s="1412"/>
      <c r="AN11" s="1412"/>
      <c r="AO11" s="1412"/>
      <c r="AP11" s="1412"/>
      <c r="AQ11" s="1412">
        <v>81208</v>
      </c>
      <c r="AR11" s="1412">
        <v>71241</v>
      </c>
      <c r="AS11" s="1412">
        <v>9967</v>
      </c>
      <c r="AT11" s="1412">
        <v>9967</v>
      </c>
      <c r="AU11" s="1412"/>
      <c r="AV11" s="1412"/>
      <c r="AW11" s="1412"/>
      <c r="AX11" s="1412"/>
      <c r="AY11" s="1412">
        <v>178712</v>
      </c>
      <c r="AZ11" s="1412">
        <v>178712</v>
      </c>
      <c r="BA11" s="1412">
        <v>178712</v>
      </c>
      <c r="BB11" s="1412"/>
      <c r="BC11" s="1412"/>
      <c r="BD11" s="1412"/>
      <c r="BE11" s="1412">
        <v>0</v>
      </c>
      <c r="BF11" s="1412"/>
      <c r="BG11" s="1412"/>
      <c r="BH11" s="1412"/>
      <c r="BI11" s="1412"/>
      <c r="BJ11" s="1412"/>
      <c r="BK11" s="1412"/>
      <c r="BL11" s="1412">
        <v>0</v>
      </c>
      <c r="BM11" s="1412">
        <v>0</v>
      </c>
      <c r="BN11" s="1412"/>
      <c r="BO11" s="1412"/>
      <c r="BP11" s="1412"/>
      <c r="BQ11" s="1412"/>
      <c r="BR11" s="1412"/>
      <c r="BS11" s="1412"/>
      <c r="BT11" s="1412">
        <v>0</v>
      </c>
      <c r="BU11" s="1412">
        <v>0</v>
      </c>
      <c r="BV11" s="1412"/>
      <c r="BW11" s="1412"/>
      <c r="BX11" s="1412"/>
      <c r="BY11" s="1412"/>
      <c r="BZ11" s="1412">
        <v>0</v>
      </c>
      <c r="CA11" s="1412"/>
      <c r="CB11" s="1412"/>
      <c r="CC11" s="1412"/>
      <c r="CD11" s="1412"/>
      <c r="CE11" s="1412"/>
      <c r="CF11" s="1412"/>
      <c r="CG11" s="1412"/>
      <c r="CH11" s="1412"/>
      <c r="CI11" s="1412"/>
      <c r="CJ11" s="1412"/>
      <c r="CK11" s="1412"/>
      <c r="CL11" s="1412"/>
      <c r="CM11" s="1412"/>
      <c r="CN11" s="1412">
        <v>0</v>
      </c>
      <c r="CO11" s="1412">
        <v>0</v>
      </c>
      <c r="CP11" s="1412"/>
      <c r="CQ11" s="1412"/>
      <c r="CR11" s="1412"/>
      <c r="CS11" s="1412"/>
      <c r="CT11" s="1412"/>
      <c r="CU11" s="1412">
        <v>0</v>
      </c>
      <c r="CV11" s="1412"/>
      <c r="CW11" s="1412"/>
      <c r="CX11" s="1412"/>
      <c r="CY11" s="1412"/>
      <c r="CZ11" s="1412"/>
      <c r="DA11" s="1412"/>
      <c r="DB11" s="1412">
        <v>0</v>
      </c>
      <c r="DC11" s="1412"/>
      <c r="DD11" s="1412"/>
      <c r="DE11" s="1412"/>
      <c r="DF11" s="1412">
        <v>60008121</v>
      </c>
      <c r="DG11" s="1412">
        <v>0</v>
      </c>
      <c r="DH11" s="1412">
        <v>0</v>
      </c>
      <c r="DI11" s="1412"/>
      <c r="DJ11" s="1412"/>
      <c r="DK11" s="1412">
        <v>0</v>
      </c>
      <c r="DL11" s="1412"/>
      <c r="DM11" s="1412"/>
      <c r="DN11" s="1412">
        <v>0</v>
      </c>
      <c r="DO11" s="1412"/>
      <c r="DP11" s="1412"/>
      <c r="DQ11" s="1412">
        <v>60008121</v>
      </c>
      <c r="DR11" s="1412">
        <v>1854508</v>
      </c>
      <c r="DS11" s="1412">
        <v>58153613</v>
      </c>
      <c r="DT11" s="1412"/>
      <c r="DU11" s="1412"/>
      <c r="DV11" s="1412">
        <v>0</v>
      </c>
      <c r="DW11" s="1412"/>
      <c r="DX11" s="1412"/>
      <c r="DY11" s="1412"/>
      <c r="DZ11" s="1412">
        <v>0</v>
      </c>
      <c r="EA11" s="1412">
        <v>0</v>
      </c>
      <c r="EB11" s="1412"/>
      <c r="EC11" s="1412"/>
      <c r="ED11" s="1412">
        <v>0</v>
      </c>
      <c r="EE11" s="1412"/>
      <c r="EF11" s="1412"/>
      <c r="EG11" s="1412">
        <v>0</v>
      </c>
      <c r="EH11" s="1412"/>
      <c r="EI11" s="1412"/>
      <c r="EJ11" s="1412"/>
      <c r="EK11" s="1412">
        <v>0</v>
      </c>
      <c r="EL11" s="1412"/>
      <c r="EM11" s="1412">
        <v>0</v>
      </c>
      <c r="EN11" s="1412"/>
      <c r="EO11" s="1412"/>
      <c r="EP11" s="1412"/>
      <c r="EQ11" s="1412">
        <v>0</v>
      </c>
      <c r="ER11" s="1412"/>
      <c r="ES11" s="1412"/>
      <c r="ET11" s="1412"/>
      <c r="EU11" s="1412">
        <v>0</v>
      </c>
      <c r="EV11" s="1412"/>
      <c r="EW11" s="1412"/>
      <c r="EX11" s="1412"/>
      <c r="EY11" s="1412"/>
      <c r="EZ11" s="1412">
        <v>0</v>
      </c>
      <c r="FA11" s="1412"/>
      <c r="FB11" s="1412">
        <v>0</v>
      </c>
      <c r="FC11" s="1412"/>
      <c r="FD11" s="1412"/>
      <c r="FE11" s="1412"/>
      <c r="FF11" s="1412">
        <v>0</v>
      </c>
      <c r="FG11" s="1412"/>
      <c r="FH11" s="1412"/>
      <c r="FI11" s="1412"/>
      <c r="FJ11" s="1412">
        <v>0</v>
      </c>
      <c r="FK11" s="1412"/>
      <c r="FL11" s="1412"/>
      <c r="FM11" s="1412"/>
      <c r="FN11" s="1412"/>
      <c r="FO11" s="1412">
        <v>0</v>
      </c>
      <c r="FP11" s="1412"/>
      <c r="FQ11" s="1412"/>
      <c r="FR11" s="1412"/>
      <c r="FS11" s="1412"/>
      <c r="FT11" s="1412"/>
      <c r="FU11" s="1412"/>
      <c r="FV11" s="1412"/>
      <c r="FW11" s="1412">
        <v>28086409</v>
      </c>
      <c r="FX11" s="1412">
        <v>22806247</v>
      </c>
      <c r="FY11" s="1412">
        <v>5144137</v>
      </c>
      <c r="FZ11" s="1412">
        <v>136025</v>
      </c>
      <c r="GA11" s="1412"/>
      <c r="GB11" s="1412">
        <v>9268429</v>
      </c>
      <c r="GC11" s="1412"/>
      <c r="GD11" s="1412"/>
      <c r="GE11" s="1412"/>
      <c r="GF11" s="1412">
        <v>99392970</v>
      </c>
      <c r="GG11" s="1206"/>
    </row>
    <row r="12" spans="2:189">
      <c r="B12" s="1208">
        <v>42248</v>
      </c>
      <c r="C12" s="1412"/>
      <c r="D12" s="1412"/>
      <c r="E12" s="1412">
        <v>2221054</v>
      </c>
      <c r="F12" s="1412"/>
      <c r="G12" s="1412">
        <v>2221054</v>
      </c>
      <c r="H12" s="1412"/>
      <c r="I12" s="1412"/>
      <c r="J12" s="1412">
        <v>0</v>
      </c>
      <c r="K12" s="1412">
        <v>0</v>
      </c>
      <c r="L12" s="1412"/>
      <c r="M12" s="1412"/>
      <c r="N12" s="1412">
        <v>0</v>
      </c>
      <c r="O12" s="1412"/>
      <c r="P12" s="1412"/>
      <c r="Q12" s="1412">
        <v>0</v>
      </c>
      <c r="R12" s="1412"/>
      <c r="S12" s="1412"/>
      <c r="T12" s="1412"/>
      <c r="U12" s="1412">
        <v>0</v>
      </c>
      <c r="V12" s="1412">
        <v>0</v>
      </c>
      <c r="W12" s="1412"/>
      <c r="X12" s="1412"/>
      <c r="Y12" s="1412"/>
      <c r="Z12" s="1412">
        <v>0</v>
      </c>
      <c r="AA12" s="1412"/>
      <c r="AB12" s="1412"/>
      <c r="AC12" s="1412">
        <v>0</v>
      </c>
      <c r="AD12" s="1412"/>
      <c r="AE12" s="1412"/>
      <c r="AF12" s="1412"/>
      <c r="AG12" s="1412">
        <v>0</v>
      </c>
      <c r="AH12" s="1412"/>
      <c r="AI12" s="1412"/>
      <c r="AJ12" s="1412"/>
      <c r="AK12" s="1412"/>
      <c r="AL12" s="1412">
        <v>0</v>
      </c>
      <c r="AM12" s="1412"/>
      <c r="AN12" s="1412"/>
      <c r="AO12" s="1412"/>
      <c r="AP12" s="1412"/>
      <c r="AQ12" s="1412">
        <v>96306</v>
      </c>
      <c r="AR12" s="1412">
        <v>92945</v>
      </c>
      <c r="AS12" s="1412">
        <v>3361</v>
      </c>
      <c r="AT12" s="1412">
        <v>3361</v>
      </c>
      <c r="AU12" s="1412"/>
      <c r="AV12" s="1412"/>
      <c r="AW12" s="1412"/>
      <c r="AX12" s="1412"/>
      <c r="AY12" s="1412">
        <v>184216</v>
      </c>
      <c r="AZ12" s="1412">
        <v>184216</v>
      </c>
      <c r="BA12" s="1412">
        <v>184216</v>
      </c>
      <c r="BB12" s="1412"/>
      <c r="BC12" s="1412"/>
      <c r="BD12" s="1412"/>
      <c r="BE12" s="1412">
        <v>0</v>
      </c>
      <c r="BF12" s="1412"/>
      <c r="BG12" s="1412"/>
      <c r="BH12" s="1412"/>
      <c r="BI12" s="1412"/>
      <c r="BJ12" s="1412"/>
      <c r="BK12" s="1412"/>
      <c r="BL12" s="1412">
        <v>0</v>
      </c>
      <c r="BM12" s="1412">
        <v>0</v>
      </c>
      <c r="BN12" s="1412"/>
      <c r="BO12" s="1412"/>
      <c r="BP12" s="1412"/>
      <c r="BQ12" s="1412"/>
      <c r="BR12" s="1412"/>
      <c r="BS12" s="1412"/>
      <c r="BT12" s="1412">
        <v>0</v>
      </c>
      <c r="BU12" s="1412">
        <v>0</v>
      </c>
      <c r="BV12" s="1412"/>
      <c r="BW12" s="1412"/>
      <c r="BX12" s="1412"/>
      <c r="BY12" s="1412"/>
      <c r="BZ12" s="1412">
        <v>0</v>
      </c>
      <c r="CA12" s="1412"/>
      <c r="CB12" s="1412"/>
      <c r="CC12" s="1412"/>
      <c r="CD12" s="1412"/>
      <c r="CE12" s="1412"/>
      <c r="CF12" s="1412"/>
      <c r="CG12" s="1412"/>
      <c r="CH12" s="1412"/>
      <c r="CI12" s="1412"/>
      <c r="CJ12" s="1412"/>
      <c r="CK12" s="1412"/>
      <c r="CL12" s="1412"/>
      <c r="CM12" s="1412"/>
      <c r="CN12" s="1412">
        <v>0</v>
      </c>
      <c r="CO12" s="1412">
        <v>0</v>
      </c>
      <c r="CP12" s="1412"/>
      <c r="CQ12" s="1412"/>
      <c r="CR12" s="1412"/>
      <c r="CS12" s="1412"/>
      <c r="CT12" s="1412"/>
      <c r="CU12" s="1412">
        <v>0</v>
      </c>
      <c r="CV12" s="1412"/>
      <c r="CW12" s="1412"/>
      <c r="CX12" s="1412"/>
      <c r="CY12" s="1412"/>
      <c r="CZ12" s="1412"/>
      <c r="DA12" s="1412"/>
      <c r="DB12" s="1412">
        <v>0</v>
      </c>
      <c r="DC12" s="1412"/>
      <c r="DD12" s="1412"/>
      <c r="DE12" s="1412"/>
      <c r="DF12" s="1412">
        <v>59184587</v>
      </c>
      <c r="DG12" s="1412">
        <v>0</v>
      </c>
      <c r="DH12" s="1412">
        <v>0</v>
      </c>
      <c r="DI12" s="1412"/>
      <c r="DJ12" s="1412"/>
      <c r="DK12" s="1412">
        <v>0</v>
      </c>
      <c r="DL12" s="1412"/>
      <c r="DM12" s="1412"/>
      <c r="DN12" s="1412">
        <v>0</v>
      </c>
      <c r="DO12" s="1412"/>
      <c r="DP12" s="1412"/>
      <c r="DQ12" s="1412">
        <v>59184587</v>
      </c>
      <c r="DR12" s="1412">
        <v>1829303</v>
      </c>
      <c r="DS12" s="1412">
        <v>57355284</v>
      </c>
      <c r="DT12" s="1412"/>
      <c r="DU12" s="1412"/>
      <c r="DV12" s="1412">
        <v>0</v>
      </c>
      <c r="DW12" s="1412"/>
      <c r="DX12" s="1412"/>
      <c r="DY12" s="1412"/>
      <c r="DZ12" s="1412">
        <v>0</v>
      </c>
      <c r="EA12" s="1412">
        <v>0</v>
      </c>
      <c r="EB12" s="1412"/>
      <c r="EC12" s="1412"/>
      <c r="ED12" s="1412">
        <v>0</v>
      </c>
      <c r="EE12" s="1412"/>
      <c r="EF12" s="1412"/>
      <c r="EG12" s="1412">
        <v>0</v>
      </c>
      <c r="EH12" s="1412"/>
      <c r="EI12" s="1412"/>
      <c r="EJ12" s="1412"/>
      <c r="EK12" s="1412">
        <v>0</v>
      </c>
      <c r="EL12" s="1412"/>
      <c r="EM12" s="1412">
        <v>0</v>
      </c>
      <c r="EN12" s="1412"/>
      <c r="EO12" s="1412"/>
      <c r="EP12" s="1412"/>
      <c r="EQ12" s="1412">
        <v>0</v>
      </c>
      <c r="ER12" s="1412"/>
      <c r="ES12" s="1412"/>
      <c r="ET12" s="1412"/>
      <c r="EU12" s="1412">
        <v>0</v>
      </c>
      <c r="EV12" s="1412"/>
      <c r="EW12" s="1412"/>
      <c r="EX12" s="1412"/>
      <c r="EY12" s="1412"/>
      <c r="EZ12" s="1412">
        <v>0</v>
      </c>
      <c r="FA12" s="1412"/>
      <c r="FB12" s="1412">
        <v>0</v>
      </c>
      <c r="FC12" s="1412"/>
      <c r="FD12" s="1412"/>
      <c r="FE12" s="1412"/>
      <c r="FF12" s="1412">
        <v>0</v>
      </c>
      <c r="FG12" s="1412"/>
      <c r="FH12" s="1412"/>
      <c r="FI12" s="1412"/>
      <c r="FJ12" s="1412">
        <v>0</v>
      </c>
      <c r="FK12" s="1412"/>
      <c r="FL12" s="1412"/>
      <c r="FM12" s="1412"/>
      <c r="FN12" s="1412"/>
      <c r="FO12" s="1412">
        <v>0</v>
      </c>
      <c r="FP12" s="1412"/>
      <c r="FQ12" s="1412"/>
      <c r="FR12" s="1412"/>
      <c r="FS12" s="1412"/>
      <c r="FT12" s="1412"/>
      <c r="FU12" s="1412"/>
      <c r="FV12" s="1412"/>
      <c r="FW12" s="1412">
        <v>27953848</v>
      </c>
      <c r="FX12" s="1412">
        <v>22801469</v>
      </c>
      <c r="FY12" s="1412">
        <v>5024425</v>
      </c>
      <c r="FZ12" s="1412">
        <v>127954</v>
      </c>
      <c r="GA12" s="1412"/>
      <c r="GB12" s="1412">
        <v>9225666</v>
      </c>
      <c r="GC12" s="1412"/>
      <c r="GD12" s="1412"/>
      <c r="GE12" s="1412"/>
      <c r="GF12" s="1412">
        <v>98865677</v>
      </c>
      <c r="GG12" s="1206"/>
    </row>
    <row r="13" spans="2:189">
      <c r="B13" s="1208">
        <v>42278</v>
      </c>
      <c r="C13" s="1412"/>
      <c r="D13" s="1412"/>
      <c r="E13" s="1412">
        <v>2118218.14</v>
      </c>
      <c r="F13" s="1412"/>
      <c r="G13" s="1412">
        <v>2118218.14</v>
      </c>
      <c r="H13" s="1412"/>
      <c r="I13" s="1412"/>
      <c r="J13" s="1412">
        <v>0</v>
      </c>
      <c r="K13" s="1412">
        <v>0</v>
      </c>
      <c r="L13" s="1412"/>
      <c r="M13" s="1412"/>
      <c r="N13" s="1412">
        <v>0</v>
      </c>
      <c r="O13" s="1412"/>
      <c r="P13" s="1412"/>
      <c r="Q13" s="1412">
        <v>0</v>
      </c>
      <c r="R13" s="1412"/>
      <c r="S13" s="1412"/>
      <c r="T13" s="1412"/>
      <c r="U13" s="1412">
        <v>0</v>
      </c>
      <c r="V13" s="1412">
        <v>0</v>
      </c>
      <c r="W13" s="1412"/>
      <c r="X13" s="1412"/>
      <c r="Y13" s="1412"/>
      <c r="Z13" s="1412">
        <v>0</v>
      </c>
      <c r="AA13" s="1412"/>
      <c r="AB13" s="1412"/>
      <c r="AC13" s="1412">
        <v>0</v>
      </c>
      <c r="AD13" s="1412"/>
      <c r="AE13" s="1412"/>
      <c r="AF13" s="1412"/>
      <c r="AG13" s="1412">
        <v>0</v>
      </c>
      <c r="AH13" s="1412"/>
      <c r="AI13" s="1412"/>
      <c r="AJ13" s="1412"/>
      <c r="AK13" s="1412"/>
      <c r="AL13" s="1412">
        <v>0</v>
      </c>
      <c r="AM13" s="1412"/>
      <c r="AN13" s="1412"/>
      <c r="AO13" s="1412"/>
      <c r="AP13" s="1412"/>
      <c r="AQ13" s="1412">
        <v>103504.52</v>
      </c>
      <c r="AR13" s="1412">
        <v>100143.52</v>
      </c>
      <c r="AS13" s="1412">
        <v>3361</v>
      </c>
      <c r="AT13" s="1412">
        <v>3361</v>
      </c>
      <c r="AU13" s="1412"/>
      <c r="AV13" s="1412"/>
      <c r="AW13" s="1412"/>
      <c r="AX13" s="1412"/>
      <c r="AY13" s="1412">
        <v>184215.65</v>
      </c>
      <c r="AZ13" s="1412">
        <v>184215.65</v>
      </c>
      <c r="BA13" s="1412">
        <v>184215.65</v>
      </c>
      <c r="BB13" s="1412"/>
      <c r="BC13" s="1412"/>
      <c r="BD13" s="1412"/>
      <c r="BE13" s="1412">
        <v>0</v>
      </c>
      <c r="BF13" s="1412"/>
      <c r="BG13" s="1412"/>
      <c r="BH13" s="1412"/>
      <c r="BI13" s="1412"/>
      <c r="BJ13" s="1412"/>
      <c r="BK13" s="1412"/>
      <c r="BL13" s="1412">
        <v>0</v>
      </c>
      <c r="BM13" s="1412">
        <v>0</v>
      </c>
      <c r="BN13" s="1412"/>
      <c r="BO13" s="1412"/>
      <c r="BP13" s="1412"/>
      <c r="BQ13" s="1412"/>
      <c r="BR13" s="1412"/>
      <c r="BS13" s="1412"/>
      <c r="BT13" s="1412">
        <v>0</v>
      </c>
      <c r="BU13" s="1412">
        <v>0</v>
      </c>
      <c r="BV13" s="1412"/>
      <c r="BW13" s="1412"/>
      <c r="BX13" s="1412"/>
      <c r="BY13" s="1412"/>
      <c r="BZ13" s="1412">
        <v>0</v>
      </c>
      <c r="CA13" s="1412"/>
      <c r="CB13" s="1412"/>
      <c r="CC13" s="1412"/>
      <c r="CD13" s="1412"/>
      <c r="CE13" s="1412"/>
      <c r="CF13" s="1412"/>
      <c r="CG13" s="1412"/>
      <c r="CH13" s="1412"/>
      <c r="CI13" s="1412"/>
      <c r="CJ13" s="1412"/>
      <c r="CK13" s="1412"/>
      <c r="CL13" s="1412"/>
      <c r="CM13" s="1412"/>
      <c r="CN13" s="1412">
        <v>0</v>
      </c>
      <c r="CO13" s="1412">
        <v>0</v>
      </c>
      <c r="CP13" s="1412"/>
      <c r="CQ13" s="1412"/>
      <c r="CR13" s="1412"/>
      <c r="CS13" s="1412"/>
      <c r="CT13" s="1412"/>
      <c r="CU13" s="1412">
        <v>0</v>
      </c>
      <c r="CV13" s="1412"/>
      <c r="CW13" s="1412"/>
      <c r="CX13" s="1412"/>
      <c r="CY13" s="1412"/>
      <c r="CZ13" s="1412"/>
      <c r="DA13" s="1412"/>
      <c r="DB13" s="1412">
        <v>0</v>
      </c>
      <c r="DC13" s="1412"/>
      <c r="DD13" s="1412"/>
      <c r="DE13" s="1412"/>
      <c r="DF13" s="1412">
        <v>59424876.564292513</v>
      </c>
      <c r="DG13" s="1412">
        <v>0</v>
      </c>
      <c r="DH13" s="1412">
        <v>0</v>
      </c>
      <c r="DI13" s="1412"/>
      <c r="DJ13" s="1412"/>
      <c r="DK13" s="1412">
        <v>0</v>
      </c>
      <c r="DL13" s="1412"/>
      <c r="DM13" s="1412"/>
      <c r="DN13" s="1412">
        <v>0</v>
      </c>
      <c r="DO13" s="1412"/>
      <c r="DP13" s="1412"/>
      <c r="DQ13" s="1412">
        <v>59424876.564292513</v>
      </c>
      <c r="DR13" s="1412">
        <v>1836706.7783332467</v>
      </c>
      <c r="DS13" s="1412">
        <v>57588169.785959266</v>
      </c>
      <c r="DT13" s="1412"/>
      <c r="DU13" s="1412"/>
      <c r="DV13" s="1412">
        <v>0</v>
      </c>
      <c r="DW13" s="1412"/>
      <c r="DX13" s="1412"/>
      <c r="DY13" s="1412"/>
      <c r="DZ13" s="1412">
        <v>0</v>
      </c>
      <c r="EA13" s="1412">
        <v>0</v>
      </c>
      <c r="EB13" s="1412"/>
      <c r="EC13" s="1412"/>
      <c r="ED13" s="1412">
        <v>0</v>
      </c>
      <c r="EE13" s="1412"/>
      <c r="EF13" s="1412"/>
      <c r="EG13" s="1412">
        <v>0</v>
      </c>
      <c r="EH13" s="1412"/>
      <c r="EI13" s="1412"/>
      <c r="EJ13" s="1412"/>
      <c r="EK13" s="1412">
        <v>0</v>
      </c>
      <c r="EL13" s="1412"/>
      <c r="EM13" s="1412">
        <v>0</v>
      </c>
      <c r="EN13" s="1412"/>
      <c r="EO13" s="1412"/>
      <c r="EP13" s="1412"/>
      <c r="EQ13" s="1412">
        <v>0</v>
      </c>
      <c r="ER13" s="1412"/>
      <c r="ES13" s="1412"/>
      <c r="ET13" s="1412"/>
      <c r="EU13" s="1412">
        <v>0</v>
      </c>
      <c r="EV13" s="1412"/>
      <c r="EW13" s="1412"/>
      <c r="EX13" s="1412"/>
      <c r="EY13" s="1412"/>
      <c r="EZ13" s="1412">
        <v>0</v>
      </c>
      <c r="FA13" s="1412"/>
      <c r="FB13" s="1412">
        <v>0</v>
      </c>
      <c r="FC13" s="1412"/>
      <c r="FD13" s="1412"/>
      <c r="FE13" s="1412"/>
      <c r="FF13" s="1412">
        <v>0</v>
      </c>
      <c r="FG13" s="1412"/>
      <c r="FH13" s="1412"/>
      <c r="FI13" s="1412"/>
      <c r="FJ13" s="1412">
        <v>0</v>
      </c>
      <c r="FK13" s="1412"/>
      <c r="FL13" s="1412"/>
      <c r="FM13" s="1412"/>
      <c r="FN13" s="1412"/>
      <c r="FO13" s="1412">
        <v>0</v>
      </c>
      <c r="FP13" s="1412"/>
      <c r="FQ13" s="1412"/>
      <c r="FR13" s="1412"/>
      <c r="FS13" s="1412"/>
      <c r="FT13" s="1412"/>
      <c r="FU13" s="1412"/>
      <c r="FV13" s="1412"/>
      <c r="FW13" s="1412">
        <v>27821287.289999999</v>
      </c>
      <c r="FX13" s="1412">
        <v>22796691.530000001</v>
      </c>
      <c r="FY13" s="1412">
        <v>4904713.9099999983</v>
      </c>
      <c r="FZ13" s="1412">
        <v>119881.84999999992</v>
      </c>
      <c r="GA13" s="1412"/>
      <c r="GB13" s="1412">
        <v>9101265.959499998</v>
      </c>
      <c r="GC13" s="1412"/>
      <c r="GD13" s="1412"/>
      <c r="GE13" s="1412"/>
      <c r="GF13" s="1412">
        <v>98753368.123792514</v>
      </c>
      <c r="GG13" s="1206"/>
    </row>
    <row r="14" spans="2:189">
      <c r="B14" s="1208">
        <v>42309</v>
      </c>
      <c r="C14" s="1412"/>
      <c r="D14" s="1412"/>
      <c r="E14" s="1412">
        <v>2043128.45</v>
      </c>
      <c r="F14" s="1412"/>
      <c r="G14" s="1412">
        <v>2043128.45</v>
      </c>
      <c r="H14" s="1412"/>
      <c r="I14" s="1412"/>
      <c r="J14" s="1412">
        <v>0</v>
      </c>
      <c r="K14" s="1412">
        <v>0</v>
      </c>
      <c r="L14" s="1412"/>
      <c r="M14" s="1412"/>
      <c r="N14" s="1412">
        <v>0</v>
      </c>
      <c r="O14" s="1412"/>
      <c r="P14" s="1412"/>
      <c r="Q14" s="1412">
        <v>0</v>
      </c>
      <c r="R14" s="1412"/>
      <c r="S14" s="1412"/>
      <c r="T14" s="1412"/>
      <c r="U14" s="1412">
        <v>0</v>
      </c>
      <c r="V14" s="1412">
        <v>0</v>
      </c>
      <c r="W14" s="1412"/>
      <c r="X14" s="1412"/>
      <c r="Y14" s="1412"/>
      <c r="Z14" s="1412">
        <v>0</v>
      </c>
      <c r="AA14" s="1412"/>
      <c r="AB14" s="1412"/>
      <c r="AC14" s="1412">
        <v>0</v>
      </c>
      <c r="AD14" s="1412"/>
      <c r="AE14" s="1412"/>
      <c r="AF14" s="1412"/>
      <c r="AG14" s="1412">
        <v>0</v>
      </c>
      <c r="AH14" s="1412"/>
      <c r="AI14" s="1412"/>
      <c r="AJ14" s="1412"/>
      <c r="AK14" s="1412"/>
      <c r="AL14" s="1412">
        <v>0</v>
      </c>
      <c r="AM14" s="1412"/>
      <c r="AN14" s="1412"/>
      <c r="AO14" s="1412"/>
      <c r="AP14" s="1412"/>
      <c r="AQ14" s="1412">
        <v>128355.59</v>
      </c>
      <c r="AR14" s="1412">
        <v>124994.59</v>
      </c>
      <c r="AS14" s="1412">
        <v>3361</v>
      </c>
      <c r="AT14" s="1412">
        <v>3361</v>
      </c>
      <c r="AU14" s="1412"/>
      <c r="AV14" s="1412"/>
      <c r="AW14" s="1412"/>
      <c r="AX14" s="1412"/>
      <c r="AY14" s="1412">
        <v>184215.65</v>
      </c>
      <c r="AZ14" s="1412">
        <v>184215.65</v>
      </c>
      <c r="BA14" s="1412">
        <v>184215.65</v>
      </c>
      <c r="BB14" s="1412"/>
      <c r="BC14" s="1412"/>
      <c r="BD14" s="1412"/>
      <c r="BE14" s="1412">
        <v>0</v>
      </c>
      <c r="BF14" s="1412"/>
      <c r="BG14" s="1412"/>
      <c r="BH14" s="1412"/>
      <c r="BI14" s="1412"/>
      <c r="BJ14" s="1412"/>
      <c r="BK14" s="1412"/>
      <c r="BL14" s="1412">
        <v>0</v>
      </c>
      <c r="BM14" s="1412">
        <v>0</v>
      </c>
      <c r="BN14" s="1412"/>
      <c r="BO14" s="1412"/>
      <c r="BP14" s="1412"/>
      <c r="BQ14" s="1412"/>
      <c r="BR14" s="1412"/>
      <c r="BS14" s="1412"/>
      <c r="BT14" s="1412">
        <v>0</v>
      </c>
      <c r="BU14" s="1412">
        <v>0</v>
      </c>
      <c r="BV14" s="1412"/>
      <c r="BW14" s="1412"/>
      <c r="BX14" s="1412"/>
      <c r="BY14" s="1412"/>
      <c r="BZ14" s="1412">
        <v>0</v>
      </c>
      <c r="CA14" s="1412"/>
      <c r="CB14" s="1412"/>
      <c r="CC14" s="1412"/>
      <c r="CD14" s="1412"/>
      <c r="CE14" s="1412"/>
      <c r="CF14" s="1412"/>
      <c r="CG14" s="1412"/>
      <c r="CH14" s="1412"/>
      <c r="CI14" s="1412"/>
      <c r="CJ14" s="1412"/>
      <c r="CK14" s="1412"/>
      <c r="CL14" s="1412"/>
      <c r="CM14" s="1412"/>
      <c r="CN14" s="1412">
        <v>0</v>
      </c>
      <c r="CO14" s="1412">
        <v>0</v>
      </c>
      <c r="CP14" s="1412"/>
      <c r="CQ14" s="1412"/>
      <c r="CR14" s="1412"/>
      <c r="CS14" s="1412"/>
      <c r="CT14" s="1412"/>
      <c r="CU14" s="1412">
        <v>0</v>
      </c>
      <c r="CV14" s="1412"/>
      <c r="CW14" s="1412"/>
      <c r="CX14" s="1412"/>
      <c r="CY14" s="1412"/>
      <c r="CZ14" s="1412"/>
      <c r="DA14" s="1412"/>
      <c r="DB14" s="1412">
        <v>0</v>
      </c>
      <c r="DC14" s="1412"/>
      <c r="DD14" s="1412"/>
      <c r="DE14" s="1412"/>
      <c r="DF14" s="1412">
        <v>58530183.747297257</v>
      </c>
      <c r="DG14" s="1412">
        <v>0</v>
      </c>
      <c r="DH14" s="1412">
        <v>0</v>
      </c>
      <c r="DI14" s="1412"/>
      <c r="DJ14" s="1412"/>
      <c r="DK14" s="1412">
        <v>0</v>
      </c>
      <c r="DL14" s="1412"/>
      <c r="DM14" s="1412"/>
      <c r="DN14" s="1412">
        <v>0</v>
      </c>
      <c r="DO14" s="1412"/>
      <c r="DP14" s="1412"/>
      <c r="DQ14" s="1412">
        <v>58530183.747297257</v>
      </c>
      <c r="DR14" s="1412">
        <v>1809139.0315272107</v>
      </c>
      <c r="DS14" s="1412">
        <v>56721044.715770043</v>
      </c>
      <c r="DT14" s="1412"/>
      <c r="DU14" s="1412"/>
      <c r="DV14" s="1412">
        <v>0</v>
      </c>
      <c r="DW14" s="1412"/>
      <c r="DX14" s="1412"/>
      <c r="DY14" s="1412"/>
      <c r="DZ14" s="1412">
        <v>0</v>
      </c>
      <c r="EA14" s="1412">
        <v>0</v>
      </c>
      <c r="EB14" s="1412"/>
      <c r="EC14" s="1412"/>
      <c r="ED14" s="1412">
        <v>0</v>
      </c>
      <c r="EE14" s="1412"/>
      <c r="EF14" s="1412"/>
      <c r="EG14" s="1412">
        <v>0</v>
      </c>
      <c r="EH14" s="1412"/>
      <c r="EI14" s="1412"/>
      <c r="EJ14" s="1412"/>
      <c r="EK14" s="1412">
        <v>0</v>
      </c>
      <c r="EL14" s="1412"/>
      <c r="EM14" s="1412">
        <v>0</v>
      </c>
      <c r="EN14" s="1412"/>
      <c r="EO14" s="1412"/>
      <c r="EP14" s="1412"/>
      <c r="EQ14" s="1412">
        <v>0</v>
      </c>
      <c r="ER14" s="1412"/>
      <c r="ES14" s="1412"/>
      <c r="ET14" s="1412"/>
      <c r="EU14" s="1412">
        <v>0</v>
      </c>
      <c r="EV14" s="1412"/>
      <c r="EW14" s="1412"/>
      <c r="EX14" s="1412"/>
      <c r="EY14" s="1412"/>
      <c r="EZ14" s="1412">
        <v>0</v>
      </c>
      <c r="FA14" s="1412"/>
      <c r="FB14" s="1412">
        <v>0</v>
      </c>
      <c r="FC14" s="1412"/>
      <c r="FD14" s="1412"/>
      <c r="FE14" s="1412"/>
      <c r="FF14" s="1412">
        <v>0</v>
      </c>
      <c r="FG14" s="1412"/>
      <c r="FH14" s="1412"/>
      <c r="FI14" s="1412"/>
      <c r="FJ14" s="1412">
        <v>0</v>
      </c>
      <c r="FK14" s="1412"/>
      <c r="FL14" s="1412"/>
      <c r="FM14" s="1412"/>
      <c r="FN14" s="1412"/>
      <c r="FO14" s="1412">
        <v>0</v>
      </c>
      <c r="FP14" s="1412"/>
      <c r="FQ14" s="1412"/>
      <c r="FR14" s="1412"/>
      <c r="FS14" s="1412"/>
      <c r="FT14" s="1412"/>
      <c r="FU14" s="1412"/>
      <c r="FV14" s="1412"/>
      <c r="FW14" s="1412">
        <v>20594620.48</v>
      </c>
      <c r="FX14" s="1412">
        <v>15697807.960000001</v>
      </c>
      <c r="FY14" s="1412">
        <v>4785002.4699999969</v>
      </c>
      <c r="FZ14" s="1412">
        <v>111810.04999999987</v>
      </c>
      <c r="GA14" s="1412"/>
      <c r="GB14" s="1412">
        <v>9522526.8339999989</v>
      </c>
      <c r="GC14" s="1412"/>
      <c r="GD14" s="1412"/>
      <c r="GE14" s="1412"/>
      <c r="GF14" s="1412">
        <v>91003030.751297265</v>
      </c>
      <c r="GG14" s="1206"/>
    </row>
    <row r="15" spans="2:189">
      <c r="B15" s="1208">
        <v>42339</v>
      </c>
      <c r="C15" s="1412"/>
      <c r="D15" s="1412"/>
      <c r="E15" s="1412">
        <v>1591234.04</v>
      </c>
      <c r="F15" s="1412"/>
      <c r="G15" s="1412">
        <v>1591234.04</v>
      </c>
      <c r="H15" s="1412"/>
      <c r="I15" s="1412"/>
      <c r="J15" s="1412">
        <v>0</v>
      </c>
      <c r="K15" s="1412">
        <v>0</v>
      </c>
      <c r="L15" s="1412"/>
      <c r="M15" s="1412"/>
      <c r="N15" s="1412">
        <v>0</v>
      </c>
      <c r="O15" s="1412"/>
      <c r="P15" s="1412"/>
      <c r="Q15" s="1412">
        <v>0</v>
      </c>
      <c r="R15" s="1412"/>
      <c r="S15" s="1412"/>
      <c r="T15" s="1412"/>
      <c r="U15" s="1412">
        <v>0</v>
      </c>
      <c r="V15" s="1412">
        <v>0</v>
      </c>
      <c r="W15" s="1412"/>
      <c r="X15" s="1412"/>
      <c r="Y15" s="1412"/>
      <c r="Z15" s="1412">
        <v>0</v>
      </c>
      <c r="AA15" s="1412"/>
      <c r="AB15" s="1412"/>
      <c r="AC15" s="1412">
        <v>0</v>
      </c>
      <c r="AD15" s="1412"/>
      <c r="AE15" s="1412"/>
      <c r="AF15" s="1412"/>
      <c r="AG15" s="1412">
        <v>0</v>
      </c>
      <c r="AH15" s="1412"/>
      <c r="AI15" s="1412"/>
      <c r="AJ15" s="1412"/>
      <c r="AK15" s="1412"/>
      <c r="AL15" s="1412">
        <v>0</v>
      </c>
      <c r="AM15" s="1412"/>
      <c r="AN15" s="1412"/>
      <c r="AO15" s="1412"/>
      <c r="AP15" s="1412"/>
      <c r="AQ15" s="1412">
        <v>131972.23000000001</v>
      </c>
      <c r="AR15" s="1412">
        <v>110726.37000000001</v>
      </c>
      <c r="AS15" s="1412">
        <v>21245.859999999997</v>
      </c>
      <c r="AT15" s="1412">
        <v>21245.859999999997</v>
      </c>
      <c r="AU15" s="1412"/>
      <c r="AV15" s="1412"/>
      <c r="AW15" s="1412"/>
      <c r="AX15" s="1412"/>
      <c r="AY15" s="1412">
        <v>191391.25</v>
      </c>
      <c r="AZ15" s="1412">
        <v>191391.25</v>
      </c>
      <c r="BA15" s="1412">
        <v>191391.25</v>
      </c>
      <c r="BB15" s="1412"/>
      <c r="BC15" s="1412"/>
      <c r="BD15" s="1412"/>
      <c r="BE15" s="1412">
        <v>0</v>
      </c>
      <c r="BF15" s="1412"/>
      <c r="BG15" s="1412"/>
      <c r="BH15" s="1412"/>
      <c r="BI15" s="1412"/>
      <c r="BJ15" s="1412"/>
      <c r="BK15" s="1412"/>
      <c r="BL15" s="1412">
        <v>0</v>
      </c>
      <c r="BM15" s="1412">
        <v>0</v>
      </c>
      <c r="BN15" s="1412"/>
      <c r="BO15" s="1412"/>
      <c r="BP15" s="1412"/>
      <c r="BQ15" s="1412"/>
      <c r="BR15" s="1412"/>
      <c r="BS15" s="1412"/>
      <c r="BT15" s="1412">
        <v>0</v>
      </c>
      <c r="BU15" s="1412">
        <v>0</v>
      </c>
      <c r="BV15" s="1412"/>
      <c r="BW15" s="1412"/>
      <c r="BX15" s="1412"/>
      <c r="BY15" s="1412"/>
      <c r="BZ15" s="1412">
        <v>0</v>
      </c>
      <c r="CA15" s="1412"/>
      <c r="CB15" s="1412"/>
      <c r="CC15" s="1412"/>
      <c r="CD15" s="1412"/>
      <c r="CE15" s="1412"/>
      <c r="CF15" s="1412"/>
      <c r="CG15" s="1412"/>
      <c r="CH15" s="1412"/>
      <c r="CI15" s="1412"/>
      <c r="CJ15" s="1412"/>
      <c r="CK15" s="1412"/>
      <c r="CL15" s="1412"/>
      <c r="CM15" s="1412"/>
      <c r="CN15" s="1412">
        <v>0</v>
      </c>
      <c r="CO15" s="1412">
        <v>0</v>
      </c>
      <c r="CP15" s="1412"/>
      <c r="CQ15" s="1412"/>
      <c r="CR15" s="1412"/>
      <c r="CS15" s="1412"/>
      <c r="CT15" s="1412"/>
      <c r="CU15" s="1412">
        <v>0</v>
      </c>
      <c r="CV15" s="1412"/>
      <c r="CW15" s="1412"/>
      <c r="CX15" s="1412"/>
      <c r="CY15" s="1412"/>
      <c r="CZ15" s="1412"/>
      <c r="DA15" s="1412"/>
      <c r="DB15" s="1412">
        <v>0</v>
      </c>
      <c r="DC15" s="1412"/>
      <c r="DD15" s="1412"/>
      <c r="DE15" s="1412"/>
      <c r="DF15" s="1412">
        <v>59829207.695590526</v>
      </c>
      <c r="DG15" s="1412">
        <v>0</v>
      </c>
      <c r="DH15" s="1412">
        <v>0</v>
      </c>
      <c r="DI15" s="1412"/>
      <c r="DJ15" s="1412"/>
      <c r="DK15" s="1412">
        <v>0</v>
      </c>
      <c r="DL15" s="1412"/>
      <c r="DM15" s="1412"/>
      <c r="DN15" s="1412">
        <v>0</v>
      </c>
      <c r="DO15" s="1412"/>
      <c r="DP15" s="1412"/>
      <c r="DQ15" s="1412">
        <v>59829207.695590526</v>
      </c>
      <c r="DR15" s="1412">
        <v>1849386.3407058406</v>
      </c>
      <c r="DS15" s="1412">
        <v>57979821.354884684</v>
      </c>
      <c r="DT15" s="1412"/>
      <c r="DU15" s="1412"/>
      <c r="DV15" s="1412">
        <v>0</v>
      </c>
      <c r="DW15" s="1412"/>
      <c r="DX15" s="1412"/>
      <c r="DY15" s="1412"/>
      <c r="DZ15" s="1412">
        <v>0</v>
      </c>
      <c r="EA15" s="1412">
        <v>0</v>
      </c>
      <c r="EB15" s="1412"/>
      <c r="EC15" s="1412"/>
      <c r="ED15" s="1412">
        <v>0</v>
      </c>
      <c r="EE15" s="1412"/>
      <c r="EF15" s="1412"/>
      <c r="EG15" s="1412">
        <v>0</v>
      </c>
      <c r="EH15" s="1412"/>
      <c r="EI15" s="1412"/>
      <c r="EJ15" s="1412"/>
      <c r="EK15" s="1412">
        <v>0</v>
      </c>
      <c r="EL15" s="1412"/>
      <c r="EM15" s="1412">
        <v>0</v>
      </c>
      <c r="EN15" s="1412"/>
      <c r="EO15" s="1412"/>
      <c r="EP15" s="1412"/>
      <c r="EQ15" s="1412">
        <v>0</v>
      </c>
      <c r="ER15" s="1412"/>
      <c r="ES15" s="1412"/>
      <c r="ET15" s="1412"/>
      <c r="EU15" s="1412">
        <v>0</v>
      </c>
      <c r="EV15" s="1412"/>
      <c r="EW15" s="1412"/>
      <c r="EX15" s="1412"/>
      <c r="EY15" s="1412"/>
      <c r="EZ15" s="1412">
        <v>0</v>
      </c>
      <c r="FA15" s="1412"/>
      <c r="FB15" s="1412">
        <v>0</v>
      </c>
      <c r="FC15" s="1412"/>
      <c r="FD15" s="1412"/>
      <c r="FE15" s="1412"/>
      <c r="FF15" s="1412">
        <v>0</v>
      </c>
      <c r="FG15" s="1412"/>
      <c r="FH15" s="1412"/>
      <c r="FI15" s="1412"/>
      <c r="FJ15" s="1412">
        <v>0</v>
      </c>
      <c r="FK15" s="1412"/>
      <c r="FL15" s="1412"/>
      <c r="FM15" s="1412"/>
      <c r="FN15" s="1412"/>
      <c r="FO15" s="1412">
        <v>0</v>
      </c>
      <c r="FP15" s="1412"/>
      <c r="FQ15" s="1412"/>
      <c r="FR15" s="1412"/>
      <c r="FS15" s="1412"/>
      <c r="FT15" s="1412"/>
      <c r="FU15" s="1412"/>
      <c r="FV15" s="1412"/>
      <c r="FW15" s="1412">
        <v>20462059.299999997</v>
      </c>
      <c r="FX15" s="1412">
        <v>15693030.02</v>
      </c>
      <c r="FY15" s="1412">
        <v>4665291.0299999965</v>
      </c>
      <c r="FZ15" s="1412">
        <v>103738.24999999983</v>
      </c>
      <c r="GA15" s="1412"/>
      <c r="GB15" s="1412">
        <v>9358866.4334999993</v>
      </c>
      <c r="GC15" s="1412"/>
      <c r="GD15" s="1412"/>
      <c r="GE15" s="1412"/>
      <c r="GF15" s="1412">
        <v>91564730.949090511</v>
      </c>
      <c r="GG15" s="1206"/>
    </row>
    <row r="16" spans="2:189">
      <c r="B16" s="1208"/>
      <c r="C16" s="1412"/>
      <c r="D16" s="1412"/>
      <c r="E16" s="1412"/>
      <c r="F16" s="1412"/>
      <c r="G16" s="1412"/>
      <c r="H16" s="1412"/>
      <c r="I16" s="1412"/>
      <c r="J16" s="1412"/>
      <c r="K16" s="1412"/>
      <c r="L16" s="1412"/>
      <c r="M16" s="1412"/>
      <c r="N16" s="1412"/>
      <c r="O16" s="1412"/>
      <c r="P16" s="1412"/>
      <c r="Q16" s="1412"/>
      <c r="R16" s="1412"/>
      <c r="S16" s="1412"/>
      <c r="T16" s="1412"/>
      <c r="U16" s="1412"/>
      <c r="V16" s="1412"/>
      <c r="W16" s="1412"/>
      <c r="X16" s="1412"/>
      <c r="Y16" s="1412"/>
      <c r="Z16" s="1412"/>
      <c r="AA16" s="1412"/>
      <c r="AB16" s="1412"/>
      <c r="AC16" s="1412"/>
      <c r="AD16" s="1412"/>
      <c r="AE16" s="1412"/>
      <c r="AF16" s="1412"/>
      <c r="AG16" s="1412"/>
      <c r="AH16" s="1412"/>
      <c r="AI16" s="1412"/>
      <c r="AJ16" s="1412"/>
      <c r="AK16" s="1412"/>
      <c r="AL16" s="1412"/>
      <c r="AM16" s="1412"/>
      <c r="AN16" s="1412"/>
      <c r="AO16" s="1412"/>
      <c r="AP16" s="1412"/>
      <c r="AQ16" s="1412"/>
      <c r="AR16" s="1412"/>
      <c r="AS16" s="1412"/>
      <c r="AT16" s="1412"/>
      <c r="AU16" s="1412"/>
      <c r="AV16" s="1412"/>
      <c r="AW16" s="1412"/>
      <c r="AX16" s="1412"/>
      <c r="AY16" s="1412"/>
      <c r="AZ16" s="1412"/>
      <c r="BA16" s="1412"/>
      <c r="BB16" s="1412"/>
      <c r="BC16" s="1412"/>
      <c r="BD16" s="1412"/>
      <c r="BE16" s="1412"/>
      <c r="BF16" s="1412"/>
      <c r="BG16" s="1412"/>
      <c r="BH16" s="1412"/>
      <c r="BI16" s="1412"/>
      <c r="BJ16" s="1412"/>
      <c r="BK16" s="1412"/>
      <c r="BL16" s="1412"/>
      <c r="BM16" s="1412"/>
      <c r="BN16" s="1412"/>
      <c r="BO16" s="1412"/>
      <c r="BP16" s="1412"/>
      <c r="BQ16" s="1412"/>
      <c r="BR16" s="1412"/>
      <c r="BS16" s="1412"/>
      <c r="BT16" s="1412"/>
      <c r="BU16" s="1412"/>
      <c r="BV16" s="1412"/>
      <c r="BW16" s="1412"/>
      <c r="BX16" s="1412"/>
      <c r="BY16" s="1412"/>
      <c r="BZ16" s="1412"/>
      <c r="CA16" s="1412"/>
      <c r="CB16" s="1412"/>
      <c r="CC16" s="1412"/>
      <c r="CD16" s="1412"/>
      <c r="CE16" s="1412"/>
      <c r="CF16" s="1412"/>
      <c r="CG16" s="1412"/>
      <c r="CH16" s="1412"/>
      <c r="CI16" s="1412"/>
      <c r="CJ16" s="1412"/>
      <c r="CK16" s="1412"/>
      <c r="CL16" s="1412"/>
      <c r="CM16" s="1412"/>
      <c r="CN16" s="1412"/>
      <c r="CO16" s="1412"/>
      <c r="CP16" s="1412"/>
      <c r="CQ16" s="1412"/>
      <c r="CR16" s="1412"/>
      <c r="CS16" s="1412"/>
      <c r="CT16" s="1412"/>
      <c r="CU16" s="1412"/>
      <c r="CV16" s="1412"/>
      <c r="CW16" s="1412"/>
      <c r="CX16" s="1412"/>
      <c r="CY16" s="1412"/>
      <c r="CZ16" s="1412"/>
      <c r="DA16" s="1412"/>
      <c r="DB16" s="1412"/>
      <c r="DC16" s="1412"/>
      <c r="DD16" s="1412"/>
      <c r="DE16" s="1412"/>
      <c r="DF16" s="1412"/>
      <c r="DG16" s="1412"/>
      <c r="DH16" s="1412"/>
      <c r="DI16" s="1412"/>
      <c r="DJ16" s="1412"/>
      <c r="DK16" s="1412"/>
      <c r="DL16" s="1412"/>
      <c r="DM16" s="1412"/>
      <c r="DN16" s="1412"/>
      <c r="DO16" s="1412"/>
      <c r="DP16" s="1412"/>
      <c r="DQ16" s="1412"/>
      <c r="DR16" s="1412"/>
      <c r="DS16" s="1412"/>
      <c r="DT16" s="1412"/>
      <c r="DU16" s="1412"/>
      <c r="DV16" s="1412"/>
      <c r="DW16" s="1412"/>
      <c r="DX16" s="1412"/>
      <c r="DY16" s="1412"/>
      <c r="DZ16" s="1412"/>
      <c r="EA16" s="1412"/>
      <c r="EB16" s="1412"/>
      <c r="EC16" s="1412"/>
      <c r="ED16" s="1412"/>
      <c r="EE16" s="1412"/>
      <c r="EF16" s="1412"/>
      <c r="EG16" s="1412"/>
      <c r="EH16" s="1412"/>
      <c r="EI16" s="1412"/>
      <c r="EJ16" s="1412"/>
      <c r="EK16" s="1412"/>
      <c r="EL16" s="1412"/>
      <c r="EM16" s="1412"/>
      <c r="EN16" s="1412"/>
      <c r="EO16" s="1412"/>
      <c r="EP16" s="1412"/>
      <c r="EQ16" s="1412"/>
      <c r="ER16" s="1412"/>
      <c r="ES16" s="1412"/>
      <c r="ET16" s="1412"/>
      <c r="EU16" s="1412"/>
      <c r="EV16" s="1412"/>
      <c r="EW16" s="1412"/>
      <c r="EX16" s="1412"/>
      <c r="EY16" s="1412"/>
      <c r="EZ16" s="1412"/>
      <c r="FA16" s="1412"/>
      <c r="FB16" s="1412"/>
      <c r="FC16" s="1412"/>
      <c r="FD16" s="1412"/>
      <c r="FE16" s="1412"/>
      <c r="FF16" s="1412"/>
      <c r="FG16" s="1412"/>
      <c r="FH16" s="1412"/>
      <c r="FI16" s="1412"/>
      <c r="FJ16" s="1412"/>
      <c r="FK16" s="1412"/>
      <c r="FL16" s="1412"/>
      <c r="FM16" s="1412"/>
      <c r="FN16" s="1412"/>
      <c r="FO16" s="1412"/>
      <c r="FP16" s="1412"/>
      <c r="FQ16" s="1412"/>
      <c r="FR16" s="1412"/>
      <c r="FS16" s="1412"/>
      <c r="FT16" s="1412"/>
      <c r="FU16" s="1412"/>
      <c r="FV16" s="1412"/>
      <c r="FW16" s="1412"/>
      <c r="FX16" s="1412"/>
      <c r="FY16" s="1412"/>
      <c r="FZ16" s="1412"/>
      <c r="GA16" s="1412"/>
      <c r="GB16" s="1412"/>
      <c r="GC16" s="1412"/>
      <c r="GD16" s="1412"/>
      <c r="GE16" s="1412"/>
      <c r="GF16" s="1412"/>
      <c r="GG16" s="1206"/>
    </row>
    <row r="17" spans="2:189">
      <c r="B17" s="1208"/>
      <c r="C17" s="1412"/>
      <c r="D17" s="1412"/>
      <c r="E17" s="1412"/>
      <c r="F17" s="1412"/>
      <c r="G17" s="1412"/>
      <c r="H17" s="1412"/>
      <c r="I17" s="1412"/>
      <c r="J17" s="1412"/>
      <c r="K17" s="1412"/>
      <c r="L17" s="1412"/>
      <c r="M17" s="1412"/>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c r="AK17" s="1412"/>
      <c r="AL17" s="1412"/>
      <c r="AM17" s="1412"/>
      <c r="AN17" s="1412"/>
      <c r="AO17" s="1412"/>
      <c r="AP17" s="1412"/>
      <c r="AQ17" s="1412"/>
      <c r="AR17" s="1412"/>
      <c r="AS17" s="1412"/>
      <c r="AT17" s="1412"/>
      <c r="AU17" s="1412"/>
      <c r="AV17" s="1412"/>
      <c r="AW17" s="1412"/>
      <c r="AX17" s="1412"/>
      <c r="AY17" s="1412"/>
      <c r="AZ17" s="1412"/>
      <c r="BA17" s="1412"/>
      <c r="BB17" s="1412"/>
      <c r="BC17" s="1412"/>
      <c r="BD17" s="1412"/>
      <c r="BE17" s="1412"/>
      <c r="BF17" s="1412"/>
      <c r="BG17" s="1412"/>
      <c r="BH17" s="1412"/>
      <c r="BI17" s="1412"/>
      <c r="BJ17" s="1412"/>
      <c r="BK17" s="1412"/>
      <c r="BL17" s="1412"/>
      <c r="BM17" s="1412"/>
      <c r="BN17" s="1412"/>
      <c r="BO17" s="1412"/>
      <c r="BP17" s="1412"/>
      <c r="BQ17" s="1412"/>
      <c r="BR17" s="1412"/>
      <c r="BS17" s="1412"/>
      <c r="BT17" s="1412"/>
      <c r="BU17" s="1412"/>
      <c r="BV17" s="1412"/>
      <c r="BW17" s="1412"/>
      <c r="BX17" s="1412"/>
      <c r="BY17" s="1412"/>
      <c r="BZ17" s="1412"/>
      <c r="CA17" s="1412"/>
      <c r="CB17" s="1412"/>
      <c r="CC17" s="1412"/>
      <c r="CD17" s="1412"/>
      <c r="CE17" s="1412"/>
      <c r="CF17" s="1412"/>
      <c r="CG17" s="1412"/>
      <c r="CH17" s="1412"/>
      <c r="CI17" s="1412"/>
      <c r="CJ17" s="1412"/>
      <c r="CK17" s="1412"/>
      <c r="CL17" s="1412"/>
      <c r="CM17" s="1412"/>
      <c r="CN17" s="1412"/>
      <c r="CO17" s="1412"/>
      <c r="CP17" s="1412"/>
      <c r="CQ17" s="1412"/>
      <c r="CR17" s="1412"/>
      <c r="CS17" s="1412"/>
      <c r="CT17" s="1412"/>
      <c r="CU17" s="1412"/>
      <c r="CV17" s="1412"/>
      <c r="CW17" s="1412"/>
      <c r="CX17" s="1412"/>
      <c r="CY17" s="1412"/>
      <c r="CZ17" s="1412"/>
      <c r="DA17" s="1412"/>
      <c r="DB17" s="1412"/>
      <c r="DC17" s="1412"/>
      <c r="DD17" s="1412"/>
      <c r="DE17" s="1412"/>
      <c r="DF17" s="1412"/>
      <c r="DG17" s="1412"/>
      <c r="DH17" s="1412"/>
      <c r="DI17" s="1412"/>
      <c r="DJ17" s="1412"/>
      <c r="DK17" s="1412"/>
      <c r="DL17" s="1412"/>
      <c r="DM17" s="1412"/>
      <c r="DN17" s="1412"/>
      <c r="DO17" s="1412"/>
      <c r="DP17" s="1412"/>
      <c r="DQ17" s="1412"/>
      <c r="DR17" s="1412"/>
      <c r="DS17" s="1412"/>
      <c r="DT17" s="1412"/>
      <c r="DU17" s="1412"/>
      <c r="DV17" s="1412"/>
      <c r="DW17" s="1412"/>
      <c r="DX17" s="1412"/>
      <c r="DY17" s="1412"/>
      <c r="DZ17" s="1412"/>
      <c r="EA17" s="1412"/>
      <c r="EB17" s="1412"/>
      <c r="EC17" s="1412"/>
      <c r="ED17" s="1412"/>
      <c r="EE17" s="1412"/>
      <c r="EF17" s="1412"/>
      <c r="EG17" s="1412"/>
      <c r="EH17" s="1412"/>
      <c r="EI17" s="1412"/>
      <c r="EJ17" s="1412"/>
      <c r="EK17" s="1412"/>
      <c r="EL17" s="1412"/>
      <c r="EM17" s="1412"/>
      <c r="EN17" s="1412"/>
      <c r="EO17" s="1412"/>
      <c r="EP17" s="1412"/>
      <c r="EQ17" s="1412"/>
      <c r="ER17" s="1412"/>
      <c r="ES17" s="1412"/>
      <c r="ET17" s="1412"/>
      <c r="EU17" s="1412"/>
      <c r="EV17" s="1412"/>
      <c r="EW17" s="1412"/>
      <c r="EX17" s="1412"/>
      <c r="EY17" s="1412"/>
      <c r="EZ17" s="1412"/>
      <c r="FA17" s="1412"/>
      <c r="FB17" s="1412"/>
      <c r="FC17" s="1412"/>
      <c r="FD17" s="1412"/>
      <c r="FE17" s="1412"/>
      <c r="FF17" s="1412"/>
      <c r="FG17" s="1412"/>
      <c r="FH17" s="1412"/>
      <c r="FI17" s="1412"/>
      <c r="FJ17" s="1412"/>
      <c r="FK17" s="1412"/>
      <c r="FL17" s="1412"/>
      <c r="FM17" s="1412"/>
      <c r="FN17" s="1412"/>
      <c r="FO17" s="1412"/>
      <c r="FP17" s="1412"/>
      <c r="FQ17" s="1412"/>
      <c r="FR17" s="1412"/>
      <c r="FS17" s="1412"/>
      <c r="FT17" s="1412"/>
      <c r="FU17" s="1412"/>
      <c r="FV17" s="1412"/>
      <c r="FW17" s="1412"/>
      <c r="FX17" s="1412"/>
      <c r="FY17" s="1412"/>
      <c r="FZ17" s="1412"/>
      <c r="GA17" s="1412"/>
      <c r="GB17" s="1412"/>
      <c r="GC17" s="1412"/>
      <c r="GD17" s="1412"/>
      <c r="GE17" s="1412"/>
      <c r="GF17" s="1412"/>
    </row>
    <row r="18" spans="2:189">
      <c r="B18" s="1208">
        <v>42370</v>
      </c>
      <c r="C18" s="1412"/>
      <c r="D18" s="1412"/>
      <c r="E18" s="1412">
        <v>1891217.8</v>
      </c>
      <c r="F18" s="1412"/>
      <c r="G18" s="1412">
        <v>1891217.8</v>
      </c>
      <c r="H18" s="1412"/>
      <c r="I18" s="1412"/>
      <c r="J18" s="1412">
        <v>0</v>
      </c>
      <c r="K18" s="1412">
        <v>0</v>
      </c>
      <c r="L18" s="1412"/>
      <c r="M18" s="1412"/>
      <c r="N18" s="1412">
        <v>0</v>
      </c>
      <c r="O18" s="1412"/>
      <c r="P18" s="1412"/>
      <c r="Q18" s="1412">
        <v>0</v>
      </c>
      <c r="R18" s="1412"/>
      <c r="S18" s="1412"/>
      <c r="T18" s="1412"/>
      <c r="U18" s="1412">
        <v>0</v>
      </c>
      <c r="V18" s="1412">
        <v>0</v>
      </c>
      <c r="W18" s="1412"/>
      <c r="X18" s="1412"/>
      <c r="Y18" s="1412"/>
      <c r="Z18" s="1412">
        <v>0</v>
      </c>
      <c r="AA18" s="1412"/>
      <c r="AB18" s="1412"/>
      <c r="AC18" s="1412">
        <v>0</v>
      </c>
      <c r="AD18" s="1412"/>
      <c r="AE18" s="1412"/>
      <c r="AF18" s="1412"/>
      <c r="AG18" s="1412">
        <v>0</v>
      </c>
      <c r="AH18" s="1412"/>
      <c r="AI18" s="1412"/>
      <c r="AJ18" s="1412"/>
      <c r="AK18" s="1412"/>
      <c r="AL18" s="1412">
        <v>0</v>
      </c>
      <c r="AM18" s="1412"/>
      <c r="AN18" s="1412"/>
      <c r="AO18" s="1412"/>
      <c r="AP18" s="1412"/>
      <c r="AQ18" s="1412">
        <v>118527.91</v>
      </c>
      <c r="AR18" s="1412">
        <v>95282.510000000009</v>
      </c>
      <c r="AS18" s="1412">
        <v>23245.4</v>
      </c>
      <c r="AT18" s="1412">
        <v>23245.4</v>
      </c>
      <c r="AU18" s="1412"/>
      <c r="AV18" s="1412"/>
      <c r="AW18" s="1412"/>
      <c r="AX18" s="1412"/>
      <c r="AY18" s="1412">
        <v>191391.25</v>
      </c>
      <c r="AZ18" s="1412">
        <v>191391.25</v>
      </c>
      <c r="BA18" s="1412">
        <v>191391.25</v>
      </c>
      <c r="BB18" s="1412"/>
      <c r="BC18" s="1412"/>
      <c r="BD18" s="1412"/>
      <c r="BE18" s="1412">
        <v>0</v>
      </c>
      <c r="BF18" s="1412"/>
      <c r="BG18" s="1412"/>
      <c r="BH18" s="1412"/>
      <c r="BI18" s="1412"/>
      <c r="BJ18" s="1412"/>
      <c r="BK18" s="1412"/>
      <c r="BL18" s="1412">
        <v>0</v>
      </c>
      <c r="BM18" s="1412">
        <v>0</v>
      </c>
      <c r="BN18" s="1412"/>
      <c r="BO18" s="1412"/>
      <c r="BP18" s="1412"/>
      <c r="BQ18" s="1412"/>
      <c r="BR18" s="1412"/>
      <c r="BS18" s="1412"/>
      <c r="BT18" s="1412">
        <v>0</v>
      </c>
      <c r="BU18" s="1412">
        <v>0</v>
      </c>
      <c r="BV18" s="1412"/>
      <c r="BW18" s="1412"/>
      <c r="BX18" s="1412"/>
      <c r="BY18" s="1412"/>
      <c r="BZ18" s="1412">
        <v>0</v>
      </c>
      <c r="CA18" s="1412"/>
      <c r="CB18" s="1412"/>
      <c r="CC18" s="1412"/>
      <c r="CD18" s="1412"/>
      <c r="CE18" s="1412"/>
      <c r="CF18" s="1412"/>
      <c r="CG18" s="1412"/>
      <c r="CH18" s="1412"/>
      <c r="CI18" s="1412"/>
      <c r="CJ18" s="1412"/>
      <c r="CK18" s="1412"/>
      <c r="CL18" s="1412"/>
      <c r="CM18" s="1412"/>
      <c r="CN18" s="1412">
        <v>0</v>
      </c>
      <c r="CO18" s="1412">
        <v>0</v>
      </c>
      <c r="CP18" s="1412"/>
      <c r="CQ18" s="1412"/>
      <c r="CR18" s="1412"/>
      <c r="CS18" s="1412"/>
      <c r="CT18" s="1412"/>
      <c r="CU18" s="1412">
        <v>0</v>
      </c>
      <c r="CV18" s="1412"/>
      <c r="CW18" s="1412"/>
      <c r="CX18" s="1412"/>
      <c r="CY18" s="1412"/>
      <c r="CZ18" s="1412"/>
      <c r="DA18" s="1412"/>
      <c r="DB18" s="1412">
        <v>0</v>
      </c>
      <c r="DC18" s="1412"/>
      <c r="DD18" s="1412"/>
      <c r="DE18" s="1412"/>
      <c r="DF18" s="1412">
        <v>60702096.905645952</v>
      </c>
      <c r="DG18" s="1412">
        <v>0</v>
      </c>
      <c r="DH18" s="1412">
        <v>0</v>
      </c>
      <c r="DI18" s="1412"/>
      <c r="DJ18" s="1412"/>
      <c r="DK18" s="1412">
        <v>0</v>
      </c>
      <c r="DL18" s="1412"/>
      <c r="DM18" s="1412"/>
      <c r="DN18" s="1412">
        <v>0</v>
      </c>
      <c r="DO18" s="1412"/>
      <c r="DP18" s="1412"/>
      <c r="DQ18" s="1412">
        <v>60702096.905645952</v>
      </c>
      <c r="DR18" s="1412">
        <v>1876282.2632788459</v>
      </c>
      <c r="DS18" s="1412">
        <v>58825814.642367102</v>
      </c>
      <c r="DT18" s="1412"/>
      <c r="DU18" s="1412"/>
      <c r="DV18" s="1412">
        <v>0</v>
      </c>
      <c r="DW18" s="1412"/>
      <c r="DX18" s="1412"/>
      <c r="DY18" s="1412"/>
      <c r="DZ18" s="1412">
        <v>0</v>
      </c>
      <c r="EA18" s="1412">
        <v>0</v>
      </c>
      <c r="EB18" s="1412"/>
      <c r="EC18" s="1412"/>
      <c r="ED18" s="1412">
        <v>0</v>
      </c>
      <c r="EE18" s="1412"/>
      <c r="EF18" s="1412"/>
      <c r="EG18" s="1412">
        <v>0</v>
      </c>
      <c r="EH18" s="1412"/>
      <c r="EI18" s="1412"/>
      <c r="EJ18" s="1412"/>
      <c r="EK18" s="1412">
        <v>0</v>
      </c>
      <c r="EL18" s="1412"/>
      <c r="EM18" s="1412">
        <v>0</v>
      </c>
      <c r="EN18" s="1412"/>
      <c r="EO18" s="1412"/>
      <c r="EP18" s="1412"/>
      <c r="EQ18" s="1412">
        <v>0</v>
      </c>
      <c r="ER18" s="1412"/>
      <c r="ES18" s="1412"/>
      <c r="ET18" s="1412"/>
      <c r="EU18" s="1412">
        <v>0</v>
      </c>
      <c r="EV18" s="1412"/>
      <c r="EW18" s="1412"/>
      <c r="EX18" s="1412"/>
      <c r="EY18" s="1412"/>
      <c r="EZ18" s="1412">
        <v>0</v>
      </c>
      <c r="FA18" s="1412"/>
      <c r="FB18" s="1412">
        <v>0</v>
      </c>
      <c r="FC18" s="1412"/>
      <c r="FD18" s="1412"/>
      <c r="FE18" s="1412"/>
      <c r="FF18" s="1412">
        <v>0</v>
      </c>
      <c r="FG18" s="1412"/>
      <c r="FH18" s="1412"/>
      <c r="FI18" s="1412"/>
      <c r="FJ18" s="1412">
        <v>0</v>
      </c>
      <c r="FK18" s="1412"/>
      <c r="FL18" s="1412"/>
      <c r="FM18" s="1412"/>
      <c r="FN18" s="1412"/>
      <c r="FO18" s="1412">
        <v>0</v>
      </c>
      <c r="FP18" s="1412"/>
      <c r="FQ18" s="1412"/>
      <c r="FR18" s="1412"/>
      <c r="FS18" s="1412"/>
      <c r="FT18" s="1412"/>
      <c r="FU18" s="1412"/>
      <c r="FV18" s="1412"/>
      <c r="FW18" s="1412">
        <v>20329498.119999994</v>
      </c>
      <c r="FX18" s="1412">
        <v>15688252.08</v>
      </c>
      <c r="FY18" s="1412">
        <v>4545579.5899999952</v>
      </c>
      <c r="FZ18" s="1412">
        <v>95666.449999999779</v>
      </c>
      <c r="GA18" s="1412"/>
      <c r="GB18" s="1412">
        <v>9302035.7294999976</v>
      </c>
      <c r="GC18" s="1412"/>
      <c r="GD18" s="1412"/>
      <c r="GE18" s="1412"/>
      <c r="GF18" s="1412">
        <v>92534767.715145946</v>
      </c>
    </row>
    <row r="19" spans="2:189">
      <c r="B19" s="1208">
        <v>42401</v>
      </c>
      <c r="C19" s="1412"/>
      <c r="D19" s="1412"/>
      <c r="E19" s="1412">
        <v>852703.73</v>
      </c>
      <c r="F19" s="1412"/>
      <c r="G19" s="1412">
        <v>852703.73</v>
      </c>
      <c r="H19" s="1412"/>
      <c r="I19" s="1412"/>
      <c r="J19" s="1412">
        <v>600000</v>
      </c>
      <c r="K19" s="1412">
        <v>600000</v>
      </c>
      <c r="L19" s="1412">
        <v>600000</v>
      </c>
      <c r="M19" s="1412"/>
      <c r="N19" s="1412">
        <v>0</v>
      </c>
      <c r="O19" s="1412"/>
      <c r="P19" s="1412"/>
      <c r="Q19" s="1412">
        <v>0</v>
      </c>
      <c r="R19" s="1412"/>
      <c r="S19" s="1412"/>
      <c r="T19" s="1412"/>
      <c r="U19" s="1412">
        <v>500000</v>
      </c>
      <c r="V19" s="1412">
        <v>500000</v>
      </c>
      <c r="W19" s="1412">
        <v>500000</v>
      </c>
      <c r="X19" s="1412"/>
      <c r="Y19" s="1412"/>
      <c r="Z19" s="1412">
        <v>0</v>
      </c>
      <c r="AA19" s="1412"/>
      <c r="AB19" s="1412"/>
      <c r="AC19" s="1412">
        <v>0</v>
      </c>
      <c r="AD19" s="1412"/>
      <c r="AE19" s="1412"/>
      <c r="AF19" s="1412"/>
      <c r="AG19" s="1412">
        <v>0</v>
      </c>
      <c r="AH19" s="1412"/>
      <c r="AI19" s="1412"/>
      <c r="AJ19" s="1412"/>
      <c r="AK19" s="1412"/>
      <c r="AL19" s="1412">
        <v>0</v>
      </c>
      <c r="AM19" s="1412"/>
      <c r="AN19" s="1412"/>
      <c r="AO19" s="1412"/>
      <c r="AP19" s="1412"/>
      <c r="AQ19" s="1412">
        <v>161452.56999999998</v>
      </c>
      <c r="AR19" s="1412">
        <v>138207.16999999998</v>
      </c>
      <c r="AS19" s="1412">
        <v>23245.4</v>
      </c>
      <c r="AT19" s="1412">
        <v>23245.4</v>
      </c>
      <c r="AU19" s="1412"/>
      <c r="AV19" s="1412"/>
      <c r="AW19" s="1412"/>
      <c r="AX19" s="1412"/>
      <c r="AY19" s="1412">
        <v>191391.25</v>
      </c>
      <c r="AZ19" s="1412">
        <v>191391.25</v>
      </c>
      <c r="BA19" s="1412">
        <v>191391.25</v>
      </c>
      <c r="BB19" s="1412"/>
      <c r="BC19" s="1412"/>
      <c r="BD19" s="1412"/>
      <c r="BE19" s="1412">
        <v>0</v>
      </c>
      <c r="BF19" s="1412"/>
      <c r="BG19" s="1412"/>
      <c r="BH19" s="1412"/>
      <c r="BI19" s="1412"/>
      <c r="BJ19" s="1412"/>
      <c r="BK19" s="1412"/>
      <c r="BL19" s="1412">
        <v>0</v>
      </c>
      <c r="BM19" s="1412">
        <v>0</v>
      </c>
      <c r="BN19" s="1412"/>
      <c r="BO19" s="1412"/>
      <c r="BP19" s="1412"/>
      <c r="BQ19" s="1412"/>
      <c r="BR19" s="1412"/>
      <c r="BS19" s="1412"/>
      <c r="BT19" s="1412">
        <v>0</v>
      </c>
      <c r="BU19" s="1412">
        <v>0</v>
      </c>
      <c r="BV19" s="1412"/>
      <c r="BW19" s="1412"/>
      <c r="BX19" s="1412"/>
      <c r="BY19" s="1412"/>
      <c r="BZ19" s="1412">
        <v>0</v>
      </c>
      <c r="CA19" s="1412"/>
      <c r="CB19" s="1412"/>
      <c r="CC19" s="1412"/>
      <c r="CD19" s="1412"/>
      <c r="CE19" s="1412"/>
      <c r="CF19" s="1412"/>
      <c r="CG19" s="1412"/>
      <c r="CH19" s="1412"/>
      <c r="CI19" s="1412"/>
      <c r="CJ19" s="1412"/>
      <c r="CK19" s="1412"/>
      <c r="CL19" s="1412"/>
      <c r="CM19" s="1412"/>
      <c r="CN19" s="1412">
        <v>0</v>
      </c>
      <c r="CO19" s="1412">
        <v>0</v>
      </c>
      <c r="CP19" s="1412"/>
      <c r="CQ19" s="1412"/>
      <c r="CR19" s="1412"/>
      <c r="CS19" s="1412"/>
      <c r="CT19" s="1412"/>
      <c r="CU19" s="1412">
        <v>0</v>
      </c>
      <c r="CV19" s="1412"/>
      <c r="CW19" s="1412"/>
      <c r="CX19" s="1412"/>
      <c r="CY19" s="1412"/>
      <c r="CZ19" s="1412"/>
      <c r="DA19" s="1412"/>
      <c r="DB19" s="1412">
        <v>0</v>
      </c>
      <c r="DC19" s="1412"/>
      <c r="DD19" s="1412"/>
      <c r="DE19" s="1412"/>
      <c r="DF19" s="1412">
        <v>61552196.046605401</v>
      </c>
      <c r="DG19" s="1412">
        <v>0</v>
      </c>
      <c r="DH19" s="1412">
        <v>0</v>
      </c>
      <c r="DI19" s="1412"/>
      <c r="DJ19" s="1412"/>
      <c r="DK19" s="1412">
        <v>0</v>
      </c>
      <c r="DL19" s="1412"/>
      <c r="DM19" s="1412"/>
      <c r="DN19" s="1412">
        <v>0</v>
      </c>
      <c r="DO19" s="1412"/>
      <c r="DP19" s="1412"/>
      <c r="DQ19" s="1412">
        <v>61552196.046605401</v>
      </c>
      <c r="DR19" s="1412">
        <v>1902475.9662267517</v>
      </c>
      <c r="DS19" s="1412">
        <v>59649720.080378652</v>
      </c>
      <c r="DT19" s="1412"/>
      <c r="DU19" s="1412"/>
      <c r="DV19" s="1412">
        <v>0</v>
      </c>
      <c r="DW19" s="1412"/>
      <c r="DX19" s="1412"/>
      <c r="DY19" s="1412"/>
      <c r="DZ19" s="1412">
        <v>0</v>
      </c>
      <c r="EA19" s="1412">
        <v>0</v>
      </c>
      <c r="EB19" s="1412"/>
      <c r="EC19" s="1412"/>
      <c r="ED19" s="1412">
        <v>0</v>
      </c>
      <c r="EE19" s="1412"/>
      <c r="EF19" s="1412"/>
      <c r="EG19" s="1412">
        <v>0</v>
      </c>
      <c r="EH19" s="1412"/>
      <c r="EI19" s="1412"/>
      <c r="EJ19" s="1412"/>
      <c r="EK19" s="1412">
        <v>0</v>
      </c>
      <c r="EL19" s="1412"/>
      <c r="EM19" s="1412">
        <v>0</v>
      </c>
      <c r="EN19" s="1412"/>
      <c r="EO19" s="1412"/>
      <c r="EP19" s="1412"/>
      <c r="EQ19" s="1412">
        <v>0</v>
      </c>
      <c r="ER19" s="1412"/>
      <c r="ES19" s="1412"/>
      <c r="ET19" s="1412"/>
      <c r="EU19" s="1412">
        <v>0</v>
      </c>
      <c r="EV19" s="1412"/>
      <c r="EW19" s="1412"/>
      <c r="EX19" s="1412"/>
      <c r="EY19" s="1412"/>
      <c r="EZ19" s="1412">
        <v>0</v>
      </c>
      <c r="FA19" s="1412"/>
      <c r="FB19" s="1412">
        <v>0</v>
      </c>
      <c r="FC19" s="1412"/>
      <c r="FD19" s="1412"/>
      <c r="FE19" s="1412"/>
      <c r="FF19" s="1412">
        <v>0</v>
      </c>
      <c r="FG19" s="1412"/>
      <c r="FH19" s="1412"/>
      <c r="FI19" s="1412"/>
      <c r="FJ19" s="1412">
        <v>0</v>
      </c>
      <c r="FK19" s="1412"/>
      <c r="FL19" s="1412"/>
      <c r="FM19" s="1412"/>
      <c r="FN19" s="1412"/>
      <c r="FO19" s="1412">
        <v>0</v>
      </c>
      <c r="FP19" s="1412"/>
      <c r="FQ19" s="1412"/>
      <c r="FR19" s="1412"/>
      <c r="FS19" s="1412"/>
      <c r="FT19" s="1412"/>
      <c r="FU19" s="1412"/>
      <c r="FV19" s="1412"/>
      <c r="FW19" s="1412">
        <v>20196936.939999994</v>
      </c>
      <c r="FX19" s="1412">
        <v>15683474.140000001</v>
      </c>
      <c r="FY19" s="1412">
        <v>4425868.1499999939</v>
      </c>
      <c r="FZ19" s="1412">
        <v>87594.64999999979</v>
      </c>
      <c r="GA19" s="1412"/>
      <c r="GB19" s="1412">
        <v>9151984.1489499994</v>
      </c>
      <c r="GC19" s="1412"/>
      <c r="GD19" s="1412"/>
      <c r="GE19" s="1412"/>
      <c r="GF19" s="1412">
        <v>93206664.685555384</v>
      </c>
    </row>
    <row r="20" spans="2:189">
      <c r="B20" s="1208">
        <v>42430</v>
      </c>
      <c r="C20" s="1412"/>
      <c r="D20" s="1412"/>
      <c r="E20" s="1412">
        <v>1942229.93</v>
      </c>
      <c r="F20" s="1412"/>
      <c r="G20" s="1412">
        <v>1942229.93</v>
      </c>
      <c r="H20" s="1412"/>
      <c r="I20" s="1412"/>
      <c r="J20" s="1412">
        <v>0</v>
      </c>
      <c r="K20" s="1412">
        <v>0</v>
      </c>
      <c r="L20" s="1412">
        <v>0</v>
      </c>
      <c r="M20" s="1412"/>
      <c r="N20" s="1412">
        <v>0</v>
      </c>
      <c r="O20" s="1412"/>
      <c r="P20" s="1412"/>
      <c r="Q20" s="1412">
        <v>0</v>
      </c>
      <c r="R20" s="1412"/>
      <c r="S20" s="1412"/>
      <c r="T20" s="1412"/>
      <c r="U20" s="1412">
        <v>0</v>
      </c>
      <c r="V20" s="1412">
        <v>0</v>
      </c>
      <c r="W20" s="1412">
        <v>0</v>
      </c>
      <c r="X20" s="1412"/>
      <c r="Y20" s="1412"/>
      <c r="Z20" s="1412">
        <v>0</v>
      </c>
      <c r="AA20" s="1412"/>
      <c r="AB20" s="1412"/>
      <c r="AC20" s="1412">
        <v>0</v>
      </c>
      <c r="AD20" s="1412"/>
      <c r="AE20" s="1412"/>
      <c r="AF20" s="1412"/>
      <c r="AG20" s="1412">
        <v>0</v>
      </c>
      <c r="AH20" s="1412"/>
      <c r="AI20" s="1412"/>
      <c r="AJ20" s="1412"/>
      <c r="AK20" s="1412"/>
      <c r="AL20" s="1412">
        <v>0</v>
      </c>
      <c r="AM20" s="1412"/>
      <c r="AN20" s="1412"/>
      <c r="AO20" s="1412"/>
      <c r="AP20" s="1412"/>
      <c r="AQ20" s="1412">
        <v>153140.20000000001</v>
      </c>
      <c r="AR20" s="1412">
        <v>129894.80000000002</v>
      </c>
      <c r="AS20" s="1412">
        <v>23245.4</v>
      </c>
      <c r="AT20" s="1412">
        <v>23245.4</v>
      </c>
      <c r="AU20" s="1412"/>
      <c r="AV20" s="1412"/>
      <c r="AW20" s="1412"/>
      <c r="AX20" s="1412"/>
      <c r="AY20" s="1412">
        <v>191391.25</v>
      </c>
      <c r="AZ20" s="1412">
        <v>191391.25</v>
      </c>
      <c r="BA20" s="1412">
        <v>191391.25</v>
      </c>
      <c r="BB20" s="1412"/>
      <c r="BC20" s="1412"/>
      <c r="BD20" s="1412"/>
      <c r="BE20" s="1412">
        <v>0</v>
      </c>
      <c r="BF20" s="1412"/>
      <c r="BG20" s="1412"/>
      <c r="BH20" s="1412"/>
      <c r="BI20" s="1412"/>
      <c r="BJ20" s="1412"/>
      <c r="BK20" s="1412"/>
      <c r="BL20" s="1412">
        <v>0</v>
      </c>
      <c r="BM20" s="1412">
        <v>0</v>
      </c>
      <c r="BN20" s="1412"/>
      <c r="BO20" s="1412"/>
      <c r="BP20" s="1412"/>
      <c r="BQ20" s="1412"/>
      <c r="BR20" s="1412"/>
      <c r="BS20" s="1412"/>
      <c r="BT20" s="1412">
        <v>0</v>
      </c>
      <c r="BU20" s="1412">
        <v>0</v>
      </c>
      <c r="BV20" s="1412"/>
      <c r="BW20" s="1412"/>
      <c r="BX20" s="1412"/>
      <c r="BY20" s="1412"/>
      <c r="BZ20" s="1412">
        <v>0</v>
      </c>
      <c r="CA20" s="1412"/>
      <c r="CB20" s="1412"/>
      <c r="CC20" s="1412"/>
      <c r="CD20" s="1412"/>
      <c r="CE20" s="1412"/>
      <c r="CF20" s="1412"/>
      <c r="CG20" s="1412"/>
      <c r="CH20" s="1412"/>
      <c r="CI20" s="1412"/>
      <c r="CJ20" s="1412"/>
      <c r="CK20" s="1412"/>
      <c r="CL20" s="1412"/>
      <c r="CM20" s="1412"/>
      <c r="CN20" s="1412">
        <v>0</v>
      </c>
      <c r="CO20" s="1412">
        <v>0</v>
      </c>
      <c r="CP20" s="1412"/>
      <c r="CQ20" s="1412"/>
      <c r="CR20" s="1412"/>
      <c r="CS20" s="1412"/>
      <c r="CT20" s="1412"/>
      <c r="CU20" s="1412">
        <v>0</v>
      </c>
      <c r="CV20" s="1412"/>
      <c r="CW20" s="1412"/>
      <c r="CX20" s="1412"/>
      <c r="CY20" s="1412"/>
      <c r="CZ20" s="1412"/>
      <c r="DA20" s="1412"/>
      <c r="DB20" s="1412">
        <v>0</v>
      </c>
      <c r="DC20" s="1412"/>
      <c r="DD20" s="1412"/>
      <c r="DE20" s="1412"/>
      <c r="DF20" s="1412">
        <v>61951078.196605399</v>
      </c>
      <c r="DG20" s="1412">
        <v>0</v>
      </c>
      <c r="DH20" s="1412">
        <v>0</v>
      </c>
      <c r="DI20" s="1412"/>
      <c r="DJ20" s="1412"/>
      <c r="DK20" s="1412">
        <v>0</v>
      </c>
      <c r="DL20" s="1412"/>
      <c r="DM20" s="1412"/>
      <c r="DN20" s="1412">
        <v>0</v>
      </c>
      <c r="DO20" s="1412"/>
      <c r="DP20" s="1412"/>
      <c r="DQ20" s="1412">
        <v>61951078.196605399</v>
      </c>
      <c r="DR20" s="1412">
        <v>1914766.5333440525</v>
      </c>
      <c r="DS20" s="1412">
        <v>60036311.663261347</v>
      </c>
      <c r="DT20" s="1412"/>
      <c r="DU20" s="1412"/>
      <c r="DV20" s="1412">
        <v>0</v>
      </c>
      <c r="DW20" s="1412"/>
      <c r="DX20" s="1412"/>
      <c r="DY20" s="1412"/>
      <c r="DZ20" s="1412">
        <v>0</v>
      </c>
      <c r="EA20" s="1412">
        <v>0</v>
      </c>
      <c r="EB20" s="1412"/>
      <c r="EC20" s="1412"/>
      <c r="ED20" s="1412">
        <v>0</v>
      </c>
      <c r="EE20" s="1412"/>
      <c r="EF20" s="1412"/>
      <c r="EG20" s="1412">
        <v>0</v>
      </c>
      <c r="EH20" s="1412"/>
      <c r="EI20" s="1412"/>
      <c r="EJ20" s="1412"/>
      <c r="EK20" s="1412">
        <v>0</v>
      </c>
      <c r="EL20" s="1412"/>
      <c r="EM20" s="1412">
        <v>0</v>
      </c>
      <c r="EN20" s="1412"/>
      <c r="EO20" s="1412"/>
      <c r="EP20" s="1412"/>
      <c r="EQ20" s="1412">
        <v>0</v>
      </c>
      <c r="ER20" s="1412"/>
      <c r="ES20" s="1412"/>
      <c r="ET20" s="1412"/>
      <c r="EU20" s="1412">
        <v>0</v>
      </c>
      <c r="EV20" s="1412"/>
      <c r="EW20" s="1412"/>
      <c r="EX20" s="1412"/>
      <c r="EY20" s="1412"/>
      <c r="EZ20" s="1412">
        <v>0</v>
      </c>
      <c r="FA20" s="1412"/>
      <c r="FB20" s="1412">
        <v>0</v>
      </c>
      <c r="FC20" s="1412"/>
      <c r="FD20" s="1412"/>
      <c r="FE20" s="1412"/>
      <c r="FF20" s="1412">
        <v>0</v>
      </c>
      <c r="FG20" s="1412"/>
      <c r="FH20" s="1412"/>
      <c r="FI20" s="1412"/>
      <c r="FJ20" s="1412">
        <v>0</v>
      </c>
      <c r="FK20" s="1412"/>
      <c r="FL20" s="1412"/>
      <c r="FM20" s="1412"/>
      <c r="FN20" s="1412"/>
      <c r="FO20" s="1412">
        <v>0</v>
      </c>
      <c r="FP20" s="1412"/>
      <c r="FQ20" s="1412"/>
      <c r="FR20" s="1412"/>
      <c r="FS20" s="1412"/>
      <c r="FT20" s="1412"/>
      <c r="FU20" s="1412"/>
      <c r="FV20" s="1412"/>
      <c r="FW20" s="1412">
        <v>20064375.759999994</v>
      </c>
      <c r="FX20" s="1412">
        <v>15678696.199999999</v>
      </c>
      <c r="FY20" s="1412">
        <v>4306156.7099999934</v>
      </c>
      <c r="FZ20" s="1412">
        <v>79522.849999999744</v>
      </c>
      <c r="GA20" s="1412"/>
      <c r="GB20" s="1412">
        <v>9261186.8489500005</v>
      </c>
      <c r="GC20" s="1412"/>
      <c r="GD20" s="1412"/>
      <c r="GE20" s="1412"/>
      <c r="GF20" s="1412">
        <v>93563402.185555398</v>
      </c>
    </row>
    <row r="21" spans="2:189">
      <c r="B21" s="1208">
        <v>42461</v>
      </c>
      <c r="C21" s="1412"/>
      <c r="D21" s="1412"/>
      <c r="E21" s="1412">
        <v>748275</v>
      </c>
      <c r="F21" s="1412"/>
      <c r="G21" s="1412">
        <v>748275</v>
      </c>
      <c r="H21" s="1412"/>
      <c r="I21" s="1412"/>
      <c r="J21" s="1412">
        <v>600000</v>
      </c>
      <c r="K21" s="1412">
        <v>600000</v>
      </c>
      <c r="L21" s="1412">
        <v>600000</v>
      </c>
      <c r="M21" s="1412"/>
      <c r="N21" s="1412">
        <v>0</v>
      </c>
      <c r="O21" s="1412"/>
      <c r="P21" s="1412"/>
      <c r="Q21" s="1412">
        <v>0</v>
      </c>
      <c r="R21" s="1412"/>
      <c r="S21" s="1412"/>
      <c r="T21" s="1412"/>
      <c r="U21" s="1412">
        <v>500000</v>
      </c>
      <c r="V21" s="1412">
        <v>500000</v>
      </c>
      <c r="W21" s="1412">
        <v>500000</v>
      </c>
      <c r="X21" s="1412"/>
      <c r="Y21" s="1412"/>
      <c r="Z21" s="1412">
        <v>0</v>
      </c>
      <c r="AA21" s="1412"/>
      <c r="AB21" s="1412"/>
      <c r="AC21" s="1412">
        <v>0</v>
      </c>
      <c r="AD21" s="1412"/>
      <c r="AE21" s="1412"/>
      <c r="AF21" s="1412"/>
      <c r="AG21" s="1412">
        <v>0</v>
      </c>
      <c r="AH21" s="1412"/>
      <c r="AI21" s="1412"/>
      <c r="AJ21" s="1412"/>
      <c r="AK21" s="1412"/>
      <c r="AL21" s="1412">
        <v>0</v>
      </c>
      <c r="AM21" s="1412"/>
      <c r="AN21" s="1412"/>
      <c r="AO21" s="1412"/>
      <c r="AP21" s="1412"/>
      <c r="AQ21" s="1412">
        <v>196691.4</v>
      </c>
      <c r="AR21" s="1412">
        <v>173446</v>
      </c>
      <c r="AS21" s="1412">
        <v>23245.4</v>
      </c>
      <c r="AT21" s="1412">
        <v>23245.4</v>
      </c>
      <c r="AU21" s="1412"/>
      <c r="AV21" s="1412"/>
      <c r="AW21" s="1412"/>
      <c r="AX21" s="1412"/>
      <c r="AY21" s="1412">
        <v>191391.25</v>
      </c>
      <c r="AZ21" s="1412">
        <v>191391.25</v>
      </c>
      <c r="BA21" s="1412">
        <v>191391.25</v>
      </c>
      <c r="BB21" s="1412"/>
      <c r="BC21" s="1412"/>
      <c r="BD21" s="1412"/>
      <c r="BE21" s="1412">
        <v>0</v>
      </c>
      <c r="BF21" s="1412"/>
      <c r="BG21" s="1412"/>
      <c r="BH21" s="1412"/>
      <c r="BI21" s="1412"/>
      <c r="BJ21" s="1412"/>
      <c r="BK21" s="1412"/>
      <c r="BL21" s="1412">
        <v>0</v>
      </c>
      <c r="BM21" s="1412">
        <v>0</v>
      </c>
      <c r="BN21" s="1412"/>
      <c r="BO21" s="1412"/>
      <c r="BP21" s="1412"/>
      <c r="BQ21" s="1412"/>
      <c r="BR21" s="1412"/>
      <c r="BS21" s="1412"/>
      <c r="BT21" s="1412">
        <v>0</v>
      </c>
      <c r="BU21" s="1412">
        <v>0</v>
      </c>
      <c r="BV21" s="1412"/>
      <c r="BW21" s="1412"/>
      <c r="BX21" s="1412"/>
      <c r="BY21" s="1412"/>
      <c r="BZ21" s="1412">
        <v>0</v>
      </c>
      <c r="CA21" s="1412"/>
      <c r="CB21" s="1412"/>
      <c r="CC21" s="1412"/>
      <c r="CD21" s="1412"/>
      <c r="CE21" s="1412"/>
      <c r="CF21" s="1412"/>
      <c r="CG21" s="1412"/>
      <c r="CH21" s="1412"/>
      <c r="CI21" s="1412"/>
      <c r="CJ21" s="1412"/>
      <c r="CK21" s="1412"/>
      <c r="CL21" s="1412"/>
      <c r="CM21" s="1412"/>
      <c r="CN21" s="1412">
        <v>0</v>
      </c>
      <c r="CO21" s="1412">
        <v>0</v>
      </c>
      <c r="CP21" s="1412"/>
      <c r="CQ21" s="1412"/>
      <c r="CR21" s="1412"/>
      <c r="CS21" s="1412"/>
      <c r="CT21" s="1412"/>
      <c r="CU21" s="1412">
        <v>0</v>
      </c>
      <c r="CV21" s="1412"/>
      <c r="CW21" s="1412"/>
      <c r="CX21" s="1412"/>
      <c r="CY21" s="1412"/>
      <c r="CZ21" s="1412"/>
      <c r="DA21" s="1412"/>
      <c r="DB21" s="1412">
        <v>0</v>
      </c>
      <c r="DC21" s="1412"/>
      <c r="DD21" s="1412"/>
      <c r="DE21" s="1412"/>
      <c r="DF21" s="1412">
        <v>62294302</v>
      </c>
      <c r="DG21" s="1412">
        <v>0</v>
      </c>
      <c r="DH21" s="1412">
        <v>0</v>
      </c>
      <c r="DI21" s="1412"/>
      <c r="DJ21" s="1412"/>
      <c r="DK21" s="1412">
        <v>0</v>
      </c>
      <c r="DL21" s="1412"/>
      <c r="DM21" s="1412"/>
      <c r="DN21" s="1412">
        <v>0</v>
      </c>
      <c r="DO21" s="1412"/>
      <c r="DP21" s="1412"/>
      <c r="DQ21" s="1412">
        <v>62294302</v>
      </c>
      <c r="DR21" s="1412">
        <v>1925342</v>
      </c>
      <c r="DS21" s="1412">
        <v>60368960</v>
      </c>
      <c r="DT21" s="1412"/>
      <c r="DU21" s="1412"/>
      <c r="DV21" s="1412">
        <v>0</v>
      </c>
      <c r="DW21" s="1412"/>
      <c r="DX21" s="1412"/>
      <c r="DY21" s="1412"/>
      <c r="DZ21" s="1412">
        <v>0</v>
      </c>
      <c r="EA21" s="1412">
        <v>0</v>
      </c>
      <c r="EB21" s="1412"/>
      <c r="EC21" s="1412"/>
      <c r="ED21" s="1412">
        <v>0</v>
      </c>
      <c r="EE21" s="1412"/>
      <c r="EF21" s="1412"/>
      <c r="EG21" s="1412">
        <v>0</v>
      </c>
      <c r="EH21" s="1412"/>
      <c r="EI21" s="1412"/>
      <c r="EJ21" s="1412"/>
      <c r="EK21" s="1412">
        <v>0</v>
      </c>
      <c r="EL21" s="1412"/>
      <c r="EM21" s="1412">
        <v>0</v>
      </c>
      <c r="EN21" s="1412"/>
      <c r="EO21" s="1412"/>
      <c r="EP21" s="1412"/>
      <c r="EQ21" s="1412">
        <v>0</v>
      </c>
      <c r="ER21" s="1412"/>
      <c r="ES21" s="1412"/>
      <c r="ET21" s="1412"/>
      <c r="EU21" s="1412">
        <v>0</v>
      </c>
      <c r="EV21" s="1412"/>
      <c r="EW21" s="1412"/>
      <c r="EX21" s="1412"/>
      <c r="EY21" s="1412"/>
      <c r="EZ21" s="1412">
        <v>0</v>
      </c>
      <c r="FA21" s="1412"/>
      <c r="FB21" s="1412">
        <v>0</v>
      </c>
      <c r="FC21" s="1412"/>
      <c r="FD21" s="1412"/>
      <c r="FE21" s="1412"/>
      <c r="FF21" s="1412">
        <v>0</v>
      </c>
      <c r="FG21" s="1412"/>
      <c r="FH21" s="1412"/>
      <c r="FI21" s="1412"/>
      <c r="FJ21" s="1412">
        <v>0</v>
      </c>
      <c r="FK21" s="1412"/>
      <c r="FL21" s="1412"/>
      <c r="FM21" s="1412"/>
      <c r="FN21" s="1412"/>
      <c r="FO21" s="1412">
        <v>0</v>
      </c>
      <c r="FP21" s="1412"/>
      <c r="FQ21" s="1412"/>
      <c r="FR21" s="1412"/>
      <c r="FS21" s="1412"/>
      <c r="FT21" s="1412"/>
      <c r="FU21" s="1412"/>
      <c r="FV21" s="1412"/>
      <c r="FW21" s="1412">
        <v>19931814</v>
      </c>
      <c r="FX21" s="1412">
        <v>15673918</v>
      </c>
      <c r="FY21" s="1412">
        <v>4186445</v>
      </c>
      <c r="FZ21" s="1412">
        <v>71451</v>
      </c>
      <c r="GA21" s="1412"/>
      <c r="GB21" s="1412">
        <v>9370273</v>
      </c>
      <c r="GC21" s="1412"/>
      <c r="GD21" s="1412"/>
      <c r="GE21" s="1412"/>
      <c r="GF21" s="1412">
        <v>93832746.650000006</v>
      </c>
    </row>
    <row r="22" spans="2:189">
      <c r="B22" s="1208">
        <v>42491</v>
      </c>
      <c r="C22" s="1412"/>
      <c r="D22" s="1412"/>
      <c r="E22" s="1412">
        <v>872969.8</v>
      </c>
      <c r="F22" s="1412"/>
      <c r="G22" s="1412">
        <v>872969.8</v>
      </c>
      <c r="H22" s="1412"/>
      <c r="I22" s="1412"/>
      <c r="J22" s="1412">
        <v>600000</v>
      </c>
      <c r="K22" s="1412">
        <v>600000</v>
      </c>
      <c r="L22" s="1412">
        <v>600000</v>
      </c>
      <c r="M22" s="1412"/>
      <c r="N22" s="1412">
        <v>0</v>
      </c>
      <c r="O22" s="1412"/>
      <c r="P22" s="1412"/>
      <c r="Q22" s="1412">
        <v>0</v>
      </c>
      <c r="R22" s="1412"/>
      <c r="S22" s="1412"/>
      <c r="T22" s="1412"/>
      <c r="U22" s="1412">
        <v>600000</v>
      </c>
      <c r="V22" s="1412">
        <v>600000</v>
      </c>
      <c r="W22" s="1412">
        <v>600000</v>
      </c>
      <c r="X22" s="1412"/>
      <c r="Y22" s="1412"/>
      <c r="Z22" s="1412">
        <v>0</v>
      </c>
      <c r="AA22" s="1412"/>
      <c r="AB22" s="1412"/>
      <c r="AC22" s="1412">
        <v>0</v>
      </c>
      <c r="AD22" s="1412"/>
      <c r="AE22" s="1412"/>
      <c r="AF22" s="1412"/>
      <c r="AG22" s="1412">
        <v>0</v>
      </c>
      <c r="AH22" s="1412"/>
      <c r="AI22" s="1412"/>
      <c r="AJ22" s="1412"/>
      <c r="AK22" s="1412"/>
      <c r="AL22" s="1412">
        <v>0</v>
      </c>
      <c r="AM22" s="1412"/>
      <c r="AN22" s="1412"/>
      <c r="AO22" s="1412"/>
      <c r="AP22" s="1412"/>
      <c r="AQ22" s="1412">
        <v>129108.97</v>
      </c>
      <c r="AR22" s="1412">
        <v>105863.57</v>
      </c>
      <c r="AS22" s="1412">
        <v>23245.4</v>
      </c>
      <c r="AT22" s="1412">
        <v>23245.4</v>
      </c>
      <c r="AU22" s="1412"/>
      <c r="AV22" s="1412"/>
      <c r="AW22" s="1412"/>
      <c r="AX22" s="1412"/>
      <c r="AY22" s="1412">
        <v>191391.25</v>
      </c>
      <c r="AZ22" s="1412">
        <v>191391.25</v>
      </c>
      <c r="BA22" s="1412">
        <v>191391.25</v>
      </c>
      <c r="BB22" s="1412"/>
      <c r="BC22" s="1412"/>
      <c r="BD22" s="1412"/>
      <c r="BE22" s="1412">
        <v>0</v>
      </c>
      <c r="BF22" s="1412"/>
      <c r="BG22" s="1412"/>
      <c r="BH22" s="1412"/>
      <c r="BI22" s="1412"/>
      <c r="BJ22" s="1412"/>
      <c r="BK22" s="1412"/>
      <c r="BL22" s="1412">
        <v>0</v>
      </c>
      <c r="BM22" s="1412">
        <v>0</v>
      </c>
      <c r="BN22" s="1412"/>
      <c r="BO22" s="1412"/>
      <c r="BP22" s="1412"/>
      <c r="BQ22" s="1412"/>
      <c r="BR22" s="1412"/>
      <c r="BS22" s="1412"/>
      <c r="BT22" s="1412">
        <v>0</v>
      </c>
      <c r="BU22" s="1412">
        <v>0</v>
      </c>
      <c r="BV22" s="1412"/>
      <c r="BW22" s="1412"/>
      <c r="BX22" s="1412"/>
      <c r="BY22" s="1412"/>
      <c r="BZ22" s="1412">
        <v>0</v>
      </c>
      <c r="CA22" s="1412"/>
      <c r="CB22" s="1412"/>
      <c r="CC22" s="1412"/>
      <c r="CD22" s="1412"/>
      <c r="CE22" s="1412"/>
      <c r="CF22" s="1412"/>
      <c r="CG22" s="1412"/>
      <c r="CH22" s="1412"/>
      <c r="CI22" s="1412"/>
      <c r="CJ22" s="1412"/>
      <c r="CK22" s="1412"/>
      <c r="CL22" s="1412"/>
      <c r="CM22" s="1412"/>
      <c r="CN22" s="1412">
        <v>0</v>
      </c>
      <c r="CO22" s="1412">
        <v>0</v>
      </c>
      <c r="CP22" s="1412"/>
      <c r="CQ22" s="1412"/>
      <c r="CR22" s="1412"/>
      <c r="CS22" s="1412"/>
      <c r="CT22" s="1412"/>
      <c r="CU22" s="1412">
        <v>0</v>
      </c>
      <c r="CV22" s="1412"/>
      <c r="CW22" s="1412"/>
      <c r="CX22" s="1412"/>
      <c r="CY22" s="1412"/>
      <c r="CZ22" s="1412"/>
      <c r="DA22" s="1412"/>
      <c r="DB22" s="1412">
        <v>0</v>
      </c>
      <c r="DC22" s="1412"/>
      <c r="DD22" s="1412"/>
      <c r="DE22" s="1412"/>
      <c r="DF22" s="1412">
        <v>62676402.77660539</v>
      </c>
      <c r="DG22" s="1412">
        <v>0</v>
      </c>
      <c r="DH22" s="1412">
        <v>0</v>
      </c>
      <c r="DI22" s="1412"/>
      <c r="DJ22" s="1412"/>
      <c r="DK22" s="1412">
        <v>0</v>
      </c>
      <c r="DL22" s="1412"/>
      <c r="DM22" s="1412"/>
      <c r="DN22" s="1412">
        <v>0</v>
      </c>
      <c r="DO22" s="1412"/>
      <c r="DP22" s="1412"/>
      <c r="DQ22" s="1412">
        <v>62676402.77660539</v>
      </c>
      <c r="DR22" s="1412">
        <v>1937115.6167320104</v>
      </c>
      <c r="DS22" s="1412">
        <v>60739287.159873381</v>
      </c>
      <c r="DT22" s="1412"/>
      <c r="DU22" s="1412"/>
      <c r="DV22" s="1412">
        <v>0</v>
      </c>
      <c r="DW22" s="1412"/>
      <c r="DX22" s="1412"/>
      <c r="DY22" s="1412"/>
      <c r="DZ22" s="1412">
        <v>0</v>
      </c>
      <c r="EA22" s="1412">
        <v>0</v>
      </c>
      <c r="EB22" s="1412"/>
      <c r="EC22" s="1412"/>
      <c r="ED22" s="1412">
        <v>0</v>
      </c>
      <c r="EE22" s="1412"/>
      <c r="EF22" s="1412"/>
      <c r="EG22" s="1412">
        <v>0</v>
      </c>
      <c r="EH22" s="1412"/>
      <c r="EI22" s="1412"/>
      <c r="EJ22" s="1412"/>
      <c r="EK22" s="1412">
        <v>0</v>
      </c>
      <c r="EL22" s="1412"/>
      <c r="EM22" s="1412">
        <v>0</v>
      </c>
      <c r="EN22" s="1412"/>
      <c r="EO22" s="1412"/>
      <c r="EP22" s="1412"/>
      <c r="EQ22" s="1412">
        <v>0</v>
      </c>
      <c r="ER22" s="1412"/>
      <c r="ES22" s="1412"/>
      <c r="ET22" s="1412"/>
      <c r="EU22" s="1412">
        <v>0</v>
      </c>
      <c r="EV22" s="1412"/>
      <c r="EW22" s="1412"/>
      <c r="EX22" s="1412"/>
      <c r="EY22" s="1412"/>
      <c r="EZ22" s="1412">
        <v>0</v>
      </c>
      <c r="FA22" s="1412"/>
      <c r="FB22" s="1412">
        <v>0</v>
      </c>
      <c r="FC22" s="1412"/>
      <c r="FD22" s="1412"/>
      <c r="FE22" s="1412"/>
      <c r="FF22" s="1412">
        <v>0</v>
      </c>
      <c r="FG22" s="1412"/>
      <c r="FH22" s="1412"/>
      <c r="FI22" s="1412"/>
      <c r="FJ22" s="1412">
        <v>0</v>
      </c>
      <c r="FK22" s="1412"/>
      <c r="FL22" s="1412"/>
      <c r="FM22" s="1412"/>
      <c r="FN22" s="1412"/>
      <c r="FO22" s="1412">
        <v>0</v>
      </c>
      <c r="FP22" s="1412"/>
      <c r="FQ22" s="1412"/>
      <c r="FR22" s="1412"/>
      <c r="FS22" s="1412"/>
      <c r="FT22" s="1412"/>
      <c r="FU22" s="1412"/>
      <c r="FV22" s="1412"/>
      <c r="FW22" s="1412">
        <v>19799253.399999991</v>
      </c>
      <c r="FX22" s="1412">
        <v>15669140.32</v>
      </c>
      <c r="FY22" s="1412">
        <v>4066733.8299999908</v>
      </c>
      <c r="FZ22" s="1412">
        <v>63379.249999999651</v>
      </c>
      <c r="GA22" s="1412"/>
      <c r="GB22" s="1412">
        <v>9300294.8594499975</v>
      </c>
      <c r="GC22" s="1412"/>
      <c r="GD22" s="1412"/>
      <c r="GE22" s="1412"/>
      <c r="GF22" s="1412">
        <v>94169421.056055382</v>
      </c>
    </row>
    <row r="23" spans="2:189">
      <c r="B23" s="1208">
        <v>42522</v>
      </c>
      <c r="C23" s="1412"/>
      <c r="D23" s="1412"/>
      <c r="E23" s="1412">
        <v>872969.8</v>
      </c>
      <c r="F23" s="1412"/>
      <c r="G23" s="1412">
        <v>872969.8</v>
      </c>
      <c r="H23" s="1412"/>
      <c r="I23" s="1412"/>
      <c r="J23" s="1412">
        <v>600000</v>
      </c>
      <c r="K23" s="1412">
        <v>600000</v>
      </c>
      <c r="L23" s="1412">
        <v>600000</v>
      </c>
      <c r="M23" s="1412"/>
      <c r="N23" s="1412">
        <v>0</v>
      </c>
      <c r="O23" s="1412"/>
      <c r="P23" s="1412"/>
      <c r="Q23" s="1412">
        <v>0</v>
      </c>
      <c r="R23" s="1412"/>
      <c r="S23" s="1412"/>
      <c r="T23" s="1412"/>
      <c r="U23" s="1412">
        <v>600000</v>
      </c>
      <c r="V23" s="1412">
        <v>600000</v>
      </c>
      <c r="W23" s="1412">
        <v>600000</v>
      </c>
      <c r="X23" s="1412"/>
      <c r="Y23" s="1412"/>
      <c r="Z23" s="1412">
        <v>0</v>
      </c>
      <c r="AA23" s="1412"/>
      <c r="AB23" s="1412"/>
      <c r="AC23" s="1412">
        <v>0</v>
      </c>
      <c r="AD23" s="1412"/>
      <c r="AE23" s="1412"/>
      <c r="AF23" s="1412"/>
      <c r="AG23" s="1412">
        <v>0</v>
      </c>
      <c r="AH23" s="1412"/>
      <c r="AI23" s="1412"/>
      <c r="AJ23" s="1412"/>
      <c r="AK23" s="1412"/>
      <c r="AL23" s="1412">
        <v>0</v>
      </c>
      <c r="AM23" s="1412"/>
      <c r="AN23" s="1412"/>
      <c r="AO23" s="1412"/>
      <c r="AP23" s="1412"/>
      <c r="AQ23" s="1412">
        <v>129108.97</v>
      </c>
      <c r="AR23" s="1412">
        <v>105863.57</v>
      </c>
      <c r="AS23" s="1412">
        <v>23245.4</v>
      </c>
      <c r="AT23" s="1412">
        <v>23245.4</v>
      </c>
      <c r="AU23" s="1412"/>
      <c r="AV23" s="1412"/>
      <c r="AW23" s="1412"/>
      <c r="AX23" s="1412"/>
      <c r="AY23" s="1412">
        <v>191391.25</v>
      </c>
      <c r="AZ23" s="1412">
        <v>191391.25</v>
      </c>
      <c r="BA23" s="1412">
        <v>191391.25</v>
      </c>
      <c r="BB23" s="1412"/>
      <c r="BC23" s="1412"/>
      <c r="BD23" s="1412"/>
      <c r="BE23" s="1412">
        <v>0</v>
      </c>
      <c r="BF23" s="1412"/>
      <c r="BG23" s="1412"/>
      <c r="BH23" s="1412"/>
      <c r="BI23" s="1412"/>
      <c r="BJ23" s="1412"/>
      <c r="BK23" s="1412"/>
      <c r="BL23" s="1412">
        <v>0</v>
      </c>
      <c r="BM23" s="1412">
        <v>0</v>
      </c>
      <c r="BN23" s="1412"/>
      <c r="BO23" s="1412"/>
      <c r="BP23" s="1412"/>
      <c r="BQ23" s="1412"/>
      <c r="BR23" s="1412"/>
      <c r="BS23" s="1412"/>
      <c r="BT23" s="1412">
        <v>0</v>
      </c>
      <c r="BU23" s="1412">
        <v>0</v>
      </c>
      <c r="BV23" s="1412"/>
      <c r="BW23" s="1412"/>
      <c r="BX23" s="1412"/>
      <c r="BY23" s="1412"/>
      <c r="BZ23" s="1412">
        <v>0</v>
      </c>
      <c r="CA23" s="1412"/>
      <c r="CB23" s="1412"/>
      <c r="CC23" s="1412"/>
      <c r="CD23" s="1412"/>
      <c r="CE23" s="1412"/>
      <c r="CF23" s="1412"/>
      <c r="CG23" s="1412"/>
      <c r="CH23" s="1412"/>
      <c r="CI23" s="1412"/>
      <c r="CJ23" s="1412"/>
      <c r="CK23" s="1412"/>
      <c r="CL23" s="1412"/>
      <c r="CM23" s="1412"/>
      <c r="CN23" s="1412">
        <v>0</v>
      </c>
      <c r="CO23" s="1412">
        <v>0</v>
      </c>
      <c r="CP23" s="1412"/>
      <c r="CQ23" s="1412"/>
      <c r="CR23" s="1412"/>
      <c r="CS23" s="1412"/>
      <c r="CT23" s="1412"/>
      <c r="CU23" s="1412">
        <v>0</v>
      </c>
      <c r="CV23" s="1412"/>
      <c r="CW23" s="1412"/>
      <c r="CX23" s="1412"/>
      <c r="CY23" s="1412"/>
      <c r="CZ23" s="1412"/>
      <c r="DA23" s="1412"/>
      <c r="DB23" s="1412">
        <v>0</v>
      </c>
      <c r="DC23" s="1412"/>
      <c r="DD23" s="1412"/>
      <c r="DE23" s="1412"/>
      <c r="DF23" s="1412">
        <v>62676402.77660539</v>
      </c>
      <c r="DG23" s="1412">
        <v>0</v>
      </c>
      <c r="DH23" s="1412">
        <v>0</v>
      </c>
      <c r="DI23" s="1412"/>
      <c r="DJ23" s="1412"/>
      <c r="DK23" s="1412">
        <v>0</v>
      </c>
      <c r="DL23" s="1412"/>
      <c r="DM23" s="1412"/>
      <c r="DN23" s="1412">
        <v>0</v>
      </c>
      <c r="DO23" s="1412"/>
      <c r="DP23" s="1412"/>
      <c r="DQ23" s="1412">
        <v>62676402.77660539</v>
      </c>
      <c r="DR23" s="1412">
        <v>1937115.6167320104</v>
      </c>
      <c r="DS23" s="1412">
        <v>60739287.159873381</v>
      </c>
      <c r="DT23" s="1412"/>
      <c r="DU23" s="1412"/>
      <c r="DV23" s="1412">
        <v>0</v>
      </c>
      <c r="DW23" s="1412"/>
      <c r="DX23" s="1412"/>
      <c r="DY23" s="1412"/>
      <c r="DZ23" s="1412">
        <v>0</v>
      </c>
      <c r="EA23" s="1412">
        <v>0</v>
      </c>
      <c r="EB23" s="1412"/>
      <c r="EC23" s="1412"/>
      <c r="ED23" s="1412">
        <v>0</v>
      </c>
      <c r="EE23" s="1412"/>
      <c r="EF23" s="1412"/>
      <c r="EG23" s="1412">
        <v>0</v>
      </c>
      <c r="EH23" s="1412"/>
      <c r="EI23" s="1412"/>
      <c r="EJ23" s="1412"/>
      <c r="EK23" s="1412">
        <v>0</v>
      </c>
      <c r="EL23" s="1412"/>
      <c r="EM23" s="1412">
        <v>0</v>
      </c>
      <c r="EN23" s="1412"/>
      <c r="EO23" s="1412"/>
      <c r="EP23" s="1412"/>
      <c r="EQ23" s="1412">
        <v>0</v>
      </c>
      <c r="ER23" s="1412"/>
      <c r="ES23" s="1412"/>
      <c r="ET23" s="1412"/>
      <c r="EU23" s="1412">
        <v>0</v>
      </c>
      <c r="EV23" s="1412"/>
      <c r="EW23" s="1412"/>
      <c r="EX23" s="1412"/>
      <c r="EY23" s="1412"/>
      <c r="EZ23" s="1412">
        <v>0</v>
      </c>
      <c r="FA23" s="1412"/>
      <c r="FB23" s="1412">
        <v>0</v>
      </c>
      <c r="FC23" s="1412"/>
      <c r="FD23" s="1412"/>
      <c r="FE23" s="1412"/>
      <c r="FF23" s="1412">
        <v>0</v>
      </c>
      <c r="FG23" s="1412"/>
      <c r="FH23" s="1412"/>
      <c r="FI23" s="1412"/>
      <c r="FJ23" s="1412">
        <v>0</v>
      </c>
      <c r="FK23" s="1412"/>
      <c r="FL23" s="1412"/>
      <c r="FM23" s="1412"/>
      <c r="FN23" s="1412"/>
      <c r="FO23" s="1412">
        <v>0</v>
      </c>
      <c r="FP23" s="1412"/>
      <c r="FQ23" s="1412"/>
      <c r="FR23" s="1412"/>
      <c r="FS23" s="1412"/>
      <c r="FT23" s="1412"/>
      <c r="FU23" s="1412"/>
      <c r="FV23" s="1412"/>
      <c r="FW23" s="1412">
        <v>19799253.399999991</v>
      </c>
      <c r="FX23" s="1412">
        <v>15669140.32</v>
      </c>
      <c r="FY23" s="1412">
        <v>4066733.8299999908</v>
      </c>
      <c r="FZ23" s="1412">
        <v>63379.249999999651</v>
      </c>
      <c r="GA23" s="1412"/>
      <c r="GB23" s="1412">
        <v>9300294.8594499975</v>
      </c>
      <c r="GC23" s="1412"/>
      <c r="GD23" s="1412"/>
      <c r="GE23" s="1412"/>
      <c r="GF23" s="1412">
        <v>94169421.056055382</v>
      </c>
    </row>
    <row r="24" spans="2:189">
      <c r="B24" s="1208">
        <v>42552</v>
      </c>
      <c r="C24" s="1412"/>
      <c r="D24" s="1412"/>
      <c r="E24" s="1412">
        <v>1821296.1600000001</v>
      </c>
      <c r="F24" s="1412"/>
      <c r="G24" s="1412">
        <v>1821296.1600000001</v>
      </c>
      <c r="H24" s="1412"/>
      <c r="I24" s="1412"/>
      <c r="J24" s="1412">
        <v>600000</v>
      </c>
      <c r="K24" s="1412">
        <v>600000</v>
      </c>
      <c r="L24" s="1412">
        <v>600000</v>
      </c>
      <c r="M24" s="1412"/>
      <c r="N24" s="1412">
        <v>0</v>
      </c>
      <c r="O24" s="1412"/>
      <c r="P24" s="1412"/>
      <c r="Q24" s="1412">
        <v>0</v>
      </c>
      <c r="R24" s="1412"/>
      <c r="S24" s="1412"/>
      <c r="T24" s="1412"/>
      <c r="U24" s="1412">
        <v>0</v>
      </c>
      <c r="V24" s="1412">
        <v>0</v>
      </c>
      <c r="W24" s="1412">
        <v>0</v>
      </c>
      <c r="X24" s="1412"/>
      <c r="Y24" s="1412"/>
      <c r="Z24" s="1412">
        <v>0</v>
      </c>
      <c r="AA24" s="1412"/>
      <c r="AB24" s="1412"/>
      <c r="AC24" s="1412">
        <v>0</v>
      </c>
      <c r="AD24" s="1412"/>
      <c r="AE24" s="1412"/>
      <c r="AF24" s="1412"/>
      <c r="AG24" s="1412">
        <v>0</v>
      </c>
      <c r="AH24" s="1412"/>
      <c r="AI24" s="1412"/>
      <c r="AJ24" s="1412"/>
      <c r="AK24" s="1412"/>
      <c r="AL24" s="1412">
        <v>0</v>
      </c>
      <c r="AM24" s="1412"/>
      <c r="AN24" s="1412"/>
      <c r="AO24" s="1412"/>
      <c r="AP24" s="1412"/>
      <c r="AQ24" s="1412">
        <v>86086.41</v>
      </c>
      <c r="AR24" s="1412">
        <v>62841.01</v>
      </c>
      <c r="AS24" s="1412">
        <v>23245.4</v>
      </c>
      <c r="AT24" s="1412">
        <v>23245.4</v>
      </c>
      <c r="AU24" s="1412"/>
      <c r="AV24" s="1412"/>
      <c r="AW24" s="1412"/>
      <c r="AX24" s="1412"/>
      <c r="AY24" s="1412">
        <v>191391.25</v>
      </c>
      <c r="AZ24" s="1412">
        <v>191391.25</v>
      </c>
      <c r="BA24" s="1412">
        <v>191391.25</v>
      </c>
      <c r="BB24" s="1412"/>
      <c r="BC24" s="1412"/>
      <c r="BD24" s="1412"/>
      <c r="BE24" s="1412">
        <v>0</v>
      </c>
      <c r="BF24" s="1412"/>
      <c r="BG24" s="1412"/>
      <c r="BH24" s="1412"/>
      <c r="BI24" s="1412"/>
      <c r="BJ24" s="1412"/>
      <c r="BK24" s="1412"/>
      <c r="BL24" s="1412">
        <v>0</v>
      </c>
      <c r="BM24" s="1412">
        <v>0</v>
      </c>
      <c r="BN24" s="1412"/>
      <c r="BO24" s="1412"/>
      <c r="BP24" s="1412"/>
      <c r="BQ24" s="1412"/>
      <c r="BR24" s="1412"/>
      <c r="BS24" s="1412"/>
      <c r="BT24" s="1412">
        <v>0</v>
      </c>
      <c r="BU24" s="1412">
        <v>0</v>
      </c>
      <c r="BV24" s="1412"/>
      <c r="BW24" s="1412"/>
      <c r="BX24" s="1412"/>
      <c r="BY24" s="1412"/>
      <c r="BZ24" s="1412">
        <v>0</v>
      </c>
      <c r="CA24" s="1412"/>
      <c r="CB24" s="1412"/>
      <c r="CC24" s="1412"/>
      <c r="CD24" s="1412"/>
      <c r="CE24" s="1412"/>
      <c r="CF24" s="1412"/>
      <c r="CG24" s="1412"/>
      <c r="CH24" s="1412"/>
      <c r="CI24" s="1412"/>
      <c r="CJ24" s="1412"/>
      <c r="CK24" s="1412"/>
      <c r="CL24" s="1412"/>
      <c r="CM24" s="1412"/>
      <c r="CN24" s="1412">
        <v>0</v>
      </c>
      <c r="CO24" s="1412">
        <v>0</v>
      </c>
      <c r="CP24" s="1412"/>
      <c r="CQ24" s="1412"/>
      <c r="CR24" s="1412"/>
      <c r="CS24" s="1412"/>
      <c r="CT24" s="1412"/>
      <c r="CU24" s="1412">
        <v>0</v>
      </c>
      <c r="CV24" s="1412"/>
      <c r="CW24" s="1412"/>
      <c r="CX24" s="1412"/>
      <c r="CY24" s="1412"/>
      <c r="CZ24" s="1412"/>
      <c r="DA24" s="1412"/>
      <c r="DB24" s="1412">
        <v>0</v>
      </c>
      <c r="DC24" s="1412"/>
      <c r="DD24" s="1412"/>
      <c r="DE24" s="1412"/>
      <c r="DF24" s="1412">
        <v>63362616.530096211</v>
      </c>
      <c r="DG24" s="1412">
        <v>0</v>
      </c>
      <c r="DH24" s="1412">
        <v>0</v>
      </c>
      <c r="DI24" s="1412"/>
      <c r="DJ24" s="1412"/>
      <c r="DK24" s="1412">
        <v>0</v>
      </c>
      <c r="DL24" s="1412"/>
      <c r="DM24" s="1412"/>
      <c r="DN24" s="1412">
        <v>0</v>
      </c>
      <c r="DO24" s="1412"/>
      <c r="DP24" s="1412"/>
      <c r="DQ24" s="1412">
        <v>63362616.530096211</v>
      </c>
      <c r="DR24" s="1412">
        <v>1958259.5967122975</v>
      </c>
      <c r="DS24" s="1412">
        <v>61404356.933383912</v>
      </c>
      <c r="DT24" s="1412"/>
      <c r="DU24" s="1412"/>
      <c r="DV24" s="1412">
        <v>0</v>
      </c>
      <c r="DW24" s="1412"/>
      <c r="DX24" s="1412"/>
      <c r="DY24" s="1412"/>
      <c r="DZ24" s="1412">
        <v>0</v>
      </c>
      <c r="EA24" s="1412">
        <v>0</v>
      </c>
      <c r="EB24" s="1412"/>
      <c r="EC24" s="1412"/>
      <c r="ED24" s="1412">
        <v>0</v>
      </c>
      <c r="EE24" s="1412"/>
      <c r="EF24" s="1412"/>
      <c r="EG24" s="1412">
        <v>0</v>
      </c>
      <c r="EH24" s="1412"/>
      <c r="EI24" s="1412"/>
      <c r="EJ24" s="1412"/>
      <c r="EK24" s="1412">
        <v>0</v>
      </c>
      <c r="EL24" s="1412"/>
      <c r="EM24" s="1412">
        <v>0</v>
      </c>
      <c r="EN24" s="1412"/>
      <c r="EO24" s="1412"/>
      <c r="EP24" s="1412"/>
      <c r="EQ24" s="1412">
        <v>0</v>
      </c>
      <c r="ER24" s="1412"/>
      <c r="ES24" s="1412"/>
      <c r="ET24" s="1412"/>
      <c r="EU24" s="1412">
        <v>0</v>
      </c>
      <c r="EV24" s="1412"/>
      <c r="EW24" s="1412"/>
      <c r="EX24" s="1412"/>
      <c r="EY24" s="1412"/>
      <c r="EZ24" s="1412">
        <v>0</v>
      </c>
      <c r="FA24" s="1412"/>
      <c r="FB24" s="1412">
        <v>0</v>
      </c>
      <c r="FC24" s="1412"/>
      <c r="FD24" s="1412"/>
      <c r="FE24" s="1412"/>
      <c r="FF24" s="1412">
        <v>0</v>
      </c>
      <c r="FG24" s="1412"/>
      <c r="FH24" s="1412"/>
      <c r="FI24" s="1412"/>
      <c r="FJ24" s="1412">
        <v>0</v>
      </c>
      <c r="FK24" s="1412"/>
      <c r="FL24" s="1412"/>
      <c r="FM24" s="1412"/>
      <c r="FN24" s="1412"/>
      <c r="FO24" s="1412">
        <v>0</v>
      </c>
      <c r="FP24" s="1412"/>
      <c r="FQ24" s="1412"/>
      <c r="FR24" s="1412"/>
      <c r="FS24" s="1412"/>
      <c r="FT24" s="1412"/>
      <c r="FU24" s="1412"/>
      <c r="FV24" s="1412"/>
      <c r="FW24" s="1412">
        <v>19838131.039999988</v>
      </c>
      <c r="FX24" s="1412">
        <v>15963584.440000001</v>
      </c>
      <c r="FY24" s="1412">
        <v>3827310.9499999885</v>
      </c>
      <c r="FZ24" s="1412">
        <v>47235.649999999558</v>
      </c>
      <c r="GA24" s="1412"/>
      <c r="GB24" s="1412">
        <v>9207647.2509499975</v>
      </c>
      <c r="GC24" s="1412"/>
      <c r="GD24" s="1412"/>
      <c r="GE24" s="1412"/>
      <c r="GF24" s="1412">
        <v>95107168.641046196</v>
      </c>
    </row>
    <row r="25" spans="2:189">
      <c r="B25" s="1208">
        <v>42583</v>
      </c>
      <c r="C25" s="1412"/>
      <c r="D25" s="1412"/>
      <c r="E25" s="1412">
        <v>1742703</v>
      </c>
      <c r="F25" s="1412"/>
      <c r="G25" s="1412">
        <v>1742703</v>
      </c>
      <c r="H25" s="1412"/>
      <c r="I25" s="1412"/>
      <c r="J25" s="1412">
        <v>600000</v>
      </c>
      <c r="K25" s="1412">
        <v>600000</v>
      </c>
      <c r="L25" s="1412">
        <v>600000</v>
      </c>
      <c r="M25" s="1412"/>
      <c r="N25" s="1412">
        <v>0</v>
      </c>
      <c r="O25" s="1412"/>
      <c r="P25" s="1412"/>
      <c r="Q25" s="1412">
        <v>0</v>
      </c>
      <c r="R25" s="1412"/>
      <c r="S25" s="1412"/>
      <c r="T25" s="1412"/>
      <c r="U25" s="1412">
        <v>0</v>
      </c>
      <c r="V25" s="1412">
        <v>0</v>
      </c>
      <c r="W25" s="1412">
        <v>0</v>
      </c>
      <c r="X25" s="1412"/>
      <c r="Y25" s="1412"/>
      <c r="Z25" s="1412">
        <v>0</v>
      </c>
      <c r="AA25" s="1412"/>
      <c r="AB25" s="1412"/>
      <c r="AC25" s="1412">
        <v>0</v>
      </c>
      <c r="AD25" s="1412"/>
      <c r="AE25" s="1412"/>
      <c r="AF25" s="1412"/>
      <c r="AG25" s="1412">
        <v>0</v>
      </c>
      <c r="AH25" s="1412"/>
      <c r="AI25" s="1412"/>
      <c r="AJ25" s="1412"/>
      <c r="AK25" s="1412"/>
      <c r="AL25" s="1412">
        <v>0</v>
      </c>
      <c r="AM25" s="1412"/>
      <c r="AN25" s="1412"/>
      <c r="AO25" s="1412"/>
      <c r="AP25" s="1412"/>
      <c r="AQ25" s="1412">
        <v>78119</v>
      </c>
      <c r="AR25" s="1412">
        <v>77645</v>
      </c>
      <c r="AS25" s="1412">
        <v>474</v>
      </c>
      <c r="AT25" s="1412">
        <v>474</v>
      </c>
      <c r="AU25" s="1412"/>
      <c r="AV25" s="1412"/>
      <c r="AW25" s="1412"/>
      <c r="AX25" s="1412"/>
      <c r="AY25" s="1412">
        <v>191391.25</v>
      </c>
      <c r="AZ25" s="1412">
        <v>191391.25</v>
      </c>
      <c r="BA25" s="1412">
        <v>191391.25</v>
      </c>
      <c r="BB25" s="1412"/>
      <c r="BC25" s="1412"/>
      <c r="BD25" s="1412"/>
      <c r="BE25" s="1412">
        <v>0</v>
      </c>
      <c r="BF25" s="1412"/>
      <c r="BG25" s="1412"/>
      <c r="BH25" s="1412"/>
      <c r="BI25" s="1412"/>
      <c r="BJ25" s="1412"/>
      <c r="BK25" s="1412"/>
      <c r="BL25" s="1412">
        <v>0</v>
      </c>
      <c r="BM25" s="1412">
        <v>0</v>
      </c>
      <c r="BN25" s="1412"/>
      <c r="BO25" s="1412"/>
      <c r="BP25" s="1412"/>
      <c r="BQ25" s="1412"/>
      <c r="BR25" s="1412"/>
      <c r="BS25" s="1412"/>
      <c r="BT25" s="1412">
        <v>0</v>
      </c>
      <c r="BU25" s="1412">
        <v>0</v>
      </c>
      <c r="BV25" s="1412"/>
      <c r="BW25" s="1412"/>
      <c r="BX25" s="1412"/>
      <c r="BY25" s="1412"/>
      <c r="BZ25" s="1412">
        <v>0</v>
      </c>
      <c r="CA25" s="1412"/>
      <c r="CB25" s="1412"/>
      <c r="CC25" s="1412"/>
      <c r="CD25" s="1412"/>
      <c r="CE25" s="1412"/>
      <c r="CF25" s="1412"/>
      <c r="CG25" s="1412"/>
      <c r="CH25" s="1412"/>
      <c r="CI25" s="1412"/>
      <c r="CJ25" s="1412"/>
      <c r="CK25" s="1412"/>
      <c r="CL25" s="1412"/>
      <c r="CM25" s="1412"/>
      <c r="CN25" s="1412">
        <v>0</v>
      </c>
      <c r="CO25" s="1412">
        <v>0</v>
      </c>
      <c r="CP25" s="1412"/>
      <c r="CQ25" s="1412"/>
      <c r="CR25" s="1412"/>
      <c r="CS25" s="1412"/>
      <c r="CT25" s="1412"/>
      <c r="CU25" s="1412">
        <v>0</v>
      </c>
      <c r="CV25" s="1412"/>
      <c r="CW25" s="1412"/>
      <c r="CX25" s="1412"/>
      <c r="CY25" s="1412"/>
      <c r="CZ25" s="1412"/>
      <c r="DA25" s="1412"/>
      <c r="DB25" s="1412">
        <v>0</v>
      </c>
      <c r="DC25" s="1412"/>
      <c r="DD25" s="1412"/>
      <c r="DE25" s="1412"/>
      <c r="DF25" s="1412">
        <v>63567872</v>
      </c>
      <c r="DG25" s="1412">
        <v>0</v>
      </c>
      <c r="DH25" s="1412">
        <v>0</v>
      </c>
      <c r="DI25" s="1412"/>
      <c r="DJ25" s="1412"/>
      <c r="DK25" s="1412">
        <v>0</v>
      </c>
      <c r="DL25" s="1412"/>
      <c r="DM25" s="1412"/>
      <c r="DN25" s="1412">
        <v>0</v>
      </c>
      <c r="DO25" s="1412"/>
      <c r="DP25" s="1412"/>
      <c r="DQ25" s="1412">
        <v>63567872</v>
      </c>
      <c r="DR25" s="1412">
        <v>1964584</v>
      </c>
      <c r="DS25" s="1412">
        <v>61603288</v>
      </c>
      <c r="DT25" s="1412"/>
      <c r="DU25" s="1412"/>
      <c r="DV25" s="1412">
        <v>0</v>
      </c>
      <c r="DW25" s="1412"/>
      <c r="DX25" s="1412"/>
      <c r="DY25" s="1412"/>
      <c r="DZ25" s="1412">
        <v>0</v>
      </c>
      <c r="EA25" s="1412">
        <v>0</v>
      </c>
      <c r="EB25" s="1412"/>
      <c r="EC25" s="1412"/>
      <c r="ED25" s="1412">
        <v>0</v>
      </c>
      <c r="EE25" s="1412"/>
      <c r="EF25" s="1412"/>
      <c r="EG25" s="1412">
        <v>0</v>
      </c>
      <c r="EH25" s="1412"/>
      <c r="EI25" s="1412"/>
      <c r="EJ25" s="1412"/>
      <c r="EK25" s="1412">
        <v>0</v>
      </c>
      <c r="EL25" s="1412"/>
      <c r="EM25" s="1412">
        <v>0</v>
      </c>
      <c r="EN25" s="1412"/>
      <c r="EO25" s="1412"/>
      <c r="EP25" s="1412"/>
      <c r="EQ25" s="1412">
        <v>0</v>
      </c>
      <c r="ER25" s="1412"/>
      <c r="ES25" s="1412"/>
      <c r="ET25" s="1412"/>
      <c r="EU25" s="1412">
        <v>0</v>
      </c>
      <c r="EV25" s="1412"/>
      <c r="EW25" s="1412"/>
      <c r="EX25" s="1412"/>
      <c r="EY25" s="1412"/>
      <c r="EZ25" s="1412">
        <v>0</v>
      </c>
      <c r="FA25" s="1412"/>
      <c r="FB25" s="1412">
        <v>0</v>
      </c>
      <c r="FC25" s="1412"/>
      <c r="FD25" s="1412"/>
      <c r="FE25" s="1412"/>
      <c r="FF25" s="1412">
        <v>0</v>
      </c>
      <c r="FG25" s="1412"/>
      <c r="FH25" s="1412"/>
      <c r="FI25" s="1412"/>
      <c r="FJ25" s="1412">
        <v>0</v>
      </c>
      <c r="FK25" s="1412"/>
      <c r="FL25" s="1412"/>
      <c r="FM25" s="1412"/>
      <c r="FN25" s="1412"/>
      <c r="FO25" s="1412">
        <v>0</v>
      </c>
      <c r="FP25" s="1412"/>
      <c r="FQ25" s="1412"/>
      <c r="FR25" s="1412"/>
      <c r="FS25" s="1412"/>
      <c r="FT25" s="1412"/>
      <c r="FU25" s="1412"/>
      <c r="FV25" s="1412"/>
      <c r="FW25" s="1412">
        <v>19705571</v>
      </c>
      <c r="FX25" s="1412">
        <v>15958807</v>
      </c>
      <c r="FY25" s="1412">
        <v>3707600</v>
      </c>
      <c r="FZ25" s="1412">
        <v>39164</v>
      </c>
      <c r="GA25" s="1412"/>
      <c r="GB25" s="1412">
        <v>9286482</v>
      </c>
      <c r="GC25" s="1412"/>
      <c r="GD25" s="1412"/>
      <c r="GE25" s="1412"/>
      <c r="GF25" s="1412">
        <v>95172138.25</v>
      </c>
    </row>
    <row r="26" spans="2:189">
      <c r="B26" s="1208">
        <v>42614</v>
      </c>
      <c r="C26" s="1412"/>
      <c r="D26" s="1412"/>
      <c r="E26" s="1412">
        <v>1719678</v>
      </c>
      <c r="F26" s="1412"/>
      <c r="G26" s="1412">
        <v>1719678</v>
      </c>
      <c r="H26" s="1412"/>
      <c r="I26" s="1412"/>
      <c r="J26" s="1412">
        <v>600000</v>
      </c>
      <c r="K26" s="1412">
        <v>600000</v>
      </c>
      <c r="L26" s="1412">
        <v>600000</v>
      </c>
      <c r="M26" s="1412"/>
      <c r="N26" s="1412">
        <v>0</v>
      </c>
      <c r="O26" s="1412"/>
      <c r="P26" s="1412"/>
      <c r="Q26" s="1412">
        <v>0</v>
      </c>
      <c r="R26" s="1412"/>
      <c r="S26" s="1412"/>
      <c r="T26" s="1412"/>
      <c r="U26" s="1412">
        <v>0</v>
      </c>
      <c r="V26" s="1412">
        <v>0</v>
      </c>
      <c r="W26" s="1412">
        <v>0</v>
      </c>
      <c r="X26" s="1412"/>
      <c r="Y26" s="1412"/>
      <c r="Z26" s="1412">
        <v>0</v>
      </c>
      <c r="AA26" s="1412"/>
      <c r="AB26" s="1412"/>
      <c r="AC26" s="1412">
        <v>0</v>
      </c>
      <c r="AD26" s="1412"/>
      <c r="AE26" s="1412"/>
      <c r="AF26" s="1412"/>
      <c r="AG26" s="1412">
        <v>0</v>
      </c>
      <c r="AH26" s="1412"/>
      <c r="AI26" s="1412"/>
      <c r="AJ26" s="1412"/>
      <c r="AK26" s="1412"/>
      <c r="AL26" s="1412">
        <v>0</v>
      </c>
      <c r="AM26" s="1412"/>
      <c r="AN26" s="1412"/>
      <c r="AO26" s="1412"/>
      <c r="AP26" s="1412"/>
      <c r="AQ26" s="1412">
        <v>54780</v>
      </c>
      <c r="AR26" s="1412">
        <v>54306</v>
      </c>
      <c r="AS26" s="1412">
        <v>474</v>
      </c>
      <c r="AT26" s="1412">
        <v>474</v>
      </c>
      <c r="AU26" s="1412"/>
      <c r="AV26" s="1412"/>
      <c r="AW26" s="1412"/>
      <c r="AX26" s="1412"/>
      <c r="AY26" s="1412">
        <v>191391.25</v>
      </c>
      <c r="AZ26" s="1412">
        <v>191391.25</v>
      </c>
      <c r="BA26" s="1412">
        <v>191391.25</v>
      </c>
      <c r="BB26" s="1412"/>
      <c r="BC26" s="1412"/>
      <c r="BD26" s="1412"/>
      <c r="BE26" s="1412">
        <v>0</v>
      </c>
      <c r="BF26" s="1412"/>
      <c r="BG26" s="1412"/>
      <c r="BH26" s="1412"/>
      <c r="BI26" s="1412"/>
      <c r="BJ26" s="1412"/>
      <c r="BK26" s="1412"/>
      <c r="BL26" s="1412">
        <v>0</v>
      </c>
      <c r="BM26" s="1412">
        <v>0</v>
      </c>
      <c r="BN26" s="1412"/>
      <c r="BO26" s="1412"/>
      <c r="BP26" s="1412"/>
      <c r="BQ26" s="1412"/>
      <c r="BR26" s="1412"/>
      <c r="BS26" s="1412"/>
      <c r="BT26" s="1412">
        <v>0</v>
      </c>
      <c r="BU26" s="1412">
        <v>0</v>
      </c>
      <c r="BV26" s="1412"/>
      <c r="BW26" s="1412"/>
      <c r="BX26" s="1412"/>
      <c r="BY26" s="1412"/>
      <c r="BZ26" s="1412">
        <v>0</v>
      </c>
      <c r="CA26" s="1412"/>
      <c r="CB26" s="1412"/>
      <c r="CC26" s="1412"/>
      <c r="CD26" s="1412"/>
      <c r="CE26" s="1412"/>
      <c r="CF26" s="1412"/>
      <c r="CG26" s="1412"/>
      <c r="CH26" s="1412"/>
      <c r="CI26" s="1412"/>
      <c r="CJ26" s="1412"/>
      <c r="CK26" s="1412"/>
      <c r="CL26" s="1412"/>
      <c r="CM26" s="1412"/>
      <c r="CN26" s="1412">
        <v>0</v>
      </c>
      <c r="CO26" s="1412">
        <v>0</v>
      </c>
      <c r="CP26" s="1412"/>
      <c r="CQ26" s="1412"/>
      <c r="CR26" s="1412"/>
      <c r="CS26" s="1412"/>
      <c r="CT26" s="1412"/>
      <c r="CU26" s="1412">
        <v>0</v>
      </c>
      <c r="CV26" s="1412"/>
      <c r="CW26" s="1412"/>
      <c r="CX26" s="1412"/>
      <c r="CY26" s="1412"/>
      <c r="CZ26" s="1412"/>
      <c r="DA26" s="1412"/>
      <c r="DB26" s="1412">
        <v>0</v>
      </c>
      <c r="DC26" s="1412"/>
      <c r="DD26" s="1412"/>
      <c r="DE26" s="1412"/>
      <c r="DF26" s="1412">
        <v>63934962</v>
      </c>
      <c r="DG26" s="1412">
        <v>0</v>
      </c>
      <c r="DH26" s="1412">
        <v>0</v>
      </c>
      <c r="DI26" s="1412"/>
      <c r="DJ26" s="1412"/>
      <c r="DK26" s="1412">
        <v>0</v>
      </c>
      <c r="DL26" s="1412"/>
      <c r="DM26" s="1412"/>
      <c r="DN26" s="1412">
        <v>0</v>
      </c>
      <c r="DO26" s="1412"/>
      <c r="DP26" s="1412"/>
      <c r="DQ26" s="1412">
        <v>63934962</v>
      </c>
      <c r="DR26" s="1412">
        <v>1994383</v>
      </c>
      <c r="DS26" s="1412">
        <v>61940579</v>
      </c>
      <c r="DT26" s="1412"/>
      <c r="DU26" s="1412"/>
      <c r="DV26" s="1412">
        <v>0</v>
      </c>
      <c r="DW26" s="1412"/>
      <c r="DX26" s="1412"/>
      <c r="DY26" s="1412"/>
      <c r="DZ26" s="1412">
        <v>0</v>
      </c>
      <c r="EA26" s="1412">
        <v>0</v>
      </c>
      <c r="EB26" s="1412"/>
      <c r="EC26" s="1412"/>
      <c r="ED26" s="1412">
        <v>0</v>
      </c>
      <c r="EE26" s="1412"/>
      <c r="EF26" s="1412"/>
      <c r="EG26" s="1412">
        <v>0</v>
      </c>
      <c r="EH26" s="1412"/>
      <c r="EI26" s="1412"/>
      <c r="EJ26" s="1412"/>
      <c r="EK26" s="1412">
        <v>0</v>
      </c>
      <c r="EL26" s="1412"/>
      <c r="EM26" s="1412">
        <v>0</v>
      </c>
      <c r="EN26" s="1412"/>
      <c r="EO26" s="1412"/>
      <c r="EP26" s="1412"/>
      <c r="EQ26" s="1412">
        <v>0</v>
      </c>
      <c r="ER26" s="1412"/>
      <c r="ES26" s="1412"/>
      <c r="ET26" s="1412"/>
      <c r="EU26" s="1412">
        <v>0</v>
      </c>
      <c r="EV26" s="1412"/>
      <c r="EW26" s="1412"/>
      <c r="EX26" s="1412"/>
      <c r="EY26" s="1412"/>
      <c r="EZ26" s="1412">
        <v>0</v>
      </c>
      <c r="FA26" s="1412"/>
      <c r="FB26" s="1412">
        <v>0</v>
      </c>
      <c r="FC26" s="1412"/>
      <c r="FD26" s="1412"/>
      <c r="FE26" s="1412"/>
      <c r="FF26" s="1412">
        <v>0</v>
      </c>
      <c r="FG26" s="1412"/>
      <c r="FH26" s="1412"/>
      <c r="FI26" s="1412"/>
      <c r="FJ26" s="1412">
        <v>0</v>
      </c>
      <c r="FK26" s="1412"/>
      <c r="FL26" s="1412"/>
      <c r="FM26" s="1412"/>
      <c r="FN26" s="1412"/>
      <c r="FO26" s="1412">
        <v>0</v>
      </c>
      <c r="FP26" s="1412"/>
      <c r="FQ26" s="1412"/>
      <c r="FR26" s="1412"/>
      <c r="FS26" s="1412"/>
      <c r="FT26" s="1412"/>
      <c r="FU26" s="1412"/>
      <c r="FV26" s="1412"/>
      <c r="FW26" s="1412">
        <v>19573009</v>
      </c>
      <c r="FX26" s="1412">
        <v>15954029</v>
      </c>
      <c r="FY26" s="1412">
        <v>3587888</v>
      </c>
      <c r="FZ26" s="1412">
        <v>31092</v>
      </c>
      <c r="GA26" s="1412"/>
      <c r="GB26" s="1412">
        <v>9433357</v>
      </c>
      <c r="GC26" s="1412"/>
      <c r="GD26" s="1412"/>
      <c r="GE26" s="1412"/>
      <c r="GF26" s="1412">
        <v>95507177.25</v>
      </c>
    </row>
    <row r="27" spans="2:189">
      <c r="B27" s="1208">
        <v>42644</v>
      </c>
      <c r="C27" s="1412"/>
      <c r="D27" s="1412"/>
      <c r="E27" s="1412">
        <v>1119678</v>
      </c>
      <c r="F27" s="1412"/>
      <c r="G27" s="1412">
        <v>1119678</v>
      </c>
      <c r="H27" s="1412"/>
      <c r="I27" s="1412"/>
      <c r="J27" s="1412">
        <v>600000</v>
      </c>
      <c r="K27" s="1412">
        <v>600000</v>
      </c>
      <c r="L27" s="1412">
        <v>600000</v>
      </c>
      <c r="M27" s="1412"/>
      <c r="N27" s="1412">
        <v>0</v>
      </c>
      <c r="O27" s="1412"/>
      <c r="P27" s="1412"/>
      <c r="Q27" s="1412">
        <v>0</v>
      </c>
      <c r="R27" s="1412"/>
      <c r="S27" s="1412"/>
      <c r="T27" s="1412"/>
      <c r="U27" s="1412">
        <v>0</v>
      </c>
      <c r="V27" s="1412">
        <v>0</v>
      </c>
      <c r="W27" s="1412">
        <v>0</v>
      </c>
      <c r="X27" s="1412"/>
      <c r="Y27" s="1412"/>
      <c r="Z27" s="1412">
        <v>0</v>
      </c>
      <c r="AA27" s="1412"/>
      <c r="AB27" s="1412"/>
      <c r="AC27" s="1412">
        <v>0</v>
      </c>
      <c r="AD27" s="1412"/>
      <c r="AE27" s="1412"/>
      <c r="AF27" s="1412"/>
      <c r="AG27" s="1412">
        <v>0</v>
      </c>
      <c r="AH27" s="1412"/>
      <c r="AI27" s="1412"/>
      <c r="AJ27" s="1412"/>
      <c r="AK27" s="1412"/>
      <c r="AL27" s="1412">
        <v>0</v>
      </c>
      <c r="AM27" s="1412"/>
      <c r="AN27" s="1412"/>
      <c r="AO27" s="1412"/>
      <c r="AP27" s="1412"/>
      <c r="AQ27" s="1412">
        <v>54780</v>
      </c>
      <c r="AR27" s="1412">
        <v>54306</v>
      </c>
      <c r="AS27" s="1412">
        <v>474</v>
      </c>
      <c r="AT27" s="1412">
        <v>474</v>
      </c>
      <c r="AU27" s="1412"/>
      <c r="AV27" s="1412"/>
      <c r="AW27" s="1412"/>
      <c r="AX27" s="1412"/>
      <c r="AY27" s="1412">
        <v>191391.25</v>
      </c>
      <c r="AZ27" s="1412">
        <v>191391.25</v>
      </c>
      <c r="BA27" s="1412">
        <v>191391.25</v>
      </c>
      <c r="BB27" s="1412"/>
      <c r="BC27" s="1412"/>
      <c r="BD27" s="1412"/>
      <c r="BE27" s="1412">
        <v>0</v>
      </c>
      <c r="BF27" s="1412"/>
      <c r="BG27" s="1412"/>
      <c r="BH27" s="1412"/>
      <c r="BI27" s="1412"/>
      <c r="BJ27" s="1412"/>
      <c r="BK27" s="1412"/>
      <c r="BL27" s="1412">
        <v>0</v>
      </c>
      <c r="BM27" s="1412">
        <v>0</v>
      </c>
      <c r="BN27" s="1412"/>
      <c r="BO27" s="1412"/>
      <c r="BP27" s="1412"/>
      <c r="BQ27" s="1412"/>
      <c r="BR27" s="1412"/>
      <c r="BS27" s="1412"/>
      <c r="BT27" s="1412">
        <v>0</v>
      </c>
      <c r="BU27" s="1412">
        <v>0</v>
      </c>
      <c r="BV27" s="1412"/>
      <c r="BW27" s="1412"/>
      <c r="BX27" s="1412"/>
      <c r="BY27" s="1412"/>
      <c r="BZ27" s="1412">
        <v>0</v>
      </c>
      <c r="CA27" s="1412"/>
      <c r="CB27" s="1412"/>
      <c r="CC27" s="1412"/>
      <c r="CD27" s="1412"/>
      <c r="CE27" s="1412"/>
      <c r="CF27" s="1412"/>
      <c r="CG27" s="1412"/>
      <c r="CH27" s="1412"/>
      <c r="CI27" s="1412"/>
      <c r="CJ27" s="1412"/>
      <c r="CK27" s="1412"/>
      <c r="CL27" s="1412"/>
      <c r="CM27" s="1412"/>
      <c r="CN27" s="1412">
        <v>0</v>
      </c>
      <c r="CO27" s="1412">
        <v>0</v>
      </c>
      <c r="CP27" s="1412"/>
      <c r="CQ27" s="1412"/>
      <c r="CR27" s="1412"/>
      <c r="CS27" s="1412"/>
      <c r="CT27" s="1412"/>
      <c r="CU27" s="1412">
        <v>0</v>
      </c>
      <c r="CV27" s="1412"/>
      <c r="CW27" s="1412"/>
      <c r="CX27" s="1412"/>
      <c r="CY27" s="1412"/>
      <c r="CZ27" s="1412"/>
      <c r="DA27" s="1412"/>
      <c r="DB27" s="1412">
        <v>0</v>
      </c>
      <c r="DC27" s="1412"/>
      <c r="DD27" s="1412"/>
      <c r="DE27" s="1412"/>
      <c r="DF27" s="1412">
        <v>64534962</v>
      </c>
      <c r="DG27" s="1412">
        <v>0</v>
      </c>
      <c r="DH27" s="1412">
        <v>0</v>
      </c>
      <c r="DI27" s="1412"/>
      <c r="DJ27" s="1412"/>
      <c r="DK27" s="1412">
        <v>0</v>
      </c>
      <c r="DL27" s="1412"/>
      <c r="DM27" s="1412"/>
      <c r="DN27" s="1412">
        <v>0</v>
      </c>
      <c r="DO27" s="1412"/>
      <c r="DP27" s="1412"/>
      <c r="DQ27" s="1412">
        <v>64534962</v>
      </c>
      <c r="DR27" s="1412">
        <v>1994383</v>
      </c>
      <c r="DS27" s="1412">
        <v>62540579</v>
      </c>
      <c r="DT27" s="1412"/>
      <c r="DU27" s="1412"/>
      <c r="DV27" s="1412">
        <v>0</v>
      </c>
      <c r="DW27" s="1412"/>
      <c r="DX27" s="1412"/>
      <c r="DY27" s="1412"/>
      <c r="DZ27" s="1412">
        <v>0</v>
      </c>
      <c r="EA27" s="1412">
        <v>0</v>
      </c>
      <c r="EB27" s="1412"/>
      <c r="EC27" s="1412"/>
      <c r="ED27" s="1412">
        <v>0</v>
      </c>
      <c r="EE27" s="1412"/>
      <c r="EF27" s="1412"/>
      <c r="EG27" s="1412">
        <v>0</v>
      </c>
      <c r="EH27" s="1412"/>
      <c r="EI27" s="1412"/>
      <c r="EJ27" s="1412"/>
      <c r="EK27" s="1412">
        <v>0</v>
      </c>
      <c r="EL27" s="1412"/>
      <c r="EM27" s="1412">
        <v>0</v>
      </c>
      <c r="EN27" s="1412"/>
      <c r="EO27" s="1412"/>
      <c r="EP27" s="1412"/>
      <c r="EQ27" s="1412">
        <v>0</v>
      </c>
      <c r="ER27" s="1412"/>
      <c r="ES27" s="1412"/>
      <c r="ET27" s="1412"/>
      <c r="EU27" s="1412">
        <v>0</v>
      </c>
      <c r="EV27" s="1412"/>
      <c r="EW27" s="1412"/>
      <c r="EX27" s="1412"/>
      <c r="EY27" s="1412"/>
      <c r="EZ27" s="1412">
        <v>0</v>
      </c>
      <c r="FA27" s="1412"/>
      <c r="FB27" s="1412">
        <v>0</v>
      </c>
      <c r="FC27" s="1412"/>
      <c r="FD27" s="1412"/>
      <c r="FE27" s="1412"/>
      <c r="FF27" s="1412">
        <v>0</v>
      </c>
      <c r="FG27" s="1412"/>
      <c r="FH27" s="1412"/>
      <c r="FI27" s="1412"/>
      <c r="FJ27" s="1412">
        <v>0</v>
      </c>
      <c r="FK27" s="1412"/>
      <c r="FL27" s="1412"/>
      <c r="FM27" s="1412"/>
      <c r="FN27" s="1412"/>
      <c r="FO27" s="1412">
        <v>0</v>
      </c>
      <c r="FP27" s="1412"/>
      <c r="FQ27" s="1412"/>
      <c r="FR27" s="1412"/>
      <c r="FS27" s="1412"/>
      <c r="FT27" s="1412"/>
      <c r="FU27" s="1412"/>
      <c r="FV27" s="1412"/>
      <c r="FW27" s="1412">
        <v>19573009</v>
      </c>
      <c r="FX27" s="1412">
        <v>15954029</v>
      </c>
      <c r="FY27" s="1412">
        <v>3587888</v>
      </c>
      <c r="FZ27" s="1412">
        <v>31092</v>
      </c>
      <c r="GA27" s="1412"/>
      <c r="GB27" s="1412">
        <v>9433357</v>
      </c>
      <c r="GC27" s="1412"/>
      <c r="GD27" s="1412"/>
      <c r="GE27" s="1412"/>
      <c r="GF27" s="1412">
        <v>95507177.25</v>
      </c>
    </row>
    <row r="28" spans="2:189">
      <c r="B28" s="1208">
        <v>42675</v>
      </c>
      <c r="C28" s="1412"/>
      <c r="D28" s="1412"/>
      <c r="E28" s="1412">
        <v>1719678.39</v>
      </c>
      <c r="F28" s="1412"/>
      <c r="G28" s="1412">
        <v>1719678.39</v>
      </c>
      <c r="H28" s="1412"/>
      <c r="I28" s="1412"/>
      <c r="J28" s="1412">
        <v>652786.14</v>
      </c>
      <c r="K28" s="1412">
        <v>652786.14</v>
      </c>
      <c r="L28" s="1412">
        <v>652786.14</v>
      </c>
      <c r="M28" s="1412"/>
      <c r="N28" s="1412">
        <v>0</v>
      </c>
      <c r="O28" s="1412"/>
      <c r="P28" s="1412"/>
      <c r="Q28" s="1412">
        <v>0</v>
      </c>
      <c r="R28" s="1412"/>
      <c r="S28" s="1412"/>
      <c r="T28" s="1412"/>
      <c r="U28" s="1412">
        <v>0</v>
      </c>
      <c r="V28" s="1412">
        <v>0</v>
      </c>
      <c r="W28" s="1412">
        <v>0</v>
      </c>
      <c r="X28" s="1412"/>
      <c r="Y28" s="1412"/>
      <c r="Z28" s="1412">
        <v>0</v>
      </c>
      <c r="AA28" s="1412"/>
      <c r="AB28" s="1412"/>
      <c r="AC28" s="1412">
        <v>0</v>
      </c>
      <c r="AD28" s="1412"/>
      <c r="AE28" s="1412"/>
      <c r="AF28" s="1412"/>
      <c r="AG28" s="1412">
        <v>0</v>
      </c>
      <c r="AH28" s="1412"/>
      <c r="AI28" s="1412"/>
      <c r="AJ28" s="1412"/>
      <c r="AK28" s="1412"/>
      <c r="AL28" s="1412">
        <v>0</v>
      </c>
      <c r="AM28" s="1412"/>
      <c r="AN28" s="1412"/>
      <c r="AO28" s="1412"/>
      <c r="AP28" s="1412"/>
      <c r="AQ28" s="1412">
        <v>1994</v>
      </c>
      <c r="AR28" s="1412">
        <v>1520</v>
      </c>
      <c r="AS28" s="1412">
        <v>474</v>
      </c>
      <c r="AT28" s="1412">
        <v>474</v>
      </c>
      <c r="AU28" s="1412"/>
      <c r="AV28" s="1412"/>
      <c r="AW28" s="1412"/>
      <c r="AX28" s="1412"/>
      <c r="AY28" s="1412">
        <v>191391.25</v>
      </c>
      <c r="AZ28" s="1412">
        <v>191391.25</v>
      </c>
      <c r="BA28" s="1412">
        <v>191391.25</v>
      </c>
      <c r="BB28" s="1412"/>
      <c r="BC28" s="1412"/>
      <c r="BD28" s="1412"/>
      <c r="BE28" s="1412">
        <v>0</v>
      </c>
      <c r="BF28" s="1412"/>
      <c r="BG28" s="1412"/>
      <c r="BH28" s="1412"/>
      <c r="BI28" s="1412"/>
      <c r="BJ28" s="1412"/>
      <c r="BK28" s="1412"/>
      <c r="BL28" s="1412">
        <v>0</v>
      </c>
      <c r="BM28" s="1412">
        <v>0</v>
      </c>
      <c r="BN28" s="1412"/>
      <c r="BO28" s="1412"/>
      <c r="BP28" s="1412"/>
      <c r="BQ28" s="1412"/>
      <c r="BR28" s="1412"/>
      <c r="BS28" s="1412"/>
      <c r="BT28" s="1412">
        <v>0</v>
      </c>
      <c r="BU28" s="1412">
        <v>0</v>
      </c>
      <c r="BV28" s="1412"/>
      <c r="BW28" s="1412"/>
      <c r="BX28" s="1412"/>
      <c r="BY28" s="1412"/>
      <c r="BZ28" s="1412">
        <v>0</v>
      </c>
      <c r="CA28" s="1412"/>
      <c r="CB28" s="1412"/>
      <c r="CC28" s="1412"/>
      <c r="CD28" s="1412"/>
      <c r="CE28" s="1412"/>
      <c r="CF28" s="1412"/>
      <c r="CG28" s="1412"/>
      <c r="CH28" s="1412"/>
      <c r="CI28" s="1412"/>
      <c r="CJ28" s="1412"/>
      <c r="CK28" s="1412"/>
      <c r="CL28" s="1412"/>
      <c r="CM28" s="1412"/>
      <c r="CN28" s="1412">
        <v>0</v>
      </c>
      <c r="CO28" s="1412">
        <v>0</v>
      </c>
      <c r="CP28" s="1412"/>
      <c r="CQ28" s="1412"/>
      <c r="CR28" s="1412"/>
      <c r="CS28" s="1412"/>
      <c r="CT28" s="1412"/>
      <c r="CU28" s="1412">
        <v>0</v>
      </c>
      <c r="CV28" s="1412"/>
      <c r="CW28" s="1412"/>
      <c r="CX28" s="1412"/>
      <c r="CY28" s="1412"/>
      <c r="CZ28" s="1412"/>
      <c r="DA28" s="1412"/>
      <c r="DB28" s="1412">
        <v>0</v>
      </c>
      <c r="DC28" s="1412"/>
      <c r="DD28" s="1412"/>
      <c r="DE28" s="1412"/>
      <c r="DF28" s="1412">
        <v>63934961.590096213</v>
      </c>
      <c r="DG28" s="1412">
        <v>0</v>
      </c>
      <c r="DH28" s="1412">
        <v>0</v>
      </c>
      <c r="DI28" s="1412"/>
      <c r="DJ28" s="1412"/>
      <c r="DK28" s="1412">
        <v>0</v>
      </c>
      <c r="DL28" s="1412"/>
      <c r="DM28" s="1412"/>
      <c r="DN28" s="1412">
        <v>0</v>
      </c>
      <c r="DO28" s="1412"/>
      <c r="DP28" s="1412"/>
      <c r="DQ28" s="1412">
        <v>63934961.590096213</v>
      </c>
      <c r="DR28" s="1412">
        <v>1994382.5108225583</v>
      </c>
      <c r="DS28" s="1412">
        <v>61940579.079273656</v>
      </c>
      <c r="DT28" s="1412"/>
      <c r="DU28" s="1412"/>
      <c r="DV28" s="1412">
        <v>0</v>
      </c>
      <c r="DW28" s="1412"/>
      <c r="DX28" s="1412"/>
      <c r="DY28" s="1412"/>
      <c r="DZ28" s="1412">
        <v>0</v>
      </c>
      <c r="EA28" s="1412">
        <v>0</v>
      </c>
      <c r="EB28" s="1412"/>
      <c r="EC28" s="1412"/>
      <c r="ED28" s="1412">
        <v>0</v>
      </c>
      <c r="EE28" s="1412"/>
      <c r="EF28" s="1412"/>
      <c r="EG28" s="1412">
        <v>0</v>
      </c>
      <c r="EH28" s="1412"/>
      <c r="EI28" s="1412"/>
      <c r="EJ28" s="1412"/>
      <c r="EK28" s="1412">
        <v>0</v>
      </c>
      <c r="EL28" s="1412"/>
      <c r="EM28" s="1412">
        <v>0</v>
      </c>
      <c r="EN28" s="1412"/>
      <c r="EO28" s="1412"/>
      <c r="EP28" s="1412"/>
      <c r="EQ28" s="1412">
        <v>0</v>
      </c>
      <c r="ER28" s="1412"/>
      <c r="ES28" s="1412"/>
      <c r="ET28" s="1412"/>
      <c r="EU28" s="1412">
        <v>0</v>
      </c>
      <c r="EV28" s="1412"/>
      <c r="EW28" s="1412"/>
      <c r="EX28" s="1412"/>
      <c r="EY28" s="1412"/>
      <c r="EZ28" s="1412">
        <v>0</v>
      </c>
      <c r="FA28" s="1412"/>
      <c r="FB28" s="1412">
        <v>0</v>
      </c>
      <c r="FC28" s="1412"/>
      <c r="FD28" s="1412"/>
      <c r="FE28" s="1412"/>
      <c r="FF28" s="1412">
        <v>0</v>
      </c>
      <c r="FG28" s="1412"/>
      <c r="FH28" s="1412"/>
      <c r="FI28" s="1412"/>
      <c r="FJ28" s="1412">
        <v>0</v>
      </c>
      <c r="FK28" s="1412"/>
      <c r="FL28" s="1412"/>
      <c r="FM28" s="1412"/>
      <c r="FN28" s="1412"/>
      <c r="FO28" s="1412">
        <v>0</v>
      </c>
      <c r="FP28" s="1412"/>
      <c r="FQ28" s="1412"/>
      <c r="FR28" s="1412"/>
      <c r="FS28" s="1412"/>
      <c r="FT28" s="1412"/>
      <c r="FU28" s="1412"/>
      <c r="FV28" s="1412"/>
      <c r="FW28" s="1412">
        <v>19573008.679999989</v>
      </c>
      <c r="FX28" s="1412">
        <v>15954028.560000001</v>
      </c>
      <c r="FY28" s="1412">
        <v>3587888.0699999863</v>
      </c>
      <c r="FZ28" s="1412">
        <v>31092.049999999464</v>
      </c>
      <c r="GA28" s="1412"/>
      <c r="GB28" s="1412">
        <v>9505645.2414500006</v>
      </c>
      <c r="GC28" s="1412"/>
      <c r="GD28" s="1412"/>
      <c r="GE28" s="1412"/>
      <c r="GF28" s="1412">
        <v>95579465.291546196</v>
      </c>
    </row>
    <row r="29" spans="2:189">
      <c r="B29" s="1208">
        <v>42705</v>
      </c>
      <c r="C29" s="1412"/>
      <c r="D29" s="1412"/>
      <c r="E29" s="1412">
        <v>1591234.04</v>
      </c>
      <c r="F29" s="1412"/>
      <c r="G29" s="1412">
        <v>1591234.04</v>
      </c>
      <c r="H29" s="1412"/>
      <c r="I29" s="1412"/>
      <c r="J29" s="1412">
        <v>0</v>
      </c>
      <c r="K29" s="1412">
        <v>0</v>
      </c>
      <c r="L29" s="1412">
        <v>0</v>
      </c>
      <c r="M29" s="1412"/>
      <c r="N29" s="1412">
        <v>0</v>
      </c>
      <c r="O29" s="1412"/>
      <c r="P29" s="1412"/>
      <c r="Q29" s="1412">
        <v>0</v>
      </c>
      <c r="R29" s="1412"/>
      <c r="S29" s="1412"/>
      <c r="T29" s="1412"/>
      <c r="U29" s="1412">
        <v>0</v>
      </c>
      <c r="V29" s="1412">
        <v>0</v>
      </c>
      <c r="W29" s="1412">
        <v>0</v>
      </c>
      <c r="X29" s="1412"/>
      <c r="Y29" s="1412"/>
      <c r="Z29" s="1412">
        <v>0</v>
      </c>
      <c r="AA29" s="1412"/>
      <c r="AB29" s="1412"/>
      <c r="AC29" s="1412">
        <v>0</v>
      </c>
      <c r="AD29" s="1412"/>
      <c r="AE29" s="1412"/>
      <c r="AF29" s="1412"/>
      <c r="AG29" s="1412">
        <v>0</v>
      </c>
      <c r="AH29" s="1412"/>
      <c r="AI29" s="1412"/>
      <c r="AJ29" s="1412"/>
      <c r="AK29" s="1412"/>
      <c r="AL29" s="1412">
        <v>0</v>
      </c>
      <c r="AM29" s="1412"/>
      <c r="AN29" s="1412"/>
      <c r="AO29" s="1412"/>
      <c r="AP29" s="1412"/>
      <c r="AQ29" s="1412">
        <v>131972.23000000001</v>
      </c>
      <c r="AR29" s="1412">
        <v>110726.37000000001</v>
      </c>
      <c r="AS29" s="1412">
        <v>21245.859999999997</v>
      </c>
      <c r="AT29" s="1412">
        <v>21245.859999999997</v>
      </c>
      <c r="AU29" s="1412"/>
      <c r="AV29" s="1412"/>
      <c r="AW29" s="1412"/>
      <c r="AX29" s="1412"/>
      <c r="AY29" s="1412">
        <v>191391.25</v>
      </c>
      <c r="AZ29" s="1412">
        <v>191391.25</v>
      </c>
      <c r="BA29" s="1412">
        <v>191391.25</v>
      </c>
      <c r="BB29" s="1412"/>
      <c r="BC29" s="1412"/>
      <c r="BD29" s="1412"/>
      <c r="BE29" s="1412">
        <v>0</v>
      </c>
      <c r="BF29" s="1412"/>
      <c r="BG29" s="1412"/>
      <c r="BH29" s="1412"/>
      <c r="BI29" s="1412"/>
      <c r="BJ29" s="1412"/>
      <c r="BK29" s="1412"/>
      <c r="BL29" s="1412">
        <v>0</v>
      </c>
      <c r="BM29" s="1412">
        <v>0</v>
      </c>
      <c r="BN29" s="1412"/>
      <c r="BO29" s="1412"/>
      <c r="BP29" s="1412"/>
      <c r="BQ29" s="1412"/>
      <c r="BR29" s="1412"/>
      <c r="BS29" s="1412"/>
      <c r="BT29" s="1412">
        <v>0</v>
      </c>
      <c r="BU29" s="1412">
        <v>0</v>
      </c>
      <c r="BV29" s="1412"/>
      <c r="BW29" s="1412"/>
      <c r="BX29" s="1412"/>
      <c r="BY29" s="1412"/>
      <c r="BZ29" s="1412">
        <v>0</v>
      </c>
      <c r="CA29" s="1412"/>
      <c r="CB29" s="1412"/>
      <c r="CC29" s="1412"/>
      <c r="CD29" s="1412"/>
      <c r="CE29" s="1412"/>
      <c r="CF29" s="1412"/>
      <c r="CG29" s="1412"/>
      <c r="CH29" s="1412"/>
      <c r="CI29" s="1412"/>
      <c r="CJ29" s="1412"/>
      <c r="CK29" s="1412"/>
      <c r="CL29" s="1412"/>
      <c r="CM29" s="1412"/>
      <c r="CN29" s="1412">
        <v>0</v>
      </c>
      <c r="CO29" s="1412">
        <v>0</v>
      </c>
      <c r="CP29" s="1412"/>
      <c r="CQ29" s="1412"/>
      <c r="CR29" s="1412"/>
      <c r="CS29" s="1412"/>
      <c r="CT29" s="1412"/>
      <c r="CU29" s="1412">
        <v>0</v>
      </c>
      <c r="CV29" s="1412"/>
      <c r="CW29" s="1412"/>
      <c r="CX29" s="1412"/>
      <c r="CY29" s="1412"/>
      <c r="CZ29" s="1412"/>
      <c r="DA29" s="1412"/>
      <c r="DB29" s="1412">
        <v>0</v>
      </c>
      <c r="DC29" s="1412"/>
      <c r="DD29" s="1412"/>
      <c r="DE29" s="1412"/>
      <c r="DF29" s="1412">
        <v>59829207.695590526</v>
      </c>
      <c r="DG29" s="1412">
        <v>0</v>
      </c>
      <c r="DH29" s="1412">
        <v>0</v>
      </c>
      <c r="DI29" s="1412"/>
      <c r="DJ29" s="1412"/>
      <c r="DK29" s="1412">
        <v>0</v>
      </c>
      <c r="DL29" s="1412"/>
      <c r="DM29" s="1412"/>
      <c r="DN29" s="1412">
        <v>0</v>
      </c>
      <c r="DO29" s="1412"/>
      <c r="DP29" s="1412"/>
      <c r="DQ29" s="1412">
        <v>59829207.695590526</v>
      </c>
      <c r="DR29" s="1412">
        <v>1849386.3407058406</v>
      </c>
      <c r="DS29" s="1412">
        <v>57979821.354884684</v>
      </c>
      <c r="DT29" s="1412"/>
      <c r="DU29" s="1412"/>
      <c r="DV29" s="1412">
        <v>0</v>
      </c>
      <c r="DW29" s="1412"/>
      <c r="DX29" s="1412"/>
      <c r="DY29" s="1412"/>
      <c r="DZ29" s="1412">
        <v>0</v>
      </c>
      <c r="EA29" s="1412">
        <v>0</v>
      </c>
      <c r="EB29" s="1412"/>
      <c r="EC29" s="1412"/>
      <c r="ED29" s="1412">
        <v>0</v>
      </c>
      <c r="EE29" s="1412"/>
      <c r="EF29" s="1412"/>
      <c r="EG29" s="1412">
        <v>0</v>
      </c>
      <c r="EH29" s="1412"/>
      <c r="EI29" s="1412"/>
      <c r="EJ29" s="1412"/>
      <c r="EK29" s="1412">
        <v>0</v>
      </c>
      <c r="EL29" s="1412"/>
      <c r="EM29" s="1412">
        <v>0</v>
      </c>
      <c r="EN29" s="1412"/>
      <c r="EO29" s="1412"/>
      <c r="EP29" s="1412"/>
      <c r="EQ29" s="1412">
        <v>0</v>
      </c>
      <c r="ER29" s="1412"/>
      <c r="ES29" s="1412"/>
      <c r="ET29" s="1412"/>
      <c r="EU29" s="1412">
        <v>0</v>
      </c>
      <c r="EV29" s="1412"/>
      <c r="EW29" s="1412"/>
      <c r="EX29" s="1412"/>
      <c r="EY29" s="1412"/>
      <c r="EZ29" s="1412">
        <v>0</v>
      </c>
      <c r="FA29" s="1412"/>
      <c r="FB29" s="1412">
        <v>0</v>
      </c>
      <c r="FC29" s="1412"/>
      <c r="FD29" s="1412"/>
      <c r="FE29" s="1412"/>
      <c r="FF29" s="1412">
        <v>0</v>
      </c>
      <c r="FG29" s="1412"/>
      <c r="FH29" s="1412"/>
      <c r="FI29" s="1412"/>
      <c r="FJ29" s="1412">
        <v>0</v>
      </c>
      <c r="FK29" s="1412"/>
      <c r="FL29" s="1412"/>
      <c r="FM29" s="1412"/>
      <c r="FN29" s="1412"/>
      <c r="FO29" s="1412">
        <v>0</v>
      </c>
      <c r="FP29" s="1412"/>
      <c r="FQ29" s="1412"/>
      <c r="FR29" s="1412"/>
      <c r="FS29" s="1412"/>
      <c r="FT29" s="1412"/>
      <c r="FU29" s="1412"/>
      <c r="FV29" s="1412"/>
      <c r="FW29" s="1412">
        <v>20462059.299999997</v>
      </c>
      <c r="FX29" s="1412">
        <v>15693030.02</v>
      </c>
      <c r="FY29" s="1412">
        <v>4665291.0299999965</v>
      </c>
      <c r="FZ29" s="1412">
        <v>103738.24999999983</v>
      </c>
      <c r="GA29" s="1412"/>
      <c r="GB29" s="1412">
        <v>9358866.4334999993</v>
      </c>
      <c r="GC29" s="1412"/>
      <c r="GD29" s="1412"/>
      <c r="GE29" s="1412"/>
      <c r="GF29" s="1412">
        <v>91564730.949090511</v>
      </c>
    </row>
    <row r="30" spans="2:189">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U30" s="1413"/>
      <c r="AV30" s="1413"/>
      <c r="AW30" s="1413"/>
      <c r="AX30" s="1413"/>
      <c r="AY30" s="1413"/>
      <c r="AZ30" s="1413"/>
      <c r="BA30" s="1413"/>
      <c r="BB30" s="1413"/>
      <c r="BC30" s="1413"/>
      <c r="BD30" s="1413"/>
      <c r="BE30" s="1413"/>
      <c r="BF30" s="1413"/>
      <c r="BG30" s="1413"/>
      <c r="BH30" s="1413"/>
      <c r="BI30" s="1413"/>
      <c r="BJ30" s="1413"/>
      <c r="BK30" s="1413"/>
      <c r="BL30" s="1413"/>
      <c r="BM30" s="1413"/>
      <c r="BN30" s="1413"/>
      <c r="BO30" s="1413"/>
      <c r="BP30" s="1413"/>
      <c r="BQ30" s="1413"/>
      <c r="BR30" s="1413"/>
      <c r="BS30" s="1413"/>
      <c r="BT30" s="1413"/>
      <c r="BU30" s="1413"/>
      <c r="BV30" s="1413"/>
      <c r="BW30" s="1413"/>
      <c r="BX30" s="1413"/>
      <c r="BY30" s="1413"/>
      <c r="BZ30" s="1413"/>
      <c r="CA30" s="1413"/>
      <c r="CB30" s="1413"/>
      <c r="CC30" s="1413"/>
      <c r="CD30" s="1413"/>
      <c r="CE30" s="1413"/>
      <c r="CF30" s="1413"/>
      <c r="CG30" s="1413"/>
      <c r="CH30" s="1413"/>
      <c r="CI30" s="1413"/>
      <c r="CJ30" s="1413"/>
      <c r="CK30" s="1413"/>
      <c r="CL30" s="1413"/>
      <c r="CM30" s="1413"/>
      <c r="CN30" s="1413"/>
      <c r="CO30" s="1413"/>
      <c r="CP30" s="1413"/>
      <c r="CQ30" s="1413"/>
      <c r="CR30" s="1413"/>
      <c r="CS30" s="1413"/>
      <c r="CT30" s="1413"/>
      <c r="CU30" s="1413"/>
      <c r="CV30" s="1413"/>
      <c r="CW30" s="1413"/>
      <c r="CX30" s="1413"/>
      <c r="CY30" s="1413"/>
      <c r="CZ30" s="1413"/>
      <c r="DA30" s="1413"/>
      <c r="DB30" s="1413"/>
      <c r="DC30" s="1413"/>
      <c r="DD30" s="1413"/>
      <c r="DE30" s="1413"/>
      <c r="DF30" s="1413"/>
      <c r="DG30" s="1413"/>
      <c r="DH30" s="1413"/>
      <c r="DI30" s="1413"/>
      <c r="DJ30" s="1413"/>
      <c r="DK30" s="1413"/>
      <c r="DL30" s="1413"/>
      <c r="DM30" s="1413"/>
      <c r="DN30" s="1413"/>
      <c r="DO30" s="1413"/>
      <c r="DP30" s="1413"/>
      <c r="DQ30" s="1413"/>
      <c r="DR30" s="1413"/>
      <c r="DS30" s="1413"/>
      <c r="DT30" s="1413"/>
      <c r="DU30" s="1413"/>
      <c r="DV30" s="1413"/>
      <c r="DW30" s="1413"/>
      <c r="DX30" s="1413"/>
      <c r="DY30" s="1413"/>
      <c r="DZ30" s="1413"/>
      <c r="EA30" s="1413"/>
      <c r="EB30" s="1413"/>
      <c r="EC30" s="1413"/>
      <c r="ED30" s="1413"/>
      <c r="EE30" s="1413"/>
      <c r="EF30" s="1413"/>
      <c r="EG30" s="1413"/>
      <c r="EH30" s="1413"/>
      <c r="EI30" s="1413"/>
      <c r="EJ30" s="1413"/>
      <c r="EK30" s="1413"/>
      <c r="EL30" s="1413"/>
      <c r="EM30" s="1413"/>
      <c r="EN30" s="1413"/>
      <c r="EO30" s="1413"/>
      <c r="EP30" s="1413"/>
      <c r="EQ30" s="1413"/>
      <c r="ER30" s="1413"/>
      <c r="ES30" s="1413"/>
      <c r="ET30" s="1413"/>
      <c r="EU30" s="1413"/>
      <c r="EV30" s="1413"/>
      <c r="EW30" s="1413"/>
      <c r="EX30" s="1413"/>
      <c r="EY30" s="1413"/>
      <c r="EZ30" s="1413"/>
      <c r="FA30" s="1413"/>
      <c r="FB30" s="1413"/>
      <c r="FC30" s="1413"/>
      <c r="FD30" s="1413"/>
      <c r="FE30" s="1413"/>
      <c r="FF30" s="1413"/>
      <c r="FG30" s="1413"/>
      <c r="FH30" s="1413"/>
      <c r="FI30" s="1413"/>
      <c r="FJ30" s="1413"/>
      <c r="FK30" s="1413"/>
      <c r="FL30" s="1413"/>
      <c r="FM30" s="1413"/>
      <c r="FN30" s="1413"/>
      <c r="FO30" s="1413"/>
      <c r="FP30" s="1413"/>
      <c r="FQ30" s="1413"/>
      <c r="FR30" s="1413"/>
      <c r="FS30" s="1413"/>
      <c r="FT30" s="1413"/>
      <c r="FU30" s="1413"/>
      <c r="FV30" s="1413"/>
      <c r="FW30" s="1413"/>
      <c r="FX30" s="1413"/>
      <c r="FY30" s="1413"/>
      <c r="FZ30" s="1413"/>
      <c r="GA30" s="1413"/>
      <c r="GB30" s="1413"/>
      <c r="GC30" s="1413"/>
      <c r="GD30" s="1413"/>
      <c r="GE30" s="1413"/>
      <c r="GF30" s="1413"/>
    </row>
    <row r="31" spans="2:189">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1413"/>
      <c r="AV31" s="1413"/>
      <c r="AW31" s="1413"/>
      <c r="AX31" s="1413"/>
      <c r="AY31" s="1413"/>
      <c r="AZ31" s="1413"/>
      <c r="BA31" s="1413"/>
      <c r="BB31" s="1413"/>
      <c r="BC31" s="1413"/>
      <c r="BD31" s="1413"/>
      <c r="BE31" s="1413"/>
      <c r="BF31" s="1413"/>
      <c r="BG31" s="1413"/>
      <c r="BH31" s="1413"/>
      <c r="BI31" s="1413"/>
      <c r="BJ31" s="1413"/>
      <c r="BK31" s="1413"/>
      <c r="BL31" s="1413"/>
      <c r="BM31" s="1413"/>
      <c r="BN31" s="1413"/>
      <c r="BO31" s="1413"/>
      <c r="BP31" s="1413"/>
      <c r="BQ31" s="1413"/>
      <c r="BR31" s="1413"/>
      <c r="BS31" s="1413"/>
      <c r="BT31" s="1413"/>
      <c r="BU31" s="1413"/>
      <c r="BV31" s="1413"/>
      <c r="BW31" s="1413"/>
      <c r="BX31" s="1413"/>
      <c r="BY31" s="1413"/>
      <c r="BZ31" s="1413"/>
      <c r="CA31" s="1413"/>
      <c r="CB31" s="1413"/>
      <c r="CC31" s="1413"/>
      <c r="CD31" s="1413"/>
      <c r="CE31" s="1413"/>
      <c r="CF31" s="1413"/>
      <c r="CG31" s="1413"/>
      <c r="CH31" s="1413"/>
      <c r="CI31" s="1413"/>
      <c r="CJ31" s="1413"/>
      <c r="CK31" s="1413"/>
      <c r="CL31" s="1413"/>
      <c r="CM31" s="1413"/>
      <c r="CN31" s="1413"/>
      <c r="CO31" s="1413"/>
      <c r="CP31" s="1413"/>
      <c r="CQ31" s="1413"/>
      <c r="CR31" s="1413"/>
      <c r="CS31" s="1413"/>
      <c r="CT31" s="1413"/>
      <c r="CU31" s="1413"/>
      <c r="CV31" s="1413"/>
      <c r="CW31" s="1413"/>
      <c r="CX31" s="1413"/>
      <c r="CY31" s="1413"/>
      <c r="CZ31" s="1413"/>
      <c r="DA31" s="1413"/>
      <c r="DB31" s="1413"/>
      <c r="DC31" s="1413"/>
      <c r="DD31" s="1413"/>
      <c r="DE31" s="1413"/>
      <c r="DF31" s="1413"/>
      <c r="DG31" s="1413"/>
      <c r="DH31" s="1413"/>
      <c r="DI31" s="1413"/>
      <c r="DJ31" s="1413"/>
      <c r="DK31" s="1413"/>
      <c r="DL31" s="1413"/>
      <c r="DM31" s="1413"/>
      <c r="DN31" s="1413"/>
      <c r="DO31" s="1413"/>
      <c r="DP31" s="1413"/>
      <c r="DQ31" s="1413"/>
      <c r="DR31" s="1413"/>
      <c r="DS31" s="1413"/>
      <c r="DT31" s="1413"/>
      <c r="DU31" s="1413"/>
      <c r="DV31" s="1413"/>
      <c r="DW31" s="1413"/>
      <c r="DX31" s="1413"/>
      <c r="DY31" s="1413"/>
      <c r="DZ31" s="1413"/>
      <c r="EA31" s="1413"/>
      <c r="EB31" s="1413"/>
      <c r="EC31" s="1413"/>
      <c r="ED31" s="1413"/>
      <c r="EE31" s="1413"/>
      <c r="EF31" s="1413"/>
      <c r="EG31" s="1413"/>
      <c r="EH31" s="1413"/>
      <c r="EI31" s="1413"/>
      <c r="EJ31" s="1413"/>
      <c r="EK31" s="1413"/>
      <c r="EL31" s="1413"/>
      <c r="EM31" s="1413"/>
      <c r="EN31" s="1413"/>
      <c r="EO31" s="1413"/>
      <c r="EP31" s="1413"/>
      <c r="EQ31" s="1413"/>
      <c r="ER31" s="1413"/>
      <c r="ES31" s="1413"/>
      <c r="ET31" s="1413"/>
      <c r="EU31" s="1413"/>
      <c r="EV31" s="1413"/>
      <c r="EW31" s="1413"/>
      <c r="EX31" s="1413"/>
      <c r="EY31" s="1413"/>
      <c r="EZ31" s="1413"/>
      <c r="FA31" s="1413"/>
      <c r="FB31" s="1413"/>
      <c r="FC31" s="1413"/>
      <c r="FD31" s="1413"/>
      <c r="FE31" s="1413"/>
      <c r="FF31" s="1413"/>
      <c r="FG31" s="1413"/>
      <c r="FH31" s="1413"/>
      <c r="FI31" s="1413"/>
      <c r="FJ31" s="1413"/>
      <c r="FK31" s="1413"/>
      <c r="FL31" s="1413"/>
      <c r="FM31" s="1413"/>
      <c r="FN31" s="1413"/>
      <c r="FO31" s="1413"/>
      <c r="FP31" s="1413"/>
      <c r="FQ31" s="1413"/>
      <c r="FR31" s="1413"/>
      <c r="FS31" s="1413"/>
      <c r="FT31" s="1413"/>
      <c r="FU31" s="1413"/>
      <c r="FV31" s="1413"/>
      <c r="FW31" s="1413"/>
      <c r="FX31" s="1413"/>
      <c r="FY31" s="1413"/>
      <c r="FZ31" s="1413"/>
      <c r="GA31" s="1413"/>
      <c r="GB31" s="1413"/>
      <c r="GC31" s="1413"/>
      <c r="GD31" s="1413"/>
      <c r="GE31" s="1413"/>
      <c r="GF31" s="1413"/>
    </row>
    <row r="32" spans="2:189" s="3" customFormat="1" ht="15.6">
      <c r="B32" s="1208">
        <v>42736</v>
      </c>
      <c r="C32" s="1412"/>
      <c r="D32" s="1412"/>
      <c r="E32" s="1412">
        <v>2127928.73</v>
      </c>
      <c r="F32" s="1412"/>
      <c r="G32" s="1412">
        <v>2127928.73</v>
      </c>
      <c r="H32" s="1412"/>
      <c r="I32" s="1412"/>
      <c r="J32" s="1412">
        <v>53024</v>
      </c>
      <c r="K32" s="1412">
        <v>53024</v>
      </c>
      <c r="L32" s="1412">
        <v>53024</v>
      </c>
      <c r="M32" s="1412"/>
      <c r="N32" s="1412">
        <v>0</v>
      </c>
      <c r="O32" s="1412"/>
      <c r="P32" s="1412"/>
      <c r="Q32" s="1412">
        <v>0</v>
      </c>
      <c r="R32" s="1412"/>
      <c r="S32" s="1412"/>
      <c r="T32" s="1412"/>
      <c r="U32" s="1412">
        <v>0</v>
      </c>
      <c r="V32" s="1412">
        <v>0</v>
      </c>
      <c r="W32" s="1412">
        <v>0</v>
      </c>
      <c r="X32" s="1412"/>
      <c r="Y32" s="1412"/>
      <c r="Z32" s="1412">
        <v>0</v>
      </c>
      <c r="AA32" s="1412"/>
      <c r="AB32" s="1412"/>
      <c r="AC32" s="1412">
        <v>0</v>
      </c>
      <c r="AD32" s="1412"/>
      <c r="AE32" s="1412"/>
      <c r="AF32" s="1412"/>
      <c r="AG32" s="1412">
        <v>0</v>
      </c>
      <c r="AH32" s="1412"/>
      <c r="AI32" s="1412"/>
      <c r="AJ32" s="1412"/>
      <c r="AK32" s="1412"/>
      <c r="AL32" s="1412">
        <v>0</v>
      </c>
      <c r="AM32" s="1412"/>
      <c r="AN32" s="1412"/>
      <c r="AO32" s="1412"/>
      <c r="AP32" s="1412"/>
      <c r="AQ32" s="1412">
        <v>1756.3599999999922</v>
      </c>
      <c r="AR32" s="1412">
        <v>1282.1399999999921</v>
      </c>
      <c r="AS32" s="1412">
        <v>474.22</v>
      </c>
      <c r="AT32" s="1412">
        <v>474.22</v>
      </c>
      <c r="AU32" s="1412"/>
      <c r="AV32" s="1412"/>
      <c r="AW32" s="1412"/>
      <c r="AX32" s="1412"/>
      <c r="AY32" s="1412">
        <v>191391.25</v>
      </c>
      <c r="AZ32" s="1412">
        <v>191391.25</v>
      </c>
      <c r="BA32" s="1412">
        <v>191391.25</v>
      </c>
      <c r="BB32" s="1412"/>
      <c r="BC32" s="1412"/>
      <c r="BD32" s="1412"/>
      <c r="BE32" s="1412">
        <v>0</v>
      </c>
      <c r="BF32" s="1412"/>
      <c r="BG32" s="1412"/>
      <c r="BH32" s="1412"/>
      <c r="BI32" s="1412"/>
      <c r="BJ32" s="1412"/>
      <c r="BK32" s="1412"/>
      <c r="BL32" s="1412">
        <v>0</v>
      </c>
      <c r="BM32" s="1412">
        <v>0</v>
      </c>
      <c r="BN32" s="1412"/>
      <c r="BO32" s="1412"/>
      <c r="BP32" s="1412"/>
      <c r="BQ32" s="1412"/>
      <c r="BR32" s="1412"/>
      <c r="BS32" s="1412"/>
      <c r="BT32" s="1412">
        <v>0</v>
      </c>
      <c r="BU32" s="1412">
        <v>0</v>
      </c>
      <c r="BV32" s="1412"/>
      <c r="BW32" s="1412"/>
      <c r="BX32" s="1412"/>
      <c r="BY32" s="1412"/>
      <c r="BZ32" s="1412">
        <v>0</v>
      </c>
      <c r="CA32" s="1412"/>
      <c r="CB32" s="1412"/>
      <c r="CC32" s="1412"/>
      <c r="CD32" s="1412"/>
      <c r="CE32" s="1412"/>
      <c r="CF32" s="1412"/>
      <c r="CG32" s="1412"/>
      <c r="CH32" s="1412"/>
      <c r="CI32" s="1412"/>
      <c r="CJ32" s="1412"/>
      <c r="CK32" s="1412"/>
      <c r="CL32" s="1412"/>
      <c r="CM32" s="1412"/>
      <c r="CN32" s="1412">
        <v>0</v>
      </c>
      <c r="CO32" s="1412">
        <v>0</v>
      </c>
      <c r="CP32" s="1412"/>
      <c r="CQ32" s="1412"/>
      <c r="CR32" s="1412"/>
      <c r="CS32" s="1412"/>
      <c r="CT32" s="1412"/>
      <c r="CU32" s="1412">
        <v>0</v>
      </c>
      <c r="CV32" s="1412"/>
      <c r="CW32" s="1412"/>
      <c r="CX32" s="1412"/>
      <c r="CY32" s="1412"/>
      <c r="CZ32" s="1412"/>
      <c r="DA32" s="1412"/>
      <c r="DB32" s="1412">
        <v>0</v>
      </c>
      <c r="DC32" s="1412"/>
      <c r="DD32" s="1412"/>
      <c r="DE32" s="1412"/>
      <c r="DF32" s="1412">
        <v>64534961.590096213</v>
      </c>
      <c r="DG32" s="1412">
        <v>0</v>
      </c>
      <c r="DH32" s="1412">
        <v>0</v>
      </c>
      <c r="DI32" s="1412"/>
      <c r="DJ32" s="1412"/>
      <c r="DK32" s="1412">
        <v>0</v>
      </c>
      <c r="DL32" s="1412"/>
      <c r="DM32" s="1412"/>
      <c r="DN32" s="1412">
        <v>0</v>
      </c>
      <c r="DO32" s="1412"/>
      <c r="DP32" s="1412"/>
      <c r="DQ32" s="1412">
        <v>64534961.590096213</v>
      </c>
      <c r="DR32" s="1412">
        <v>1994382.5108225583</v>
      </c>
      <c r="DS32" s="1412">
        <v>62540579.079273656</v>
      </c>
      <c r="DT32" s="1412"/>
      <c r="DU32" s="1412"/>
      <c r="DV32" s="1412">
        <v>0</v>
      </c>
      <c r="DW32" s="1412"/>
      <c r="DX32" s="1412"/>
      <c r="DY32" s="1412"/>
      <c r="DZ32" s="1412">
        <v>0</v>
      </c>
      <c r="EA32" s="1412">
        <v>0</v>
      </c>
      <c r="EB32" s="1412"/>
      <c r="EC32" s="1412"/>
      <c r="ED32" s="1412">
        <v>0</v>
      </c>
      <c r="EE32" s="1412"/>
      <c r="EF32" s="1412"/>
      <c r="EG32" s="1412">
        <v>0</v>
      </c>
      <c r="EH32" s="1412"/>
      <c r="EI32" s="1412"/>
      <c r="EJ32" s="1412"/>
      <c r="EK32" s="1412">
        <v>0</v>
      </c>
      <c r="EL32" s="1412"/>
      <c r="EM32" s="1412">
        <v>0</v>
      </c>
      <c r="EN32" s="1412"/>
      <c r="EO32" s="1412"/>
      <c r="EP32" s="1412"/>
      <c r="EQ32" s="1412">
        <v>0</v>
      </c>
      <c r="ER32" s="1412"/>
      <c r="ES32" s="1412"/>
      <c r="ET32" s="1412"/>
      <c r="EU32" s="1412">
        <v>0</v>
      </c>
      <c r="EV32" s="1412"/>
      <c r="EW32" s="1412"/>
      <c r="EX32" s="1412"/>
      <c r="EY32" s="1412"/>
      <c r="EZ32" s="1412">
        <v>0</v>
      </c>
      <c r="FA32" s="1412"/>
      <c r="FB32" s="1412">
        <v>0</v>
      </c>
      <c r="FC32" s="1412"/>
      <c r="FD32" s="1412"/>
      <c r="FE32" s="1412"/>
      <c r="FF32" s="1412">
        <v>0</v>
      </c>
      <c r="FG32" s="1412"/>
      <c r="FH32" s="1412"/>
      <c r="FI32" s="1412"/>
      <c r="FJ32" s="1412">
        <v>0</v>
      </c>
      <c r="FK32" s="1412"/>
      <c r="FL32" s="1412"/>
      <c r="FM32" s="1412"/>
      <c r="FN32" s="1412"/>
      <c r="FO32" s="1412">
        <v>0</v>
      </c>
      <c r="FP32" s="1412"/>
      <c r="FQ32" s="1412"/>
      <c r="FR32" s="1412"/>
      <c r="FS32" s="1412"/>
      <c r="FT32" s="1412"/>
      <c r="FU32" s="1412"/>
      <c r="FV32" s="1412"/>
      <c r="FW32" s="1412">
        <v>19048502.119999971</v>
      </c>
      <c r="FX32" s="1412">
        <v>15896693.280000001</v>
      </c>
      <c r="FY32" s="1412">
        <v>3120716.7899999702</v>
      </c>
      <c r="FZ32" s="1412">
        <v>31092.049999999464</v>
      </c>
      <c r="GA32" s="1412"/>
      <c r="GB32" s="1412">
        <v>9881986.2414500006</v>
      </c>
      <c r="GC32" s="1412"/>
      <c r="GD32" s="1412"/>
      <c r="GE32" s="1412"/>
      <c r="GF32" s="1412">
        <v>95839550.291546181</v>
      </c>
      <c r="GG32" s="1200"/>
    </row>
    <row r="33" spans="2:189" s="3" customFormat="1" ht="15.6">
      <c r="B33" s="1208">
        <v>42767</v>
      </c>
      <c r="C33" s="1412"/>
      <c r="D33" s="1412"/>
      <c r="E33" s="1412">
        <v>2041234</v>
      </c>
      <c r="F33" s="1412"/>
      <c r="G33" s="1412">
        <v>2041234</v>
      </c>
      <c r="H33" s="1412"/>
      <c r="I33" s="1412"/>
      <c r="J33" s="1412">
        <v>53024</v>
      </c>
      <c r="K33" s="1412">
        <v>53024</v>
      </c>
      <c r="L33" s="1412">
        <v>53024</v>
      </c>
      <c r="M33" s="1412"/>
      <c r="N33" s="1412">
        <v>0</v>
      </c>
      <c r="O33" s="1412"/>
      <c r="P33" s="1412"/>
      <c r="Q33" s="1412">
        <v>0</v>
      </c>
      <c r="R33" s="1412"/>
      <c r="S33" s="1412"/>
      <c r="T33" s="1412"/>
      <c r="U33" s="1412">
        <v>0</v>
      </c>
      <c r="V33" s="1412">
        <v>0</v>
      </c>
      <c r="W33" s="1412">
        <v>0</v>
      </c>
      <c r="X33" s="1412"/>
      <c r="Y33" s="1412"/>
      <c r="Z33" s="1412">
        <v>0</v>
      </c>
      <c r="AA33" s="1412"/>
      <c r="AB33" s="1412"/>
      <c r="AC33" s="1412">
        <v>0</v>
      </c>
      <c r="AD33" s="1412"/>
      <c r="AE33" s="1412"/>
      <c r="AF33" s="1412"/>
      <c r="AG33" s="1412">
        <v>0</v>
      </c>
      <c r="AH33" s="1412"/>
      <c r="AI33" s="1412"/>
      <c r="AJ33" s="1412"/>
      <c r="AK33" s="1412"/>
      <c r="AL33" s="1412">
        <v>0</v>
      </c>
      <c r="AM33" s="1412"/>
      <c r="AN33" s="1412"/>
      <c r="AO33" s="1412"/>
      <c r="AP33" s="1412"/>
      <c r="AQ33" s="1412">
        <v>1756.3599999999922</v>
      </c>
      <c r="AR33" s="1412">
        <v>1282.1399999999921</v>
      </c>
      <c r="AS33" s="1412">
        <v>474.22</v>
      </c>
      <c r="AT33" s="1412">
        <v>474.22</v>
      </c>
      <c r="AU33" s="1412"/>
      <c r="AV33" s="1412"/>
      <c r="AW33" s="1412"/>
      <c r="AX33" s="1412"/>
      <c r="AY33" s="1412">
        <v>191391.25</v>
      </c>
      <c r="AZ33" s="1412">
        <v>191391.25</v>
      </c>
      <c r="BA33" s="1412">
        <v>191391.25</v>
      </c>
      <c r="BB33" s="1412"/>
      <c r="BC33" s="1412"/>
      <c r="BD33" s="1412"/>
      <c r="BE33" s="1412">
        <v>0</v>
      </c>
      <c r="BF33" s="1412"/>
      <c r="BG33" s="1412"/>
      <c r="BH33" s="1412"/>
      <c r="BI33" s="1412"/>
      <c r="BJ33" s="1412"/>
      <c r="BK33" s="1412"/>
      <c r="BL33" s="1412">
        <v>0</v>
      </c>
      <c r="BM33" s="1412">
        <v>0</v>
      </c>
      <c r="BN33" s="1412"/>
      <c r="BO33" s="1412"/>
      <c r="BP33" s="1412"/>
      <c r="BQ33" s="1412"/>
      <c r="BR33" s="1412"/>
      <c r="BS33" s="1412"/>
      <c r="BT33" s="1412">
        <v>0</v>
      </c>
      <c r="BU33" s="1412">
        <v>0</v>
      </c>
      <c r="BV33" s="1412"/>
      <c r="BW33" s="1412"/>
      <c r="BX33" s="1412"/>
      <c r="BY33" s="1412"/>
      <c r="BZ33" s="1412">
        <v>0</v>
      </c>
      <c r="CA33" s="1412"/>
      <c r="CB33" s="1412"/>
      <c r="CC33" s="1412"/>
      <c r="CD33" s="1412"/>
      <c r="CE33" s="1412"/>
      <c r="CF33" s="1412"/>
      <c r="CG33" s="1412"/>
      <c r="CH33" s="1412"/>
      <c r="CI33" s="1412"/>
      <c r="CJ33" s="1412"/>
      <c r="CK33" s="1412"/>
      <c r="CL33" s="1412"/>
      <c r="CM33" s="1412"/>
      <c r="CN33" s="1412">
        <v>0</v>
      </c>
      <c r="CO33" s="1412">
        <v>0</v>
      </c>
      <c r="CP33" s="1412"/>
      <c r="CQ33" s="1412"/>
      <c r="CR33" s="1412"/>
      <c r="CS33" s="1412"/>
      <c r="CT33" s="1412"/>
      <c r="CU33" s="1412">
        <v>0</v>
      </c>
      <c r="CV33" s="1412"/>
      <c r="CW33" s="1412"/>
      <c r="CX33" s="1412"/>
      <c r="CY33" s="1412"/>
      <c r="CZ33" s="1412"/>
      <c r="DA33" s="1412"/>
      <c r="DB33" s="1412">
        <v>0</v>
      </c>
      <c r="DC33" s="1412"/>
      <c r="DD33" s="1412"/>
      <c r="DE33" s="1412"/>
      <c r="DF33" s="1412">
        <v>64534961.590096213</v>
      </c>
      <c r="DG33" s="1412">
        <v>0</v>
      </c>
      <c r="DH33" s="1412">
        <v>0</v>
      </c>
      <c r="DI33" s="1412"/>
      <c r="DJ33" s="1412"/>
      <c r="DK33" s="1412">
        <v>0</v>
      </c>
      <c r="DL33" s="1412"/>
      <c r="DM33" s="1412"/>
      <c r="DN33" s="1412">
        <v>0</v>
      </c>
      <c r="DO33" s="1412"/>
      <c r="DP33" s="1412"/>
      <c r="DQ33" s="1412">
        <v>64534961.590096213</v>
      </c>
      <c r="DR33" s="1412">
        <v>1994382.5108225583</v>
      </c>
      <c r="DS33" s="1412">
        <v>62540579.079273656</v>
      </c>
      <c r="DT33" s="1412"/>
      <c r="DU33" s="1412"/>
      <c r="DV33" s="1412">
        <v>0</v>
      </c>
      <c r="DW33" s="1412"/>
      <c r="DX33" s="1412"/>
      <c r="DY33" s="1412"/>
      <c r="DZ33" s="1412">
        <v>0</v>
      </c>
      <c r="EA33" s="1412">
        <v>0</v>
      </c>
      <c r="EB33" s="1412"/>
      <c r="EC33" s="1412"/>
      <c r="ED33" s="1412">
        <v>0</v>
      </c>
      <c r="EE33" s="1412"/>
      <c r="EF33" s="1412"/>
      <c r="EG33" s="1412">
        <v>0</v>
      </c>
      <c r="EH33" s="1412"/>
      <c r="EI33" s="1412"/>
      <c r="EJ33" s="1412"/>
      <c r="EK33" s="1412">
        <v>0</v>
      </c>
      <c r="EL33" s="1412"/>
      <c r="EM33" s="1412">
        <v>0</v>
      </c>
      <c r="EN33" s="1412"/>
      <c r="EO33" s="1412"/>
      <c r="EP33" s="1412"/>
      <c r="EQ33" s="1412">
        <v>0</v>
      </c>
      <c r="ER33" s="1412"/>
      <c r="ES33" s="1412"/>
      <c r="ET33" s="1412"/>
      <c r="EU33" s="1412">
        <v>0</v>
      </c>
      <c r="EV33" s="1412"/>
      <c r="EW33" s="1412"/>
      <c r="EX33" s="1412"/>
      <c r="EY33" s="1412"/>
      <c r="EZ33" s="1412">
        <v>0</v>
      </c>
      <c r="FA33" s="1412"/>
      <c r="FB33" s="1412">
        <v>0</v>
      </c>
      <c r="FC33" s="1412"/>
      <c r="FD33" s="1412"/>
      <c r="FE33" s="1412"/>
      <c r="FF33" s="1412">
        <v>0</v>
      </c>
      <c r="FG33" s="1412"/>
      <c r="FH33" s="1412"/>
      <c r="FI33" s="1412"/>
      <c r="FJ33" s="1412">
        <v>0</v>
      </c>
      <c r="FK33" s="1412"/>
      <c r="FL33" s="1412"/>
      <c r="FM33" s="1412"/>
      <c r="FN33" s="1412"/>
      <c r="FO33" s="1412">
        <v>0</v>
      </c>
      <c r="FP33" s="1412"/>
      <c r="FQ33" s="1412"/>
      <c r="FR33" s="1412"/>
      <c r="FS33" s="1412"/>
      <c r="FT33" s="1412"/>
      <c r="FU33" s="1412"/>
      <c r="FV33" s="1412"/>
      <c r="FW33" s="1412">
        <v>19048502.119999971</v>
      </c>
      <c r="FX33" s="1412">
        <v>15896693.280000001</v>
      </c>
      <c r="FY33" s="1412">
        <v>3120716.7899999702</v>
      </c>
      <c r="FZ33" s="1412">
        <v>31092.049999999464</v>
      </c>
      <c r="GA33" s="1412"/>
      <c r="GB33" s="1412">
        <v>9881986.2414500006</v>
      </c>
      <c r="GC33" s="1412"/>
      <c r="GD33" s="1412"/>
      <c r="GE33" s="1412"/>
      <c r="GF33" s="1412">
        <v>95752855.561546177</v>
      </c>
      <c r="GG33" s="1200"/>
    </row>
    <row r="34" spans="2:189" s="3" customFormat="1" ht="15.6">
      <c r="B34" s="1208">
        <v>42795</v>
      </c>
      <c r="C34" s="1412"/>
      <c r="D34" s="1412"/>
      <c r="E34" s="1412">
        <v>1939929.73</v>
      </c>
      <c r="F34" s="1412"/>
      <c r="G34" s="1412">
        <v>1939929.73</v>
      </c>
      <c r="H34" s="1412"/>
      <c r="I34" s="1412"/>
      <c r="J34" s="1412">
        <v>53024</v>
      </c>
      <c r="K34" s="1412">
        <v>53024</v>
      </c>
      <c r="L34" s="1412">
        <v>53024</v>
      </c>
      <c r="M34" s="1412"/>
      <c r="N34" s="1412">
        <v>0</v>
      </c>
      <c r="O34" s="1412"/>
      <c r="P34" s="1412"/>
      <c r="Q34" s="1412">
        <v>0</v>
      </c>
      <c r="R34" s="1412"/>
      <c r="S34" s="1412"/>
      <c r="T34" s="1412"/>
      <c r="U34" s="1412">
        <v>0</v>
      </c>
      <c r="V34" s="1412">
        <v>0</v>
      </c>
      <c r="W34" s="1412">
        <v>0</v>
      </c>
      <c r="X34" s="1412"/>
      <c r="Y34" s="1412"/>
      <c r="Z34" s="1412">
        <v>0</v>
      </c>
      <c r="AA34" s="1412"/>
      <c r="AB34" s="1412"/>
      <c r="AC34" s="1412">
        <v>0</v>
      </c>
      <c r="AD34" s="1412"/>
      <c r="AE34" s="1412"/>
      <c r="AF34" s="1412"/>
      <c r="AG34" s="1412">
        <v>0</v>
      </c>
      <c r="AH34" s="1412"/>
      <c r="AI34" s="1412"/>
      <c r="AJ34" s="1412"/>
      <c r="AK34" s="1412"/>
      <c r="AL34" s="1412">
        <v>0</v>
      </c>
      <c r="AM34" s="1412"/>
      <c r="AN34" s="1412"/>
      <c r="AO34" s="1412"/>
      <c r="AP34" s="1412"/>
      <c r="AQ34" s="1412">
        <v>1756.3599999999922</v>
      </c>
      <c r="AR34" s="1412">
        <v>1282.1399999999921</v>
      </c>
      <c r="AS34" s="1412">
        <v>474.22</v>
      </c>
      <c r="AT34" s="1412">
        <v>474.22</v>
      </c>
      <c r="AU34" s="1412"/>
      <c r="AV34" s="1412"/>
      <c r="AW34" s="1412"/>
      <c r="AX34" s="1412"/>
      <c r="AY34" s="1412">
        <v>191391.25</v>
      </c>
      <c r="AZ34" s="1412">
        <v>191391.25</v>
      </c>
      <c r="BA34" s="1412">
        <v>191391.25</v>
      </c>
      <c r="BB34" s="1412"/>
      <c r="BC34" s="1412"/>
      <c r="BD34" s="1412"/>
      <c r="BE34" s="1412">
        <v>0</v>
      </c>
      <c r="BF34" s="1412"/>
      <c r="BG34" s="1412"/>
      <c r="BH34" s="1412"/>
      <c r="BI34" s="1412"/>
      <c r="BJ34" s="1412"/>
      <c r="BK34" s="1412"/>
      <c r="BL34" s="1412">
        <v>0</v>
      </c>
      <c r="BM34" s="1412">
        <v>0</v>
      </c>
      <c r="BN34" s="1412"/>
      <c r="BO34" s="1412"/>
      <c r="BP34" s="1412"/>
      <c r="BQ34" s="1412"/>
      <c r="BR34" s="1412"/>
      <c r="BS34" s="1412"/>
      <c r="BT34" s="1412">
        <v>0</v>
      </c>
      <c r="BU34" s="1412">
        <v>0</v>
      </c>
      <c r="BV34" s="1412"/>
      <c r="BW34" s="1412"/>
      <c r="BX34" s="1412"/>
      <c r="BY34" s="1412"/>
      <c r="BZ34" s="1412">
        <v>0</v>
      </c>
      <c r="CA34" s="1412"/>
      <c r="CB34" s="1412"/>
      <c r="CC34" s="1412"/>
      <c r="CD34" s="1412"/>
      <c r="CE34" s="1412"/>
      <c r="CF34" s="1412"/>
      <c r="CG34" s="1412"/>
      <c r="CH34" s="1412"/>
      <c r="CI34" s="1412"/>
      <c r="CJ34" s="1412"/>
      <c r="CK34" s="1412"/>
      <c r="CL34" s="1412"/>
      <c r="CM34" s="1412"/>
      <c r="CN34" s="1412">
        <v>0</v>
      </c>
      <c r="CO34" s="1412">
        <v>0</v>
      </c>
      <c r="CP34" s="1412"/>
      <c r="CQ34" s="1412"/>
      <c r="CR34" s="1412"/>
      <c r="CS34" s="1412"/>
      <c r="CT34" s="1412"/>
      <c r="CU34" s="1412">
        <v>0</v>
      </c>
      <c r="CV34" s="1412"/>
      <c r="CW34" s="1412"/>
      <c r="CX34" s="1412"/>
      <c r="CY34" s="1412"/>
      <c r="CZ34" s="1412"/>
      <c r="DA34" s="1412"/>
      <c r="DB34" s="1412">
        <v>0</v>
      </c>
      <c r="DC34" s="1412"/>
      <c r="DD34" s="1412"/>
      <c r="DE34" s="1412"/>
      <c r="DF34" s="1412">
        <v>64534961.590096213</v>
      </c>
      <c r="DG34" s="1412">
        <v>0</v>
      </c>
      <c r="DH34" s="1412">
        <v>0</v>
      </c>
      <c r="DI34" s="1412"/>
      <c r="DJ34" s="1412"/>
      <c r="DK34" s="1412">
        <v>0</v>
      </c>
      <c r="DL34" s="1412"/>
      <c r="DM34" s="1412"/>
      <c r="DN34" s="1412">
        <v>0</v>
      </c>
      <c r="DO34" s="1412"/>
      <c r="DP34" s="1412"/>
      <c r="DQ34" s="1412">
        <v>64534961.590096213</v>
      </c>
      <c r="DR34" s="1412">
        <v>1994382.5108225583</v>
      </c>
      <c r="DS34" s="1412">
        <v>62540579.079273656</v>
      </c>
      <c r="DT34" s="1412"/>
      <c r="DU34" s="1412"/>
      <c r="DV34" s="1412">
        <v>0</v>
      </c>
      <c r="DW34" s="1412"/>
      <c r="DX34" s="1412"/>
      <c r="DY34" s="1412"/>
      <c r="DZ34" s="1412">
        <v>0</v>
      </c>
      <c r="EA34" s="1412">
        <v>0</v>
      </c>
      <c r="EB34" s="1412"/>
      <c r="EC34" s="1412"/>
      <c r="ED34" s="1412">
        <v>0</v>
      </c>
      <c r="EE34" s="1412"/>
      <c r="EF34" s="1412"/>
      <c r="EG34" s="1412">
        <v>0</v>
      </c>
      <c r="EH34" s="1412"/>
      <c r="EI34" s="1412"/>
      <c r="EJ34" s="1412"/>
      <c r="EK34" s="1412">
        <v>0</v>
      </c>
      <c r="EL34" s="1412"/>
      <c r="EM34" s="1412">
        <v>0</v>
      </c>
      <c r="EN34" s="1412"/>
      <c r="EO34" s="1412"/>
      <c r="EP34" s="1412"/>
      <c r="EQ34" s="1412">
        <v>0</v>
      </c>
      <c r="ER34" s="1412"/>
      <c r="ES34" s="1412"/>
      <c r="ET34" s="1412"/>
      <c r="EU34" s="1412">
        <v>0</v>
      </c>
      <c r="EV34" s="1412"/>
      <c r="EW34" s="1412"/>
      <c r="EX34" s="1412"/>
      <c r="EY34" s="1412"/>
      <c r="EZ34" s="1412">
        <v>0</v>
      </c>
      <c r="FA34" s="1412"/>
      <c r="FB34" s="1412">
        <v>0</v>
      </c>
      <c r="FC34" s="1412"/>
      <c r="FD34" s="1412"/>
      <c r="FE34" s="1412"/>
      <c r="FF34" s="1412">
        <v>0</v>
      </c>
      <c r="FG34" s="1412"/>
      <c r="FH34" s="1412"/>
      <c r="FI34" s="1412"/>
      <c r="FJ34" s="1412">
        <v>0</v>
      </c>
      <c r="FK34" s="1412"/>
      <c r="FL34" s="1412"/>
      <c r="FM34" s="1412"/>
      <c r="FN34" s="1412"/>
      <c r="FO34" s="1412">
        <v>0</v>
      </c>
      <c r="FP34" s="1412"/>
      <c r="FQ34" s="1412"/>
      <c r="FR34" s="1412"/>
      <c r="FS34" s="1412"/>
      <c r="FT34" s="1412"/>
      <c r="FU34" s="1412"/>
      <c r="FV34" s="1412"/>
      <c r="FW34" s="1412">
        <v>19048502.119999971</v>
      </c>
      <c r="FX34" s="1412">
        <v>15896693.280000001</v>
      </c>
      <c r="FY34" s="1412">
        <v>3120716.7899999702</v>
      </c>
      <c r="FZ34" s="1412">
        <v>31092.049999999464</v>
      </c>
      <c r="GA34" s="1412"/>
      <c r="GB34" s="1412">
        <v>9997696.2414500006</v>
      </c>
      <c r="GC34" s="1412"/>
      <c r="GD34" s="1412"/>
      <c r="GE34" s="1412"/>
      <c r="GF34" s="1412">
        <v>95767261.291546181</v>
      </c>
      <c r="GG34" s="1200"/>
    </row>
    <row r="35" spans="2:189" s="3" customFormat="1" ht="15.6">
      <c r="B35" s="1208">
        <v>42826</v>
      </c>
      <c r="C35" s="1412"/>
      <c r="D35" s="1412"/>
      <c r="E35" s="1412">
        <v>1853235</v>
      </c>
      <c r="F35" s="1412"/>
      <c r="G35" s="1412">
        <v>1853235</v>
      </c>
      <c r="H35" s="1412"/>
      <c r="I35" s="1412"/>
      <c r="J35" s="1412">
        <v>53024</v>
      </c>
      <c r="K35" s="1412">
        <v>53024</v>
      </c>
      <c r="L35" s="1412">
        <v>53024</v>
      </c>
      <c r="M35" s="1412"/>
      <c r="N35" s="1412">
        <v>0</v>
      </c>
      <c r="O35" s="1412"/>
      <c r="P35" s="1412"/>
      <c r="Q35" s="1412">
        <v>0</v>
      </c>
      <c r="R35" s="1412"/>
      <c r="S35" s="1412"/>
      <c r="T35" s="1412"/>
      <c r="U35" s="1412">
        <v>0</v>
      </c>
      <c r="V35" s="1412">
        <v>0</v>
      </c>
      <c r="W35" s="1412">
        <v>0</v>
      </c>
      <c r="X35" s="1412"/>
      <c r="Y35" s="1412"/>
      <c r="Z35" s="1412">
        <v>0</v>
      </c>
      <c r="AA35" s="1412"/>
      <c r="AB35" s="1412"/>
      <c r="AC35" s="1412">
        <v>0</v>
      </c>
      <c r="AD35" s="1412"/>
      <c r="AE35" s="1412"/>
      <c r="AF35" s="1412"/>
      <c r="AG35" s="1412">
        <v>0</v>
      </c>
      <c r="AH35" s="1412"/>
      <c r="AI35" s="1412"/>
      <c r="AJ35" s="1412"/>
      <c r="AK35" s="1412"/>
      <c r="AL35" s="1412">
        <v>0</v>
      </c>
      <c r="AM35" s="1412"/>
      <c r="AN35" s="1412"/>
      <c r="AO35" s="1412"/>
      <c r="AP35" s="1412"/>
      <c r="AQ35" s="1412">
        <v>1756.3599999999922</v>
      </c>
      <c r="AR35" s="1412">
        <v>1282.1399999999921</v>
      </c>
      <c r="AS35" s="1412">
        <v>474.22</v>
      </c>
      <c r="AT35" s="1412">
        <v>474.22</v>
      </c>
      <c r="AU35" s="1412"/>
      <c r="AV35" s="1412"/>
      <c r="AW35" s="1412"/>
      <c r="AX35" s="1412"/>
      <c r="AY35" s="1412">
        <v>191391.25</v>
      </c>
      <c r="AZ35" s="1412">
        <v>191391.25</v>
      </c>
      <c r="BA35" s="1412">
        <v>191391.25</v>
      </c>
      <c r="BB35" s="1412"/>
      <c r="BC35" s="1412"/>
      <c r="BD35" s="1412"/>
      <c r="BE35" s="1412">
        <v>0</v>
      </c>
      <c r="BF35" s="1412"/>
      <c r="BG35" s="1412"/>
      <c r="BH35" s="1412"/>
      <c r="BI35" s="1412"/>
      <c r="BJ35" s="1412"/>
      <c r="BK35" s="1412"/>
      <c r="BL35" s="1412">
        <v>0</v>
      </c>
      <c r="BM35" s="1412">
        <v>0</v>
      </c>
      <c r="BN35" s="1412"/>
      <c r="BO35" s="1412"/>
      <c r="BP35" s="1412"/>
      <c r="BQ35" s="1412"/>
      <c r="BR35" s="1412"/>
      <c r="BS35" s="1412"/>
      <c r="BT35" s="1412">
        <v>0</v>
      </c>
      <c r="BU35" s="1412">
        <v>0</v>
      </c>
      <c r="BV35" s="1412"/>
      <c r="BW35" s="1412"/>
      <c r="BX35" s="1412"/>
      <c r="BY35" s="1412"/>
      <c r="BZ35" s="1412">
        <v>0</v>
      </c>
      <c r="CA35" s="1412"/>
      <c r="CB35" s="1412"/>
      <c r="CC35" s="1412"/>
      <c r="CD35" s="1412"/>
      <c r="CE35" s="1412"/>
      <c r="CF35" s="1412"/>
      <c r="CG35" s="1412"/>
      <c r="CH35" s="1412"/>
      <c r="CI35" s="1412"/>
      <c r="CJ35" s="1412"/>
      <c r="CK35" s="1412"/>
      <c r="CL35" s="1412"/>
      <c r="CM35" s="1412"/>
      <c r="CN35" s="1412">
        <v>0</v>
      </c>
      <c r="CO35" s="1412">
        <v>0</v>
      </c>
      <c r="CP35" s="1412"/>
      <c r="CQ35" s="1412"/>
      <c r="CR35" s="1412"/>
      <c r="CS35" s="1412"/>
      <c r="CT35" s="1412"/>
      <c r="CU35" s="1412">
        <v>0</v>
      </c>
      <c r="CV35" s="1412"/>
      <c r="CW35" s="1412"/>
      <c r="CX35" s="1412"/>
      <c r="CY35" s="1412"/>
      <c r="CZ35" s="1412"/>
      <c r="DA35" s="1412"/>
      <c r="DB35" s="1412">
        <v>0</v>
      </c>
      <c r="DC35" s="1412"/>
      <c r="DD35" s="1412"/>
      <c r="DE35" s="1412"/>
      <c r="DF35" s="1412">
        <v>64534961.590096213</v>
      </c>
      <c r="DG35" s="1412">
        <v>0</v>
      </c>
      <c r="DH35" s="1412">
        <v>0</v>
      </c>
      <c r="DI35" s="1412"/>
      <c r="DJ35" s="1412"/>
      <c r="DK35" s="1412">
        <v>0</v>
      </c>
      <c r="DL35" s="1412"/>
      <c r="DM35" s="1412"/>
      <c r="DN35" s="1412">
        <v>0</v>
      </c>
      <c r="DO35" s="1412"/>
      <c r="DP35" s="1412"/>
      <c r="DQ35" s="1412">
        <v>64534961.590096213</v>
      </c>
      <c r="DR35" s="1412">
        <v>1994382.5108225583</v>
      </c>
      <c r="DS35" s="1412">
        <v>62540579.079273656</v>
      </c>
      <c r="DT35" s="1412"/>
      <c r="DU35" s="1412"/>
      <c r="DV35" s="1412">
        <v>0</v>
      </c>
      <c r="DW35" s="1412"/>
      <c r="DX35" s="1412"/>
      <c r="DY35" s="1412"/>
      <c r="DZ35" s="1412">
        <v>0</v>
      </c>
      <c r="EA35" s="1412">
        <v>0</v>
      </c>
      <c r="EB35" s="1412"/>
      <c r="EC35" s="1412"/>
      <c r="ED35" s="1412">
        <v>0</v>
      </c>
      <c r="EE35" s="1412"/>
      <c r="EF35" s="1412"/>
      <c r="EG35" s="1412">
        <v>0</v>
      </c>
      <c r="EH35" s="1412"/>
      <c r="EI35" s="1412"/>
      <c r="EJ35" s="1412"/>
      <c r="EK35" s="1412">
        <v>0</v>
      </c>
      <c r="EL35" s="1412"/>
      <c r="EM35" s="1412">
        <v>0</v>
      </c>
      <c r="EN35" s="1412"/>
      <c r="EO35" s="1412"/>
      <c r="EP35" s="1412"/>
      <c r="EQ35" s="1412">
        <v>0</v>
      </c>
      <c r="ER35" s="1412"/>
      <c r="ES35" s="1412"/>
      <c r="ET35" s="1412"/>
      <c r="EU35" s="1412">
        <v>0</v>
      </c>
      <c r="EV35" s="1412"/>
      <c r="EW35" s="1412"/>
      <c r="EX35" s="1412"/>
      <c r="EY35" s="1412"/>
      <c r="EZ35" s="1412">
        <v>0</v>
      </c>
      <c r="FA35" s="1412"/>
      <c r="FB35" s="1412">
        <v>0</v>
      </c>
      <c r="FC35" s="1412"/>
      <c r="FD35" s="1412"/>
      <c r="FE35" s="1412"/>
      <c r="FF35" s="1412">
        <v>0</v>
      </c>
      <c r="FG35" s="1412"/>
      <c r="FH35" s="1412"/>
      <c r="FI35" s="1412"/>
      <c r="FJ35" s="1412">
        <v>0</v>
      </c>
      <c r="FK35" s="1412"/>
      <c r="FL35" s="1412"/>
      <c r="FM35" s="1412"/>
      <c r="FN35" s="1412"/>
      <c r="FO35" s="1412">
        <v>0</v>
      </c>
      <c r="FP35" s="1412"/>
      <c r="FQ35" s="1412"/>
      <c r="FR35" s="1412"/>
      <c r="FS35" s="1412"/>
      <c r="FT35" s="1412"/>
      <c r="FU35" s="1412"/>
      <c r="FV35" s="1412"/>
      <c r="FW35" s="1412">
        <v>19048502.119999971</v>
      </c>
      <c r="FX35" s="1412">
        <v>15896693.280000001</v>
      </c>
      <c r="FY35" s="1412">
        <v>3120716.7899999702</v>
      </c>
      <c r="FZ35" s="1412">
        <v>31092.049999999464</v>
      </c>
      <c r="GA35" s="1412"/>
      <c r="GB35" s="1412">
        <v>10171086</v>
      </c>
      <c r="GC35" s="1412"/>
      <c r="GD35" s="1412"/>
      <c r="GE35" s="1412"/>
      <c r="GF35" s="1412">
        <v>95853956.32009618</v>
      </c>
      <c r="GG35" s="1200"/>
    </row>
    <row r="36" spans="2:189" s="3" customFormat="1" ht="15.6">
      <c r="B36" s="1208">
        <v>42856</v>
      </c>
      <c r="C36" s="1412"/>
      <c r="D36" s="1412"/>
      <c r="E36" s="1412">
        <v>735188.73</v>
      </c>
      <c r="F36" s="1412"/>
      <c r="G36" s="1412">
        <v>735188.73</v>
      </c>
      <c r="H36" s="1412"/>
      <c r="I36" s="1412"/>
      <c r="J36" s="1412">
        <v>53024</v>
      </c>
      <c r="K36" s="1412">
        <v>53024</v>
      </c>
      <c r="L36" s="1412">
        <v>53024</v>
      </c>
      <c r="M36" s="1412"/>
      <c r="N36" s="1412">
        <v>0</v>
      </c>
      <c r="O36" s="1412"/>
      <c r="P36" s="1412"/>
      <c r="Q36" s="1412">
        <v>0</v>
      </c>
      <c r="R36" s="1412"/>
      <c r="S36" s="1412"/>
      <c r="T36" s="1412"/>
      <c r="U36" s="1412">
        <v>0</v>
      </c>
      <c r="V36" s="1412">
        <v>0</v>
      </c>
      <c r="W36" s="1412">
        <v>0</v>
      </c>
      <c r="X36" s="1412"/>
      <c r="Y36" s="1412"/>
      <c r="Z36" s="1412">
        <v>0</v>
      </c>
      <c r="AA36" s="1412"/>
      <c r="AB36" s="1412"/>
      <c r="AC36" s="1412">
        <v>0</v>
      </c>
      <c r="AD36" s="1412"/>
      <c r="AE36" s="1412"/>
      <c r="AF36" s="1412"/>
      <c r="AG36" s="1412">
        <v>0</v>
      </c>
      <c r="AH36" s="1412"/>
      <c r="AI36" s="1412"/>
      <c r="AJ36" s="1412"/>
      <c r="AK36" s="1412"/>
      <c r="AL36" s="1412">
        <v>0</v>
      </c>
      <c r="AM36" s="1412"/>
      <c r="AN36" s="1412"/>
      <c r="AO36" s="1412"/>
      <c r="AP36" s="1412"/>
      <c r="AQ36" s="1412">
        <v>1756.3599999999922</v>
      </c>
      <c r="AR36" s="1412">
        <v>1282.1399999999921</v>
      </c>
      <c r="AS36" s="1412">
        <v>474.22</v>
      </c>
      <c r="AT36" s="1412">
        <v>474.22</v>
      </c>
      <c r="AU36" s="1412"/>
      <c r="AV36" s="1412"/>
      <c r="AW36" s="1412"/>
      <c r="AX36" s="1412"/>
      <c r="AY36" s="1412">
        <v>6579757.9700000007</v>
      </c>
      <c r="AZ36" s="1412">
        <v>191391.25</v>
      </c>
      <c r="BA36" s="1412">
        <v>191391.25</v>
      </c>
      <c r="BB36" s="1412"/>
      <c r="BC36" s="1412"/>
      <c r="BD36" s="1412">
        <v>6388366.7200000007</v>
      </c>
      <c r="BE36" s="1412">
        <v>0</v>
      </c>
      <c r="BF36" s="1412"/>
      <c r="BG36" s="1412"/>
      <c r="BH36" s="1412"/>
      <c r="BI36" s="1412"/>
      <c r="BJ36" s="1412"/>
      <c r="BK36" s="1412"/>
      <c r="BL36" s="1412">
        <v>0</v>
      </c>
      <c r="BM36" s="1412">
        <v>0</v>
      </c>
      <c r="BN36" s="1412"/>
      <c r="BO36" s="1412"/>
      <c r="BP36" s="1412"/>
      <c r="BQ36" s="1412"/>
      <c r="BR36" s="1412"/>
      <c r="BS36" s="1412"/>
      <c r="BT36" s="1412">
        <v>0</v>
      </c>
      <c r="BU36" s="1412">
        <v>0</v>
      </c>
      <c r="BV36" s="1412"/>
      <c r="BW36" s="1412"/>
      <c r="BX36" s="1412"/>
      <c r="BY36" s="1412"/>
      <c r="BZ36" s="1412">
        <v>0</v>
      </c>
      <c r="CA36" s="1412"/>
      <c r="CB36" s="1412"/>
      <c r="CC36" s="1412"/>
      <c r="CD36" s="1412"/>
      <c r="CE36" s="1412"/>
      <c r="CF36" s="1412"/>
      <c r="CG36" s="1412"/>
      <c r="CH36" s="1412"/>
      <c r="CI36" s="1412"/>
      <c r="CJ36" s="1412"/>
      <c r="CK36" s="1412"/>
      <c r="CL36" s="1412"/>
      <c r="CM36" s="1412"/>
      <c r="CN36" s="1412">
        <v>0</v>
      </c>
      <c r="CO36" s="1412">
        <v>0</v>
      </c>
      <c r="CP36" s="1412"/>
      <c r="CQ36" s="1412"/>
      <c r="CR36" s="1412"/>
      <c r="CS36" s="1412"/>
      <c r="CT36" s="1412"/>
      <c r="CU36" s="1412">
        <v>0</v>
      </c>
      <c r="CV36" s="1412"/>
      <c r="CW36" s="1412"/>
      <c r="CX36" s="1412"/>
      <c r="CY36" s="1412"/>
      <c r="CZ36" s="1412"/>
      <c r="DA36" s="1412"/>
      <c r="DB36" s="1412">
        <v>0</v>
      </c>
      <c r="DC36" s="1412"/>
      <c r="DD36" s="1412"/>
      <c r="DE36" s="1412"/>
      <c r="DF36" s="1412">
        <v>60146594.870096207</v>
      </c>
      <c r="DG36" s="1412">
        <v>0</v>
      </c>
      <c r="DH36" s="1412">
        <v>0</v>
      </c>
      <c r="DI36" s="1412"/>
      <c r="DJ36" s="1412"/>
      <c r="DK36" s="1412">
        <v>0</v>
      </c>
      <c r="DL36" s="1412"/>
      <c r="DM36" s="1412"/>
      <c r="DN36" s="1412">
        <v>0</v>
      </c>
      <c r="DO36" s="1412"/>
      <c r="DP36" s="1412"/>
      <c r="DQ36" s="1412">
        <v>60146594.870096207</v>
      </c>
      <c r="DR36" s="1412">
        <v>1859165.8416698033</v>
      </c>
      <c r="DS36" s="1412">
        <v>58287429.028426401</v>
      </c>
      <c r="DT36" s="1412"/>
      <c r="DU36" s="1412"/>
      <c r="DV36" s="1412">
        <v>0</v>
      </c>
      <c r="DW36" s="1412"/>
      <c r="DX36" s="1412"/>
      <c r="DY36" s="1412"/>
      <c r="DZ36" s="1412">
        <v>0</v>
      </c>
      <c r="EA36" s="1412">
        <v>0</v>
      </c>
      <c r="EB36" s="1412"/>
      <c r="EC36" s="1412"/>
      <c r="ED36" s="1412">
        <v>0</v>
      </c>
      <c r="EE36" s="1412"/>
      <c r="EF36" s="1412"/>
      <c r="EG36" s="1412">
        <v>0</v>
      </c>
      <c r="EH36" s="1412"/>
      <c r="EI36" s="1412"/>
      <c r="EJ36" s="1412"/>
      <c r="EK36" s="1412">
        <v>0</v>
      </c>
      <c r="EL36" s="1412"/>
      <c r="EM36" s="1412">
        <v>0</v>
      </c>
      <c r="EN36" s="1412"/>
      <c r="EO36" s="1412"/>
      <c r="EP36" s="1412"/>
      <c r="EQ36" s="1412">
        <v>0</v>
      </c>
      <c r="ER36" s="1412"/>
      <c r="ES36" s="1412"/>
      <c r="ET36" s="1412"/>
      <c r="EU36" s="1412">
        <v>0</v>
      </c>
      <c r="EV36" s="1412"/>
      <c r="EW36" s="1412"/>
      <c r="EX36" s="1412"/>
      <c r="EY36" s="1412"/>
      <c r="EZ36" s="1412">
        <v>0</v>
      </c>
      <c r="FA36" s="1412"/>
      <c r="FB36" s="1412">
        <v>0</v>
      </c>
      <c r="FC36" s="1412"/>
      <c r="FD36" s="1412"/>
      <c r="FE36" s="1412"/>
      <c r="FF36" s="1412">
        <v>0</v>
      </c>
      <c r="FG36" s="1412"/>
      <c r="FH36" s="1412"/>
      <c r="FI36" s="1412"/>
      <c r="FJ36" s="1412">
        <v>0</v>
      </c>
      <c r="FK36" s="1412"/>
      <c r="FL36" s="1412"/>
      <c r="FM36" s="1412"/>
      <c r="FN36" s="1412"/>
      <c r="FO36" s="1412">
        <v>0</v>
      </c>
      <c r="FP36" s="1412"/>
      <c r="FQ36" s="1412"/>
      <c r="FR36" s="1412"/>
      <c r="FS36" s="1412"/>
      <c r="FT36" s="1412"/>
      <c r="FU36" s="1412"/>
      <c r="FV36" s="1412"/>
      <c r="FW36" s="1412">
        <v>18329743.615782265</v>
      </c>
      <c r="FX36" s="1412">
        <v>15896693.280000001</v>
      </c>
      <c r="FY36" s="1412">
        <v>2413727.5241506575</v>
      </c>
      <c r="FZ36" s="1412">
        <v>19322.811631605331</v>
      </c>
      <c r="GA36" s="1412"/>
      <c r="GB36" s="1412">
        <v>10171241.241450001</v>
      </c>
      <c r="GC36" s="1412"/>
      <c r="GD36" s="1412"/>
      <c r="GE36" s="1412"/>
      <c r="GF36" s="1412">
        <v>96017306.787328467</v>
      </c>
      <c r="GG36" s="1200"/>
    </row>
    <row r="37" spans="2:189" s="949" customFormat="1" ht="15.6">
      <c r="B37" s="1208">
        <v>42887</v>
      </c>
      <c r="C37" s="1412"/>
      <c r="D37" s="1412"/>
      <c r="E37" s="1412">
        <v>763439.73</v>
      </c>
      <c r="F37" s="1412"/>
      <c r="G37" s="1412">
        <v>763439.73</v>
      </c>
      <c r="H37" s="1412"/>
      <c r="I37" s="1412"/>
      <c r="J37" s="1412">
        <v>53024</v>
      </c>
      <c r="K37" s="1412">
        <v>53024</v>
      </c>
      <c r="L37" s="1412">
        <v>53024</v>
      </c>
      <c r="M37" s="1412"/>
      <c r="N37" s="1412">
        <v>0</v>
      </c>
      <c r="O37" s="1412"/>
      <c r="P37" s="1412"/>
      <c r="Q37" s="1412">
        <v>0</v>
      </c>
      <c r="R37" s="1412"/>
      <c r="S37" s="1412"/>
      <c r="T37" s="1412"/>
      <c r="U37" s="1412">
        <v>0</v>
      </c>
      <c r="V37" s="1412">
        <v>0</v>
      </c>
      <c r="W37" s="1412">
        <v>0</v>
      </c>
      <c r="X37" s="1412"/>
      <c r="Y37" s="1412"/>
      <c r="Z37" s="1412">
        <v>0</v>
      </c>
      <c r="AA37" s="1412"/>
      <c r="AB37" s="1412"/>
      <c r="AC37" s="1412">
        <v>0</v>
      </c>
      <c r="AD37" s="1412"/>
      <c r="AE37" s="1412"/>
      <c r="AF37" s="1412"/>
      <c r="AG37" s="1412">
        <v>0</v>
      </c>
      <c r="AH37" s="1412"/>
      <c r="AI37" s="1412"/>
      <c r="AJ37" s="1412"/>
      <c r="AK37" s="1412"/>
      <c r="AL37" s="1412">
        <v>0</v>
      </c>
      <c r="AM37" s="1412"/>
      <c r="AN37" s="1412"/>
      <c r="AO37" s="1412"/>
      <c r="AP37" s="1412"/>
      <c r="AQ37" s="1412">
        <v>1756.3599999999922</v>
      </c>
      <c r="AR37" s="1412">
        <v>1282.1399999999921</v>
      </c>
      <c r="AS37" s="1412">
        <v>474.22</v>
      </c>
      <c r="AT37" s="1412">
        <v>474.22</v>
      </c>
      <c r="AU37" s="1412"/>
      <c r="AV37" s="1412"/>
      <c r="AW37" s="1412"/>
      <c r="AX37" s="1412"/>
      <c r="AY37" s="1412">
        <v>6579757.9700000007</v>
      </c>
      <c r="AZ37" s="1412">
        <v>191391.25</v>
      </c>
      <c r="BA37" s="1412">
        <v>191391.25</v>
      </c>
      <c r="BB37" s="1412"/>
      <c r="BC37" s="1412"/>
      <c r="BD37" s="1412">
        <v>6388366.7200000007</v>
      </c>
      <c r="BE37" s="1412">
        <v>0</v>
      </c>
      <c r="BF37" s="1412"/>
      <c r="BG37" s="1412"/>
      <c r="BH37" s="1412"/>
      <c r="BI37" s="1412"/>
      <c r="BJ37" s="1412"/>
      <c r="BK37" s="1412"/>
      <c r="BL37" s="1412">
        <v>0</v>
      </c>
      <c r="BM37" s="1412">
        <v>0</v>
      </c>
      <c r="BN37" s="1412"/>
      <c r="BO37" s="1412"/>
      <c r="BP37" s="1412"/>
      <c r="BQ37" s="1412"/>
      <c r="BR37" s="1412"/>
      <c r="BS37" s="1412"/>
      <c r="BT37" s="1412">
        <v>0</v>
      </c>
      <c r="BU37" s="1412">
        <v>0</v>
      </c>
      <c r="BV37" s="1412"/>
      <c r="BW37" s="1412"/>
      <c r="BX37" s="1412"/>
      <c r="BY37" s="1412"/>
      <c r="BZ37" s="1412">
        <v>0</v>
      </c>
      <c r="CA37" s="1412"/>
      <c r="CB37" s="1412"/>
      <c r="CC37" s="1412"/>
      <c r="CD37" s="1412"/>
      <c r="CE37" s="1412"/>
      <c r="CF37" s="1412"/>
      <c r="CG37" s="1412"/>
      <c r="CH37" s="1412"/>
      <c r="CI37" s="1412"/>
      <c r="CJ37" s="1412"/>
      <c r="CK37" s="1412"/>
      <c r="CL37" s="1412"/>
      <c r="CM37" s="1412"/>
      <c r="CN37" s="1412">
        <v>0</v>
      </c>
      <c r="CO37" s="1412">
        <v>0</v>
      </c>
      <c r="CP37" s="1412"/>
      <c r="CQ37" s="1412"/>
      <c r="CR37" s="1412"/>
      <c r="CS37" s="1412"/>
      <c r="CT37" s="1412"/>
      <c r="CU37" s="1412">
        <v>0</v>
      </c>
      <c r="CV37" s="1412"/>
      <c r="CW37" s="1412"/>
      <c r="CX37" s="1412"/>
      <c r="CY37" s="1412"/>
      <c r="CZ37" s="1412"/>
      <c r="DA37" s="1412"/>
      <c r="DB37" s="1412">
        <v>0</v>
      </c>
      <c r="DC37" s="1412"/>
      <c r="DD37" s="1412"/>
      <c r="DE37" s="1412"/>
      <c r="DF37" s="1412">
        <v>60146594.870096207</v>
      </c>
      <c r="DG37" s="1412">
        <v>0</v>
      </c>
      <c r="DH37" s="1412">
        <v>0</v>
      </c>
      <c r="DI37" s="1412"/>
      <c r="DJ37" s="1412"/>
      <c r="DK37" s="1412">
        <v>0</v>
      </c>
      <c r="DL37" s="1412"/>
      <c r="DM37" s="1412"/>
      <c r="DN37" s="1412">
        <v>0</v>
      </c>
      <c r="DO37" s="1412"/>
      <c r="DP37" s="1412"/>
      <c r="DQ37" s="1412">
        <v>60146594.870096207</v>
      </c>
      <c r="DR37" s="1412">
        <v>1859165.8416698033</v>
      </c>
      <c r="DS37" s="1412">
        <v>58287429.028426401</v>
      </c>
      <c r="DT37" s="1412"/>
      <c r="DU37" s="1412"/>
      <c r="DV37" s="1412">
        <v>0</v>
      </c>
      <c r="DW37" s="1412"/>
      <c r="DX37" s="1412"/>
      <c r="DY37" s="1412"/>
      <c r="DZ37" s="1412">
        <v>0</v>
      </c>
      <c r="EA37" s="1412">
        <v>0</v>
      </c>
      <c r="EB37" s="1412"/>
      <c r="EC37" s="1412"/>
      <c r="ED37" s="1412">
        <v>0</v>
      </c>
      <c r="EE37" s="1412"/>
      <c r="EF37" s="1412"/>
      <c r="EG37" s="1412">
        <v>0</v>
      </c>
      <c r="EH37" s="1412"/>
      <c r="EI37" s="1412"/>
      <c r="EJ37" s="1412"/>
      <c r="EK37" s="1412">
        <v>0</v>
      </c>
      <c r="EL37" s="1412"/>
      <c r="EM37" s="1412">
        <v>0</v>
      </c>
      <c r="EN37" s="1412"/>
      <c r="EO37" s="1412"/>
      <c r="EP37" s="1412"/>
      <c r="EQ37" s="1412">
        <v>0</v>
      </c>
      <c r="ER37" s="1412"/>
      <c r="ES37" s="1412"/>
      <c r="ET37" s="1412"/>
      <c r="EU37" s="1412">
        <v>0</v>
      </c>
      <c r="EV37" s="1412"/>
      <c r="EW37" s="1412"/>
      <c r="EX37" s="1412"/>
      <c r="EY37" s="1412"/>
      <c r="EZ37" s="1412">
        <v>0</v>
      </c>
      <c r="FA37" s="1412"/>
      <c r="FB37" s="1412">
        <v>0</v>
      </c>
      <c r="FC37" s="1412"/>
      <c r="FD37" s="1412"/>
      <c r="FE37" s="1412"/>
      <c r="FF37" s="1412">
        <v>0</v>
      </c>
      <c r="FG37" s="1412"/>
      <c r="FH37" s="1412"/>
      <c r="FI37" s="1412"/>
      <c r="FJ37" s="1412">
        <v>0</v>
      </c>
      <c r="FK37" s="1412"/>
      <c r="FL37" s="1412"/>
      <c r="FM37" s="1412"/>
      <c r="FN37" s="1412"/>
      <c r="FO37" s="1412">
        <v>0</v>
      </c>
      <c r="FP37" s="1412"/>
      <c r="FQ37" s="1412"/>
      <c r="FR37" s="1412"/>
      <c r="FS37" s="1412"/>
      <c r="FT37" s="1412"/>
      <c r="FU37" s="1412"/>
      <c r="FV37" s="1412"/>
      <c r="FW37" s="1412">
        <v>18329743.615782265</v>
      </c>
      <c r="FX37" s="1412">
        <v>15896693.280000001</v>
      </c>
      <c r="FY37" s="1412">
        <v>2413727.5241506575</v>
      </c>
      <c r="FZ37" s="1412">
        <v>19322.811631605331</v>
      </c>
      <c r="GA37" s="1412"/>
      <c r="GB37" s="1412">
        <v>10171241.241450001</v>
      </c>
      <c r="GC37" s="1412"/>
      <c r="GD37" s="1412"/>
      <c r="GE37" s="1412"/>
      <c r="GF37" s="1412">
        <v>96045557.787328467</v>
      </c>
    </row>
    <row r="38" spans="2:189" s="949" customFormat="1" ht="15.6">
      <c r="B38" s="1208">
        <v>42917</v>
      </c>
      <c r="C38" s="1412"/>
      <c r="D38" s="1412"/>
      <c r="E38" s="1412">
        <v>763439.73</v>
      </c>
      <c r="F38" s="1412"/>
      <c r="G38" s="1412">
        <v>763439.73</v>
      </c>
      <c r="H38" s="1412"/>
      <c r="I38" s="1412"/>
      <c r="J38" s="1412">
        <v>53024</v>
      </c>
      <c r="K38" s="1412">
        <v>53024</v>
      </c>
      <c r="L38" s="1412">
        <v>53024</v>
      </c>
      <c r="M38" s="1412"/>
      <c r="N38" s="1412">
        <v>0</v>
      </c>
      <c r="O38" s="1412"/>
      <c r="P38" s="1412"/>
      <c r="Q38" s="1412">
        <v>0</v>
      </c>
      <c r="R38" s="1412"/>
      <c r="S38" s="1412"/>
      <c r="T38" s="1412"/>
      <c r="U38" s="1412">
        <v>0</v>
      </c>
      <c r="V38" s="1412">
        <v>0</v>
      </c>
      <c r="W38" s="1412">
        <v>0</v>
      </c>
      <c r="X38" s="1412"/>
      <c r="Y38" s="1412"/>
      <c r="Z38" s="1412">
        <v>0</v>
      </c>
      <c r="AA38" s="1412"/>
      <c r="AB38" s="1412"/>
      <c r="AC38" s="1412">
        <v>0</v>
      </c>
      <c r="AD38" s="1412"/>
      <c r="AE38" s="1412"/>
      <c r="AF38" s="1412"/>
      <c r="AG38" s="1412">
        <v>0</v>
      </c>
      <c r="AH38" s="1412"/>
      <c r="AI38" s="1412"/>
      <c r="AJ38" s="1412"/>
      <c r="AK38" s="1412"/>
      <c r="AL38" s="1412">
        <v>0</v>
      </c>
      <c r="AM38" s="1412"/>
      <c r="AN38" s="1412"/>
      <c r="AO38" s="1412"/>
      <c r="AP38" s="1412"/>
      <c r="AQ38" s="1412">
        <v>1756.3599999999922</v>
      </c>
      <c r="AR38" s="1412">
        <v>1282.1399999999921</v>
      </c>
      <c r="AS38" s="1412">
        <v>474.22</v>
      </c>
      <c r="AT38" s="1412">
        <v>474.22</v>
      </c>
      <c r="AU38" s="1412"/>
      <c r="AV38" s="1412"/>
      <c r="AW38" s="1412"/>
      <c r="AX38" s="1412"/>
      <c r="AY38" s="1412">
        <v>6579757.9700000007</v>
      </c>
      <c r="AZ38" s="1412">
        <v>191391.25</v>
      </c>
      <c r="BA38" s="1412">
        <v>191391.25</v>
      </c>
      <c r="BB38" s="1412"/>
      <c r="BC38" s="1412"/>
      <c r="BD38" s="1412">
        <v>6388366.7200000007</v>
      </c>
      <c r="BE38" s="1412">
        <v>0</v>
      </c>
      <c r="BF38" s="1412"/>
      <c r="BG38" s="1412"/>
      <c r="BH38" s="1412"/>
      <c r="BI38" s="1412"/>
      <c r="BJ38" s="1412"/>
      <c r="BK38" s="1412"/>
      <c r="BL38" s="1412">
        <v>0</v>
      </c>
      <c r="BM38" s="1412">
        <v>0</v>
      </c>
      <c r="BN38" s="1412"/>
      <c r="BO38" s="1412"/>
      <c r="BP38" s="1412"/>
      <c r="BQ38" s="1412"/>
      <c r="BR38" s="1412"/>
      <c r="BS38" s="1412"/>
      <c r="BT38" s="1412">
        <v>0</v>
      </c>
      <c r="BU38" s="1412">
        <v>0</v>
      </c>
      <c r="BV38" s="1412"/>
      <c r="BW38" s="1412"/>
      <c r="BX38" s="1412"/>
      <c r="BY38" s="1412"/>
      <c r="BZ38" s="1412">
        <v>0</v>
      </c>
      <c r="CA38" s="1412"/>
      <c r="CB38" s="1412"/>
      <c r="CC38" s="1412"/>
      <c r="CD38" s="1412"/>
      <c r="CE38" s="1412"/>
      <c r="CF38" s="1412"/>
      <c r="CG38" s="1412"/>
      <c r="CH38" s="1412"/>
      <c r="CI38" s="1412"/>
      <c r="CJ38" s="1412"/>
      <c r="CK38" s="1412"/>
      <c r="CL38" s="1412"/>
      <c r="CM38" s="1412"/>
      <c r="CN38" s="1412">
        <v>0</v>
      </c>
      <c r="CO38" s="1412">
        <v>0</v>
      </c>
      <c r="CP38" s="1412"/>
      <c r="CQ38" s="1412"/>
      <c r="CR38" s="1412"/>
      <c r="CS38" s="1412"/>
      <c r="CT38" s="1412"/>
      <c r="CU38" s="1412">
        <v>0</v>
      </c>
      <c r="CV38" s="1412"/>
      <c r="CW38" s="1412"/>
      <c r="CX38" s="1412"/>
      <c r="CY38" s="1412"/>
      <c r="CZ38" s="1412"/>
      <c r="DA38" s="1412"/>
      <c r="DB38" s="1412">
        <v>0</v>
      </c>
      <c r="DC38" s="1412"/>
      <c r="DD38" s="1412"/>
      <c r="DE38" s="1412"/>
      <c r="DF38" s="1412">
        <v>60146594.870096207</v>
      </c>
      <c r="DG38" s="1412">
        <v>0</v>
      </c>
      <c r="DH38" s="1412">
        <v>0</v>
      </c>
      <c r="DI38" s="1412"/>
      <c r="DJ38" s="1412"/>
      <c r="DK38" s="1412">
        <v>0</v>
      </c>
      <c r="DL38" s="1412"/>
      <c r="DM38" s="1412"/>
      <c r="DN38" s="1412">
        <v>0</v>
      </c>
      <c r="DO38" s="1412"/>
      <c r="DP38" s="1412"/>
      <c r="DQ38" s="1412">
        <v>60146594.870096207</v>
      </c>
      <c r="DR38" s="1412">
        <v>1859165.8416698033</v>
      </c>
      <c r="DS38" s="1412">
        <v>58287429.028426401</v>
      </c>
      <c r="DT38" s="1412"/>
      <c r="DU38" s="1412"/>
      <c r="DV38" s="1412">
        <v>0</v>
      </c>
      <c r="DW38" s="1412"/>
      <c r="DX38" s="1412"/>
      <c r="DY38" s="1412"/>
      <c r="DZ38" s="1412">
        <v>0</v>
      </c>
      <c r="EA38" s="1412">
        <v>0</v>
      </c>
      <c r="EB38" s="1412"/>
      <c r="EC38" s="1412"/>
      <c r="ED38" s="1412">
        <v>0</v>
      </c>
      <c r="EE38" s="1412"/>
      <c r="EF38" s="1412"/>
      <c r="EG38" s="1412">
        <v>0</v>
      </c>
      <c r="EH38" s="1412"/>
      <c r="EI38" s="1412"/>
      <c r="EJ38" s="1412"/>
      <c r="EK38" s="1412">
        <v>0</v>
      </c>
      <c r="EL38" s="1412"/>
      <c r="EM38" s="1412">
        <v>0</v>
      </c>
      <c r="EN38" s="1412"/>
      <c r="EO38" s="1412"/>
      <c r="EP38" s="1412"/>
      <c r="EQ38" s="1412">
        <v>0</v>
      </c>
      <c r="ER38" s="1412"/>
      <c r="ES38" s="1412"/>
      <c r="ET38" s="1412"/>
      <c r="EU38" s="1412">
        <v>0</v>
      </c>
      <c r="EV38" s="1412"/>
      <c r="EW38" s="1412"/>
      <c r="EX38" s="1412"/>
      <c r="EY38" s="1412"/>
      <c r="EZ38" s="1412">
        <v>0</v>
      </c>
      <c r="FA38" s="1412"/>
      <c r="FB38" s="1412">
        <v>0</v>
      </c>
      <c r="FC38" s="1412"/>
      <c r="FD38" s="1412"/>
      <c r="FE38" s="1412"/>
      <c r="FF38" s="1412">
        <v>0</v>
      </c>
      <c r="FG38" s="1412"/>
      <c r="FH38" s="1412"/>
      <c r="FI38" s="1412"/>
      <c r="FJ38" s="1412">
        <v>0</v>
      </c>
      <c r="FK38" s="1412"/>
      <c r="FL38" s="1412"/>
      <c r="FM38" s="1412"/>
      <c r="FN38" s="1412"/>
      <c r="FO38" s="1412">
        <v>0</v>
      </c>
      <c r="FP38" s="1412"/>
      <c r="FQ38" s="1412"/>
      <c r="FR38" s="1412"/>
      <c r="FS38" s="1412"/>
      <c r="FT38" s="1412"/>
      <c r="FU38" s="1412"/>
      <c r="FV38" s="1412"/>
      <c r="FW38" s="1412">
        <v>18329743.615782265</v>
      </c>
      <c r="FX38" s="1412">
        <v>15896693.280000001</v>
      </c>
      <c r="FY38" s="1412">
        <v>2413727.5241506575</v>
      </c>
      <c r="FZ38" s="1412">
        <v>19322.811631605331</v>
      </c>
      <c r="GA38" s="1412"/>
      <c r="GB38" s="1412">
        <v>10171241.241450001</v>
      </c>
      <c r="GC38" s="1412"/>
      <c r="GD38" s="1412"/>
      <c r="GE38" s="1412"/>
      <c r="GF38" s="1412">
        <v>96045557.787328467</v>
      </c>
    </row>
    <row r="39" spans="2:189">
      <c r="B39" s="1208">
        <v>42948</v>
      </c>
      <c r="C39" s="1412"/>
      <c r="D39" s="1412"/>
      <c r="E39" s="1412">
        <v>644879.73</v>
      </c>
      <c r="F39" s="1412"/>
      <c r="G39" s="1412">
        <v>644879.73</v>
      </c>
      <c r="H39" s="1412"/>
      <c r="I39" s="1412"/>
      <c r="J39" s="1412">
        <v>53024</v>
      </c>
      <c r="K39" s="1412">
        <v>53024</v>
      </c>
      <c r="L39" s="1412">
        <v>53024</v>
      </c>
      <c r="M39" s="1412"/>
      <c r="N39" s="1412">
        <v>0</v>
      </c>
      <c r="O39" s="1412"/>
      <c r="P39" s="1412"/>
      <c r="Q39" s="1412">
        <v>0</v>
      </c>
      <c r="R39" s="1412"/>
      <c r="S39" s="1412"/>
      <c r="T39" s="1412"/>
      <c r="U39" s="1412">
        <v>0</v>
      </c>
      <c r="V39" s="1412">
        <v>0</v>
      </c>
      <c r="W39" s="1412">
        <v>0</v>
      </c>
      <c r="X39" s="1412"/>
      <c r="Y39" s="1412"/>
      <c r="Z39" s="1412">
        <v>0</v>
      </c>
      <c r="AA39" s="1412"/>
      <c r="AB39" s="1412"/>
      <c r="AC39" s="1412">
        <v>0</v>
      </c>
      <c r="AD39" s="1412"/>
      <c r="AE39" s="1412"/>
      <c r="AF39" s="1412"/>
      <c r="AG39" s="1412">
        <v>0</v>
      </c>
      <c r="AH39" s="1412"/>
      <c r="AI39" s="1412"/>
      <c r="AJ39" s="1412"/>
      <c r="AK39" s="1412"/>
      <c r="AL39" s="1412">
        <v>0</v>
      </c>
      <c r="AM39" s="1412"/>
      <c r="AN39" s="1412"/>
      <c r="AO39" s="1412"/>
      <c r="AP39" s="1412"/>
      <c r="AQ39" s="1412">
        <v>1756.3599999999922</v>
      </c>
      <c r="AR39" s="1412">
        <v>1282.1399999999921</v>
      </c>
      <c r="AS39" s="1412">
        <v>474.22</v>
      </c>
      <c r="AT39" s="1412">
        <v>474.22</v>
      </c>
      <c r="AU39" s="1412"/>
      <c r="AV39" s="1412"/>
      <c r="AW39" s="1412"/>
      <c r="AX39" s="1412"/>
      <c r="AY39" s="1412">
        <v>6579757.9699999997</v>
      </c>
      <c r="AZ39" s="1412">
        <v>0</v>
      </c>
      <c r="BA39" s="1412">
        <v>0</v>
      </c>
      <c r="BB39" s="1412"/>
      <c r="BC39" s="1412">
        <v>191391.25</v>
      </c>
      <c r="BD39" s="1412">
        <v>6388366.7199999997</v>
      </c>
      <c r="BE39" s="1412">
        <v>0</v>
      </c>
      <c r="BF39" s="1412"/>
      <c r="BG39" s="1412"/>
      <c r="BH39" s="1412"/>
      <c r="BI39" s="1412"/>
      <c r="BJ39" s="1412"/>
      <c r="BK39" s="1412"/>
      <c r="BL39" s="1412">
        <v>0</v>
      </c>
      <c r="BM39" s="1412">
        <v>0</v>
      </c>
      <c r="BN39" s="1412"/>
      <c r="BO39" s="1412"/>
      <c r="BP39" s="1412"/>
      <c r="BQ39" s="1412"/>
      <c r="BR39" s="1412"/>
      <c r="BS39" s="1412"/>
      <c r="BT39" s="1412">
        <v>0</v>
      </c>
      <c r="BU39" s="1412">
        <v>0</v>
      </c>
      <c r="BV39" s="1412"/>
      <c r="BW39" s="1412"/>
      <c r="BX39" s="1412"/>
      <c r="BY39" s="1412"/>
      <c r="BZ39" s="1412">
        <v>0</v>
      </c>
      <c r="CA39" s="1412"/>
      <c r="CB39" s="1412"/>
      <c r="CC39" s="1412"/>
      <c r="CD39" s="1412"/>
      <c r="CE39" s="1412"/>
      <c r="CF39" s="1412"/>
      <c r="CG39" s="1412"/>
      <c r="CH39" s="1412"/>
      <c r="CI39" s="1412"/>
      <c r="CJ39" s="1412"/>
      <c r="CK39" s="1412"/>
      <c r="CL39" s="1412"/>
      <c r="CM39" s="1412"/>
      <c r="CN39" s="1412">
        <v>0</v>
      </c>
      <c r="CO39" s="1412">
        <v>0</v>
      </c>
      <c r="CP39" s="1412"/>
      <c r="CQ39" s="1412"/>
      <c r="CR39" s="1412"/>
      <c r="CS39" s="1412"/>
      <c r="CT39" s="1412"/>
      <c r="CU39" s="1412">
        <v>0</v>
      </c>
      <c r="CV39" s="1412"/>
      <c r="CW39" s="1412"/>
      <c r="CX39" s="1412"/>
      <c r="CY39" s="1412"/>
      <c r="CZ39" s="1412"/>
      <c r="DA39" s="1412"/>
      <c r="DB39" s="1412">
        <v>0</v>
      </c>
      <c r="DC39" s="1412"/>
      <c r="DD39" s="1412"/>
      <c r="DE39" s="1412"/>
      <c r="DF39" s="1412">
        <v>60146594.870096207</v>
      </c>
      <c r="DG39" s="1412">
        <v>0</v>
      </c>
      <c r="DH39" s="1412">
        <v>0</v>
      </c>
      <c r="DI39" s="1412"/>
      <c r="DJ39" s="1412"/>
      <c r="DK39" s="1412">
        <v>0</v>
      </c>
      <c r="DL39" s="1412"/>
      <c r="DM39" s="1412"/>
      <c r="DN39" s="1412">
        <v>0</v>
      </c>
      <c r="DO39" s="1412"/>
      <c r="DP39" s="1412"/>
      <c r="DQ39" s="1412">
        <v>60146594.870096207</v>
      </c>
      <c r="DR39" s="1412">
        <v>1859165.8416698033</v>
      </c>
      <c r="DS39" s="1412">
        <v>58287429.028426401</v>
      </c>
      <c r="DT39" s="1412"/>
      <c r="DU39" s="1412"/>
      <c r="DV39" s="1412">
        <v>0</v>
      </c>
      <c r="DW39" s="1412"/>
      <c r="DX39" s="1412"/>
      <c r="DY39" s="1412"/>
      <c r="DZ39" s="1412">
        <v>0</v>
      </c>
      <c r="EA39" s="1412">
        <v>0</v>
      </c>
      <c r="EB39" s="1412"/>
      <c r="EC39" s="1412"/>
      <c r="ED39" s="1412">
        <v>0</v>
      </c>
      <c r="EE39" s="1412"/>
      <c r="EF39" s="1412"/>
      <c r="EG39" s="1412">
        <v>0</v>
      </c>
      <c r="EH39" s="1412"/>
      <c r="EI39" s="1412"/>
      <c r="EJ39" s="1412"/>
      <c r="EK39" s="1412">
        <v>0</v>
      </c>
      <c r="EL39" s="1412"/>
      <c r="EM39" s="1412">
        <v>0</v>
      </c>
      <c r="EN39" s="1412"/>
      <c r="EO39" s="1412"/>
      <c r="EP39" s="1412"/>
      <c r="EQ39" s="1412">
        <v>0</v>
      </c>
      <c r="ER39" s="1412"/>
      <c r="ES39" s="1412"/>
      <c r="ET39" s="1412"/>
      <c r="EU39" s="1412">
        <v>0</v>
      </c>
      <c r="EV39" s="1412"/>
      <c r="EW39" s="1412"/>
      <c r="EX39" s="1412"/>
      <c r="EY39" s="1412"/>
      <c r="EZ39" s="1412">
        <v>0</v>
      </c>
      <c r="FA39" s="1412"/>
      <c r="FB39" s="1412">
        <v>0</v>
      </c>
      <c r="FC39" s="1412"/>
      <c r="FD39" s="1412"/>
      <c r="FE39" s="1412"/>
      <c r="FF39" s="1412">
        <v>0</v>
      </c>
      <c r="FG39" s="1412"/>
      <c r="FH39" s="1412"/>
      <c r="FI39" s="1412"/>
      <c r="FJ39" s="1412">
        <v>0</v>
      </c>
      <c r="FK39" s="1412"/>
      <c r="FL39" s="1412"/>
      <c r="FM39" s="1412"/>
      <c r="FN39" s="1412"/>
      <c r="FO39" s="1412">
        <v>0</v>
      </c>
      <c r="FP39" s="1412"/>
      <c r="FQ39" s="1412"/>
      <c r="FR39" s="1412"/>
      <c r="FS39" s="1412"/>
      <c r="FT39" s="1412"/>
      <c r="FU39" s="1412"/>
      <c r="FV39" s="1412"/>
      <c r="FW39" s="1412">
        <v>18329743.615782265</v>
      </c>
      <c r="FX39" s="1412">
        <v>15896693.280000001</v>
      </c>
      <c r="FY39" s="1412">
        <v>2413727.5241506575</v>
      </c>
      <c r="FZ39" s="1412">
        <v>19322.811631605331</v>
      </c>
      <c r="GA39" s="1412"/>
      <c r="GB39" s="1412">
        <v>10302057.241450001</v>
      </c>
      <c r="GC39" s="1412"/>
      <c r="GD39" s="1412"/>
      <c r="GE39" s="1412"/>
      <c r="GF39" s="1412">
        <v>96057813.787328467</v>
      </c>
    </row>
    <row r="40" spans="2:189">
      <c r="B40" s="1208">
        <v>42979</v>
      </c>
      <c r="C40" s="1413"/>
      <c r="D40" s="1413"/>
      <c r="E40" s="1413">
        <v>2518466.2000000002</v>
      </c>
      <c r="F40" s="1413"/>
      <c r="G40" s="1413">
        <v>2518466.2000000002</v>
      </c>
      <c r="H40" s="1413"/>
      <c r="I40" s="1413"/>
      <c r="J40" s="1413">
        <v>53024</v>
      </c>
      <c r="K40" s="1413">
        <v>53024</v>
      </c>
      <c r="L40" s="1413">
        <v>53024</v>
      </c>
      <c r="M40" s="1413"/>
      <c r="N40" s="1413">
        <v>0</v>
      </c>
      <c r="O40" s="1413"/>
      <c r="P40" s="1413"/>
      <c r="Q40" s="1413">
        <v>0</v>
      </c>
      <c r="R40" s="1413"/>
      <c r="S40" s="1413"/>
      <c r="T40" s="1413"/>
      <c r="U40" s="1413">
        <v>0</v>
      </c>
      <c r="V40" s="1413">
        <v>0</v>
      </c>
      <c r="W40" s="1413">
        <v>0</v>
      </c>
      <c r="X40" s="1413"/>
      <c r="Y40" s="1413"/>
      <c r="Z40" s="1413">
        <v>0</v>
      </c>
      <c r="AA40" s="1413"/>
      <c r="AB40" s="1413"/>
      <c r="AC40" s="1413">
        <v>0</v>
      </c>
      <c r="AD40" s="1413"/>
      <c r="AE40" s="1413"/>
      <c r="AF40" s="1413"/>
      <c r="AG40" s="1413">
        <v>0</v>
      </c>
      <c r="AH40" s="1413"/>
      <c r="AI40" s="1413"/>
      <c r="AJ40" s="1413"/>
      <c r="AK40" s="1413"/>
      <c r="AL40" s="1413">
        <v>0</v>
      </c>
      <c r="AM40" s="1413"/>
      <c r="AN40" s="1413"/>
      <c r="AO40" s="1413"/>
      <c r="AP40" s="1413"/>
      <c r="AQ40" s="1413">
        <v>167637.85999999996</v>
      </c>
      <c r="AR40" s="1413">
        <v>167163.63999999996</v>
      </c>
      <c r="AS40" s="1413">
        <v>474.22</v>
      </c>
      <c r="AT40" s="1413">
        <v>474.22</v>
      </c>
      <c r="AU40" s="1413"/>
      <c r="AV40" s="1413"/>
      <c r="AW40" s="1413"/>
      <c r="AX40" s="1413"/>
      <c r="AY40" s="1413">
        <v>6579757.9699999997</v>
      </c>
      <c r="AZ40" s="1413">
        <v>0</v>
      </c>
      <c r="BA40" s="1413">
        <v>0</v>
      </c>
      <c r="BB40" s="1413"/>
      <c r="BC40" s="1413">
        <v>191391.25</v>
      </c>
      <c r="BD40" s="1413">
        <v>6388366.7199999997</v>
      </c>
      <c r="BE40" s="1413">
        <v>0</v>
      </c>
      <c r="BF40" s="1413"/>
      <c r="BG40" s="1413"/>
      <c r="BH40" s="1413"/>
      <c r="BI40" s="1413"/>
      <c r="BJ40" s="1413"/>
      <c r="BK40" s="1413"/>
      <c r="BL40" s="1413">
        <v>0</v>
      </c>
      <c r="BM40" s="1413">
        <v>0</v>
      </c>
      <c r="BN40" s="1413"/>
      <c r="BO40" s="1413"/>
      <c r="BP40" s="1413"/>
      <c r="BQ40" s="1413"/>
      <c r="BR40" s="1413"/>
      <c r="BS40" s="1413"/>
      <c r="BT40" s="1413">
        <v>0</v>
      </c>
      <c r="BU40" s="1413">
        <v>0</v>
      </c>
      <c r="BV40" s="1413"/>
      <c r="BW40" s="1413"/>
      <c r="BX40" s="1413"/>
      <c r="BY40" s="1413"/>
      <c r="BZ40" s="1413">
        <v>0</v>
      </c>
      <c r="CA40" s="1413"/>
      <c r="CB40" s="1413"/>
      <c r="CC40" s="1413"/>
      <c r="CD40" s="1413"/>
      <c r="CE40" s="1413"/>
      <c r="CF40" s="1413"/>
      <c r="CG40" s="1413"/>
      <c r="CH40" s="1413"/>
      <c r="CI40" s="1413"/>
      <c r="CJ40" s="1413"/>
      <c r="CK40" s="1413"/>
      <c r="CL40" s="1413"/>
      <c r="CM40" s="1413"/>
      <c r="CN40" s="1413">
        <v>0</v>
      </c>
      <c r="CO40" s="1413">
        <v>0</v>
      </c>
      <c r="CP40" s="1413"/>
      <c r="CQ40" s="1413"/>
      <c r="CR40" s="1413"/>
      <c r="CS40" s="1413"/>
      <c r="CT40" s="1413"/>
      <c r="CU40" s="1413">
        <v>0</v>
      </c>
      <c r="CV40" s="1413"/>
      <c r="CW40" s="1413"/>
      <c r="CX40" s="1413"/>
      <c r="CY40" s="1413"/>
      <c r="CZ40" s="1413"/>
      <c r="DA40" s="1413"/>
      <c r="DB40" s="1413">
        <v>0</v>
      </c>
      <c r="DC40" s="1413"/>
      <c r="DD40" s="1413"/>
      <c r="DE40" s="1413"/>
      <c r="DF40" s="1413">
        <v>52426284.279999994</v>
      </c>
      <c r="DG40" s="1413">
        <v>0</v>
      </c>
      <c r="DH40" s="1413">
        <v>0</v>
      </c>
      <c r="DI40" s="1413"/>
      <c r="DJ40" s="1413"/>
      <c r="DK40" s="1413">
        <v>0</v>
      </c>
      <c r="DL40" s="1413"/>
      <c r="DM40" s="1413"/>
      <c r="DN40" s="1413">
        <v>0</v>
      </c>
      <c r="DO40" s="1413"/>
      <c r="DP40" s="1413"/>
      <c r="DQ40" s="1413">
        <v>52426284.279999994</v>
      </c>
      <c r="DR40" s="1413">
        <v>1621283.561216827</v>
      </c>
      <c r="DS40" s="1413">
        <v>50805000.71878317</v>
      </c>
      <c r="DT40" s="1413"/>
      <c r="DU40" s="1413"/>
      <c r="DV40" s="1413">
        <v>0</v>
      </c>
      <c r="DW40" s="1413"/>
      <c r="DX40" s="1413"/>
      <c r="DY40" s="1413"/>
      <c r="DZ40" s="1413">
        <v>0</v>
      </c>
      <c r="EA40" s="1413">
        <v>0</v>
      </c>
      <c r="EB40" s="1413"/>
      <c r="EC40" s="1413"/>
      <c r="ED40" s="1413">
        <v>0</v>
      </c>
      <c r="EE40" s="1413"/>
      <c r="EF40" s="1413"/>
      <c r="EG40" s="1413">
        <v>0</v>
      </c>
      <c r="EH40" s="1413"/>
      <c r="EI40" s="1413"/>
      <c r="EJ40" s="1413"/>
      <c r="EK40" s="1413">
        <v>0</v>
      </c>
      <c r="EL40" s="1413"/>
      <c r="EM40" s="1413">
        <v>0</v>
      </c>
      <c r="EN40" s="1413"/>
      <c r="EO40" s="1413"/>
      <c r="EP40" s="1413"/>
      <c r="EQ40" s="1413">
        <v>0</v>
      </c>
      <c r="ER40" s="1413"/>
      <c r="ES40" s="1413"/>
      <c r="ET40" s="1413"/>
      <c r="EU40" s="1413">
        <v>0</v>
      </c>
      <c r="EV40" s="1413"/>
      <c r="EW40" s="1413"/>
      <c r="EX40" s="1413"/>
      <c r="EY40" s="1413"/>
      <c r="EZ40" s="1413">
        <v>0</v>
      </c>
      <c r="FA40" s="1413"/>
      <c r="FB40" s="1413">
        <v>0</v>
      </c>
      <c r="FC40" s="1413"/>
      <c r="FD40" s="1413"/>
      <c r="FE40" s="1413"/>
      <c r="FF40" s="1413">
        <v>0</v>
      </c>
      <c r="FG40" s="1413"/>
      <c r="FH40" s="1413"/>
      <c r="FI40" s="1413"/>
      <c r="FJ40" s="1413">
        <v>0</v>
      </c>
      <c r="FK40" s="1413"/>
      <c r="FL40" s="1413"/>
      <c r="FM40" s="1413"/>
      <c r="FN40" s="1413"/>
      <c r="FO40" s="1413">
        <v>0</v>
      </c>
      <c r="FP40" s="1413"/>
      <c r="FQ40" s="1413"/>
      <c r="FR40" s="1413"/>
      <c r="FS40" s="1413"/>
      <c r="FT40" s="1413"/>
      <c r="FU40" s="1413"/>
      <c r="FV40" s="1413"/>
      <c r="FW40" s="1413">
        <v>29240612.77</v>
      </c>
      <c r="FX40" s="1413">
        <v>26986518.400000002</v>
      </c>
      <c r="FY40" s="1413">
        <v>2159270.7200000002</v>
      </c>
      <c r="FZ40" s="1413">
        <v>94823.650000000023</v>
      </c>
      <c r="GA40" s="1413"/>
      <c r="GB40" s="1413">
        <v>4287963.0600000136</v>
      </c>
      <c r="GC40" s="1413"/>
      <c r="GD40" s="1413"/>
      <c r="GE40" s="1413"/>
      <c r="GF40" s="1413">
        <v>95273746.140000015</v>
      </c>
    </row>
    <row r="41" spans="2:189">
      <c r="B41" s="1211">
        <v>43009</v>
      </c>
      <c r="C41" s="1414"/>
      <c r="D41" s="1414"/>
      <c r="E41" s="1414">
        <v>2253881.4900000002</v>
      </c>
      <c r="F41" s="1414"/>
      <c r="G41" s="1414">
        <v>2253881.4900000002</v>
      </c>
      <c r="H41" s="1414"/>
      <c r="I41" s="1414"/>
      <c r="J41" s="1414">
        <v>128233.88999999998</v>
      </c>
      <c r="K41" s="1414">
        <v>128233.88999999998</v>
      </c>
      <c r="L41" s="1414">
        <v>128233.88999999998</v>
      </c>
      <c r="M41" s="1414"/>
      <c r="N41" s="1414">
        <v>0</v>
      </c>
      <c r="O41" s="1414"/>
      <c r="P41" s="1414"/>
      <c r="Q41" s="1414">
        <v>0</v>
      </c>
      <c r="R41" s="1414"/>
      <c r="S41" s="1414"/>
      <c r="T41" s="1414"/>
      <c r="U41" s="1414">
        <v>0</v>
      </c>
      <c r="V41" s="1414">
        <v>0</v>
      </c>
      <c r="W41" s="1414">
        <v>0</v>
      </c>
      <c r="X41" s="1414"/>
      <c r="Y41" s="1414"/>
      <c r="Z41" s="1414">
        <v>0</v>
      </c>
      <c r="AA41" s="1414"/>
      <c r="AB41" s="1414"/>
      <c r="AC41" s="1414">
        <v>0</v>
      </c>
      <c r="AD41" s="1414"/>
      <c r="AE41" s="1414"/>
      <c r="AF41" s="1414"/>
      <c r="AG41" s="1414">
        <v>0</v>
      </c>
      <c r="AH41" s="1414"/>
      <c r="AI41" s="1414"/>
      <c r="AJ41" s="1414"/>
      <c r="AK41" s="1414"/>
      <c r="AL41" s="1414">
        <v>0</v>
      </c>
      <c r="AM41" s="1414"/>
      <c r="AN41" s="1414"/>
      <c r="AO41" s="1414"/>
      <c r="AP41" s="1414"/>
      <c r="AQ41" s="1414">
        <v>0</v>
      </c>
      <c r="AR41" s="1414">
        <v>0</v>
      </c>
      <c r="AS41" s="1414">
        <v>0</v>
      </c>
      <c r="AT41" s="1414">
        <v>0</v>
      </c>
      <c r="AU41" s="1414"/>
      <c r="AV41" s="1414"/>
      <c r="AW41" s="1414"/>
      <c r="AX41" s="1414"/>
      <c r="AY41" s="1414">
        <v>6579757.9699999997</v>
      </c>
      <c r="AZ41" s="1414">
        <v>0</v>
      </c>
      <c r="BA41" s="1414">
        <v>0</v>
      </c>
      <c r="BB41" s="1414"/>
      <c r="BC41" s="1414">
        <v>191391.25</v>
      </c>
      <c r="BD41" s="1414">
        <v>6388366.7199999997</v>
      </c>
      <c r="BE41" s="1414">
        <v>0</v>
      </c>
      <c r="BF41" s="1414"/>
      <c r="BG41" s="1414"/>
      <c r="BH41" s="1414"/>
      <c r="BI41" s="1414"/>
      <c r="BJ41" s="1414"/>
      <c r="BK41" s="1414"/>
      <c r="BL41" s="1414">
        <v>0</v>
      </c>
      <c r="BM41" s="1414">
        <v>0</v>
      </c>
      <c r="BN41" s="1414"/>
      <c r="BO41" s="1414"/>
      <c r="BP41" s="1414"/>
      <c r="BQ41" s="1414"/>
      <c r="BR41" s="1414"/>
      <c r="BS41" s="1414"/>
      <c r="BT41" s="1414">
        <v>0</v>
      </c>
      <c r="BU41" s="1414">
        <v>0</v>
      </c>
      <c r="BV41" s="1414"/>
      <c r="BW41" s="1414"/>
      <c r="BX41" s="1414"/>
      <c r="BY41" s="1414"/>
      <c r="BZ41" s="1414">
        <v>0</v>
      </c>
      <c r="CA41" s="1414"/>
      <c r="CB41" s="1414"/>
      <c r="CC41" s="1414"/>
      <c r="CD41" s="1414"/>
      <c r="CE41" s="1414"/>
      <c r="CF41" s="1414"/>
      <c r="CG41" s="1414"/>
      <c r="CH41" s="1414"/>
      <c r="CI41" s="1414"/>
      <c r="CJ41" s="1414"/>
      <c r="CK41" s="1414"/>
      <c r="CL41" s="1414"/>
      <c r="CM41" s="1414"/>
      <c r="CN41" s="1414">
        <v>0</v>
      </c>
      <c r="CO41" s="1414">
        <v>0</v>
      </c>
      <c r="CP41" s="1414"/>
      <c r="CQ41" s="1414"/>
      <c r="CR41" s="1414"/>
      <c r="CS41" s="1414"/>
      <c r="CT41" s="1414"/>
      <c r="CU41" s="1414">
        <v>0</v>
      </c>
      <c r="CV41" s="1414"/>
      <c r="CW41" s="1414"/>
      <c r="CX41" s="1414"/>
      <c r="CY41" s="1414"/>
      <c r="CZ41" s="1414"/>
      <c r="DA41" s="1414"/>
      <c r="DB41" s="1414">
        <v>0</v>
      </c>
      <c r="DC41" s="1414"/>
      <c r="DD41" s="1414"/>
      <c r="DE41" s="1414"/>
      <c r="DF41" s="1414">
        <v>48296889.82</v>
      </c>
      <c r="DG41" s="1414">
        <v>0</v>
      </c>
      <c r="DH41" s="1414">
        <v>0</v>
      </c>
      <c r="DI41" s="1414"/>
      <c r="DJ41" s="1414"/>
      <c r="DK41" s="1414">
        <v>0</v>
      </c>
      <c r="DL41" s="1414"/>
      <c r="DM41" s="1414"/>
      <c r="DN41" s="1414">
        <v>0</v>
      </c>
      <c r="DO41" s="1414"/>
      <c r="DP41" s="1414"/>
      <c r="DQ41" s="1414">
        <v>48296889.82</v>
      </c>
      <c r="DR41" s="1414">
        <v>1494046.4818828928</v>
      </c>
      <c r="DS41" s="1414">
        <v>46802843.338117108</v>
      </c>
      <c r="DT41" s="1414"/>
      <c r="DU41" s="1414"/>
      <c r="DV41" s="1414">
        <v>0</v>
      </c>
      <c r="DW41" s="1414"/>
      <c r="DX41" s="1414"/>
      <c r="DY41" s="1414"/>
      <c r="DZ41" s="1414">
        <v>0</v>
      </c>
      <c r="EA41" s="1414">
        <v>0</v>
      </c>
      <c r="EB41" s="1414"/>
      <c r="EC41" s="1414"/>
      <c r="ED41" s="1414">
        <v>0</v>
      </c>
      <c r="EE41" s="1414"/>
      <c r="EF41" s="1414"/>
      <c r="EG41" s="1414">
        <v>0</v>
      </c>
      <c r="EH41" s="1414"/>
      <c r="EI41" s="1414"/>
      <c r="EJ41" s="1414"/>
      <c r="EK41" s="1414">
        <v>0</v>
      </c>
      <c r="EL41" s="1414"/>
      <c r="EM41" s="1414">
        <v>0</v>
      </c>
      <c r="EN41" s="1414"/>
      <c r="EO41" s="1414"/>
      <c r="EP41" s="1414"/>
      <c r="EQ41" s="1414">
        <v>0</v>
      </c>
      <c r="ER41" s="1414"/>
      <c r="ES41" s="1414"/>
      <c r="ET41" s="1414"/>
      <c r="EU41" s="1414">
        <v>0</v>
      </c>
      <c r="EV41" s="1414"/>
      <c r="EW41" s="1414"/>
      <c r="EX41" s="1414"/>
      <c r="EY41" s="1414"/>
      <c r="EZ41" s="1414">
        <v>0</v>
      </c>
      <c r="FA41" s="1414"/>
      <c r="FB41" s="1414">
        <v>0</v>
      </c>
      <c r="FC41" s="1414"/>
      <c r="FD41" s="1414"/>
      <c r="FE41" s="1414"/>
      <c r="FF41" s="1414">
        <v>0</v>
      </c>
      <c r="FG41" s="1414"/>
      <c r="FH41" s="1414"/>
      <c r="FI41" s="1414"/>
      <c r="FJ41" s="1414">
        <v>0</v>
      </c>
      <c r="FK41" s="1414"/>
      <c r="FL41" s="1414"/>
      <c r="FM41" s="1414"/>
      <c r="FN41" s="1414"/>
      <c r="FO41" s="1414">
        <v>0</v>
      </c>
      <c r="FP41" s="1414"/>
      <c r="FQ41" s="1414"/>
      <c r="FR41" s="1414"/>
      <c r="FS41" s="1414"/>
      <c r="FT41" s="1414"/>
      <c r="FU41" s="1414"/>
      <c r="FV41" s="1414"/>
      <c r="FW41" s="1414">
        <v>19985003.77</v>
      </c>
      <c r="FX41" s="1414">
        <v>17730909.400000002</v>
      </c>
      <c r="FY41" s="1414">
        <v>2159270.7200000002</v>
      </c>
      <c r="FZ41" s="1414">
        <v>94823.650000000023</v>
      </c>
      <c r="GA41" s="1414"/>
      <c r="GB41" s="1414">
        <v>4225977.4900000142</v>
      </c>
      <c r="GC41" s="1414"/>
      <c r="GD41" s="1414"/>
      <c r="GE41" s="1414"/>
      <c r="GF41" s="1414">
        <v>81469744.430000007</v>
      </c>
    </row>
    <row r="42" spans="2:189">
      <c r="B42" s="1211">
        <v>43040</v>
      </c>
      <c r="C42" s="1413"/>
      <c r="D42" s="1413"/>
      <c r="E42" s="1413">
        <v>921090.27</v>
      </c>
      <c r="F42" s="1413"/>
      <c r="G42" s="1413">
        <v>921090.27</v>
      </c>
      <c r="H42" s="1413"/>
      <c r="I42" s="1413"/>
      <c r="J42" s="1413">
        <v>128233.88999999998</v>
      </c>
      <c r="K42" s="1413">
        <v>128233.88999999998</v>
      </c>
      <c r="L42" s="1413">
        <v>128233.88999999998</v>
      </c>
      <c r="M42" s="1413"/>
      <c r="N42" s="1413">
        <v>0</v>
      </c>
      <c r="O42" s="1413"/>
      <c r="P42" s="1413"/>
      <c r="Q42" s="1413">
        <v>0</v>
      </c>
      <c r="R42" s="1413"/>
      <c r="S42" s="1413"/>
      <c r="T42" s="1413"/>
      <c r="U42" s="1413">
        <v>0</v>
      </c>
      <c r="V42" s="1413">
        <v>0</v>
      </c>
      <c r="W42" s="1413">
        <v>0</v>
      </c>
      <c r="X42" s="1413"/>
      <c r="Y42" s="1413"/>
      <c r="Z42" s="1413">
        <v>0</v>
      </c>
      <c r="AA42" s="1413"/>
      <c r="AB42" s="1413"/>
      <c r="AC42" s="1413">
        <v>0</v>
      </c>
      <c r="AD42" s="1413"/>
      <c r="AE42" s="1413"/>
      <c r="AF42" s="1413"/>
      <c r="AG42" s="1413">
        <v>0</v>
      </c>
      <c r="AH42" s="1413"/>
      <c r="AI42" s="1413"/>
      <c r="AJ42" s="1413"/>
      <c r="AK42" s="1413"/>
      <c r="AL42" s="1413">
        <v>0</v>
      </c>
      <c r="AM42" s="1413"/>
      <c r="AN42" s="1413"/>
      <c r="AO42" s="1413"/>
      <c r="AP42" s="1413"/>
      <c r="AQ42" s="1413">
        <v>0</v>
      </c>
      <c r="AR42" s="1413">
        <v>0</v>
      </c>
      <c r="AS42" s="1413">
        <v>0</v>
      </c>
      <c r="AT42" s="1413">
        <v>0</v>
      </c>
      <c r="AU42" s="1413"/>
      <c r="AV42" s="1413"/>
      <c r="AW42" s="1413"/>
      <c r="AX42" s="1413"/>
      <c r="AY42" s="1413">
        <v>6579757.9699999997</v>
      </c>
      <c r="AZ42" s="1413">
        <v>0</v>
      </c>
      <c r="BA42" s="1413">
        <v>0</v>
      </c>
      <c r="BB42" s="1413"/>
      <c r="BC42" s="1413">
        <v>191391.25</v>
      </c>
      <c r="BD42" s="1413">
        <v>6388366.7199999997</v>
      </c>
      <c r="BE42" s="1413">
        <v>0</v>
      </c>
      <c r="BF42" s="1413"/>
      <c r="BG42" s="1413"/>
      <c r="BH42" s="1413"/>
      <c r="BI42" s="1413"/>
      <c r="BJ42" s="1413"/>
      <c r="BK42" s="1413"/>
      <c r="BL42" s="1413">
        <v>0</v>
      </c>
      <c r="BM42" s="1413">
        <v>0</v>
      </c>
      <c r="BN42" s="1413"/>
      <c r="BO42" s="1413"/>
      <c r="BP42" s="1413"/>
      <c r="BQ42" s="1413"/>
      <c r="BR42" s="1413"/>
      <c r="BS42" s="1413"/>
      <c r="BT42" s="1413">
        <v>0</v>
      </c>
      <c r="BU42" s="1413">
        <v>0</v>
      </c>
      <c r="BV42" s="1413"/>
      <c r="BW42" s="1413"/>
      <c r="BX42" s="1413"/>
      <c r="BY42" s="1413"/>
      <c r="BZ42" s="1413">
        <v>0</v>
      </c>
      <c r="CA42" s="1413"/>
      <c r="CB42" s="1413"/>
      <c r="CC42" s="1413"/>
      <c r="CD42" s="1413"/>
      <c r="CE42" s="1413"/>
      <c r="CF42" s="1413"/>
      <c r="CG42" s="1413"/>
      <c r="CH42" s="1413"/>
      <c r="CI42" s="1413"/>
      <c r="CJ42" s="1413"/>
      <c r="CK42" s="1413"/>
      <c r="CL42" s="1413"/>
      <c r="CM42" s="1413"/>
      <c r="CN42" s="1413">
        <v>0</v>
      </c>
      <c r="CO42" s="1413">
        <v>0</v>
      </c>
      <c r="CP42" s="1413"/>
      <c r="CQ42" s="1413"/>
      <c r="CR42" s="1413"/>
      <c r="CS42" s="1413"/>
      <c r="CT42" s="1413"/>
      <c r="CU42" s="1413">
        <v>0</v>
      </c>
      <c r="CV42" s="1413"/>
      <c r="CW42" s="1413"/>
      <c r="CX42" s="1413"/>
      <c r="CY42" s="1413"/>
      <c r="CZ42" s="1413"/>
      <c r="DA42" s="1413"/>
      <c r="DB42" s="1413">
        <v>0</v>
      </c>
      <c r="DC42" s="1413"/>
      <c r="DD42" s="1413"/>
      <c r="DE42" s="1413"/>
      <c r="DF42" s="1413">
        <v>48296889.82</v>
      </c>
      <c r="DG42" s="1413">
        <v>0</v>
      </c>
      <c r="DH42" s="1413">
        <v>0</v>
      </c>
      <c r="DI42" s="1413"/>
      <c r="DJ42" s="1413"/>
      <c r="DK42" s="1413">
        <v>0</v>
      </c>
      <c r="DL42" s="1413"/>
      <c r="DM42" s="1413"/>
      <c r="DN42" s="1413">
        <v>0</v>
      </c>
      <c r="DO42" s="1413"/>
      <c r="DP42" s="1413"/>
      <c r="DQ42" s="1413">
        <v>48296889.82</v>
      </c>
      <c r="DR42" s="1413">
        <v>1494046.4818828928</v>
      </c>
      <c r="DS42" s="1413">
        <v>46802843.338117108</v>
      </c>
      <c r="DT42" s="1413"/>
      <c r="DU42" s="1413"/>
      <c r="DV42" s="1413">
        <v>0</v>
      </c>
      <c r="DW42" s="1413"/>
      <c r="DX42" s="1413"/>
      <c r="DY42" s="1413"/>
      <c r="DZ42" s="1413">
        <v>0</v>
      </c>
      <c r="EA42" s="1413">
        <v>0</v>
      </c>
      <c r="EB42" s="1413"/>
      <c r="EC42" s="1413"/>
      <c r="ED42" s="1413">
        <v>0</v>
      </c>
      <c r="EE42" s="1413"/>
      <c r="EF42" s="1413"/>
      <c r="EG42" s="1413">
        <v>0</v>
      </c>
      <c r="EH42" s="1413"/>
      <c r="EI42" s="1413"/>
      <c r="EJ42" s="1413"/>
      <c r="EK42" s="1413">
        <v>0</v>
      </c>
      <c r="EL42" s="1413"/>
      <c r="EM42" s="1413">
        <v>0</v>
      </c>
      <c r="EN42" s="1413"/>
      <c r="EO42" s="1413"/>
      <c r="EP42" s="1413"/>
      <c r="EQ42" s="1413">
        <v>0</v>
      </c>
      <c r="ER42" s="1413"/>
      <c r="ES42" s="1413"/>
      <c r="ET42" s="1413"/>
      <c r="EU42" s="1413">
        <v>0</v>
      </c>
      <c r="EV42" s="1413"/>
      <c r="EW42" s="1413"/>
      <c r="EX42" s="1413"/>
      <c r="EY42" s="1413"/>
      <c r="EZ42" s="1413">
        <v>0</v>
      </c>
      <c r="FA42" s="1413"/>
      <c r="FB42" s="1413">
        <v>0</v>
      </c>
      <c r="FC42" s="1413"/>
      <c r="FD42" s="1413"/>
      <c r="FE42" s="1413"/>
      <c r="FF42" s="1413">
        <v>0</v>
      </c>
      <c r="FG42" s="1413"/>
      <c r="FH42" s="1413"/>
      <c r="FI42" s="1413"/>
      <c r="FJ42" s="1413">
        <v>0</v>
      </c>
      <c r="FK42" s="1413"/>
      <c r="FL42" s="1413"/>
      <c r="FM42" s="1413"/>
      <c r="FN42" s="1413"/>
      <c r="FO42" s="1413">
        <v>0</v>
      </c>
      <c r="FP42" s="1413"/>
      <c r="FQ42" s="1413"/>
      <c r="FR42" s="1413"/>
      <c r="FS42" s="1413"/>
      <c r="FT42" s="1413"/>
      <c r="FU42" s="1413"/>
      <c r="FV42" s="1413"/>
      <c r="FW42" s="1413">
        <v>19985003.77</v>
      </c>
      <c r="FX42" s="1413">
        <v>17730909.400000002</v>
      </c>
      <c r="FY42" s="1413">
        <v>2159270.7200000002</v>
      </c>
      <c r="FZ42" s="1413">
        <v>94823.650000000023</v>
      </c>
      <c r="GA42" s="1413"/>
      <c r="GB42" s="1413">
        <v>4225977.4900000133</v>
      </c>
      <c r="GC42" s="1413"/>
      <c r="GD42" s="1413"/>
      <c r="GE42" s="1413"/>
      <c r="GF42" s="1413">
        <v>80136953.210000008</v>
      </c>
    </row>
    <row r="43" spans="2:189" s="1362" customFormat="1">
      <c r="B43" s="1367">
        <v>43070</v>
      </c>
      <c r="C43" s="1409"/>
      <c r="D43" s="1409"/>
      <c r="E43" s="1409">
        <v>921090.27</v>
      </c>
      <c r="F43" s="1409"/>
      <c r="G43" s="1409">
        <v>921090.27</v>
      </c>
      <c r="H43" s="1409"/>
      <c r="I43" s="1409"/>
      <c r="J43" s="1409">
        <v>136958.56</v>
      </c>
      <c r="K43" s="1409">
        <v>136958.56</v>
      </c>
      <c r="L43" s="1409">
        <v>136958.56</v>
      </c>
      <c r="M43" s="1409"/>
      <c r="N43" s="1409">
        <v>0</v>
      </c>
      <c r="O43" s="1409"/>
      <c r="P43" s="1409"/>
      <c r="Q43" s="1409">
        <v>0</v>
      </c>
      <c r="R43" s="1409"/>
      <c r="S43" s="1409"/>
      <c r="T43" s="1409"/>
      <c r="U43" s="1409">
        <v>0</v>
      </c>
      <c r="V43" s="1409">
        <v>0</v>
      </c>
      <c r="W43" s="1409">
        <v>0</v>
      </c>
      <c r="X43" s="1409"/>
      <c r="Y43" s="1409"/>
      <c r="Z43" s="1409">
        <v>0</v>
      </c>
      <c r="AA43" s="1409"/>
      <c r="AB43" s="1409"/>
      <c r="AC43" s="1409">
        <v>0</v>
      </c>
      <c r="AD43" s="1409"/>
      <c r="AE43" s="1409"/>
      <c r="AF43" s="1409"/>
      <c r="AG43" s="1409">
        <v>0</v>
      </c>
      <c r="AH43" s="1409"/>
      <c r="AI43" s="1409"/>
      <c r="AJ43" s="1409"/>
      <c r="AK43" s="1409"/>
      <c r="AL43" s="1409">
        <v>0</v>
      </c>
      <c r="AM43" s="1409"/>
      <c r="AN43" s="1409"/>
      <c r="AO43" s="1409"/>
      <c r="AP43" s="1409"/>
      <c r="AQ43" s="1409">
        <v>0</v>
      </c>
      <c r="AR43" s="1409">
        <v>0</v>
      </c>
      <c r="AS43" s="1409">
        <v>0</v>
      </c>
      <c r="AT43" s="1409">
        <v>0</v>
      </c>
      <c r="AU43" s="1409"/>
      <c r="AV43" s="1409"/>
      <c r="AW43" s="1409"/>
      <c r="AX43" s="1409"/>
      <c r="AY43" s="1409">
        <v>5979757.9699999997</v>
      </c>
      <c r="AZ43" s="1409">
        <v>0</v>
      </c>
      <c r="BA43" s="1409">
        <v>0</v>
      </c>
      <c r="BB43" s="1409"/>
      <c r="BC43" s="1409">
        <v>191391.25</v>
      </c>
      <c r="BD43" s="1409">
        <v>5788366.7199999997</v>
      </c>
      <c r="BE43" s="1409">
        <v>0</v>
      </c>
      <c r="BF43" s="1409"/>
      <c r="BG43" s="1409"/>
      <c r="BH43" s="1409"/>
      <c r="BI43" s="1409"/>
      <c r="BJ43" s="1409"/>
      <c r="BK43" s="1409"/>
      <c r="BL43" s="1409">
        <v>0</v>
      </c>
      <c r="BM43" s="1409">
        <v>0</v>
      </c>
      <c r="BN43" s="1409"/>
      <c r="BO43" s="1409"/>
      <c r="BP43" s="1409"/>
      <c r="BQ43" s="1409"/>
      <c r="BR43" s="1409"/>
      <c r="BS43" s="1409"/>
      <c r="BT43" s="1409">
        <v>0</v>
      </c>
      <c r="BU43" s="1409">
        <v>0</v>
      </c>
      <c r="BV43" s="1409"/>
      <c r="BW43" s="1409"/>
      <c r="BX43" s="1409"/>
      <c r="BY43" s="1409"/>
      <c r="BZ43" s="1409">
        <v>0</v>
      </c>
      <c r="CA43" s="1409"/>
      <c r="CB43" s="1409"/>
      <c r="CC43" s="1409"/>
      <c r="CD43" s="1409"/>
      <c r="CE43" s="1409"/>
      <c r="CF43" s="1409"/>
      <c r="CG43" s="1409"/>
      <c r="CH43" s="1409"/>
      <c r="CI43" s="1409"/>
      <c r="CJ43" s="1409"/>
      <c r="CK43" s="1409"/>
      <c r="CL43" s="1409"/>
      <c r="CM43" s="1409"/>
      <c r="CN43" s="1409">
        <v>0</v>
      </c>
      <c r="CO43" s="1409">
        <v>0</v>
      </c>
      <c r="CP43" s="1409"/>
      <c r="CQ43" s="1409"/>
      <c r="CR43" s="1409"/>
      <c r="CS43" s="1409"/>
      <c r="CT43" s="1409"/>
      <c r="CU43" s="1409">
        <v>0</v>
      </c>
      <c r="CV43" s="1409"/>
      <c r="CW43" s="1409"/>
      <c r="CX43" s="1409"/>
      <c r="CY43" s="1409"/>
      <c r="CZ43" s="1409"/>
      <c r="DA43" s="1409"/>
      <c r="DB43" s="1409">
        <v>0</v>
      </c>
      <c r="DC43" s="1409"/>
      <c r="DD43" s="1409"/>
      <c r="DE43" s="1409"/>
      <c r="DF43" s="1409">
        <v>48629945.550000012</v>
      </c>
      <c r="DG43" s="1409">
        <v>0</v>
      </c>
      <c r="DH43" s="1409">
        <v>0</v>
      </c>
      <c r="DI43" s="1409"/>
      <c r="DJ43" s="1409"/>
      <c r="DK43" s="1409">
        <v>0</v>
      </c>
      <c r="DL43" s="1409"/>
      <c r="DM43" s="1409"/>
      <c r="DN43" s="1409">
        <v>0</v>
      </c>
      <c r="DO43" s="1409"/>
      <c r="DP43" s="1409"/>
      <c r="DQ43" s="1409">
        <v>48629945.550000012</v>
      </c>
      <c r="DR43" s="1409">
        <v>1504308.7706400272</v>
      </c>
      <c r="DS43" s="1409">
        <v>47125636.779359981</v>
      </c>
      <c r="DT43" s="1409"/>
      <c r="DU43" s="1409"/>
      <c r="DV43" s="1409">
        <v>0</v>
      </c>
      <c r="DW43" s="1409"/>
      <c r="DX43" s="1409"/>
      <c r="DY43" s="1409"/>
      <c r="DZ43" s="1409">
        <v>0</v>
      </c>
      <c r="EA43" s="1409">
        <v>0</v>
      </c>
      <c r="EB43" s="1409"/>
      <c r="EC43" s="1409"/>
      <c r="ED43" s="1409">
        <v>0</v>
      </c>
      <c r="EE43" s="1409"/>
      <c r="EF43" s="1409"/>
      <c r="EG43" s="1409">
        <v>0</v>
      </c>
      <c r="EH43" s="1409"/>
      <c r="EI43" s="1409"/>
      <c r="EJ43" s="1409"/>
      <c r="EK43" s="1409">
        <v>0</v>
      </c>
      <c r="EL43" s="1409"/>
      <c r="EM43" s="1409">
        <v>0</v>
      </c>
      <c r="EN43" s="1409"/>
      <c r="EO43" s="1409"/>
      <c r="EP43" s="1409"/>
      <c r="EQ43" s="1409">
        <v>0</v>
      </c>
      <c r="ER43" s="1409"/>
      <c r="ES43" s="1409"/>
      <c r="ET43" s="1409"/>
      <c r="EU43" s="1409">
        <v>0</v>
      </c>
      <c r="EV43" s="1409"/>
      <c r="EW43" s="1409"/>
      <c r="EX43" s="1409"/>
      <c r="EY43" s="1409"/>
      <c r="EZ43" s="1409">
        <v>0</v>
      </c>
      <c r="FA43" s="1409"/>
      <c r="FB43" s="1409">
        <v>0</v>
      </c>
      <c r="FC43" s="1409"/>
      <c r="FD43" s="1409"/>
      <c r="FE43" s="1409"/>
      <c r="FF43" s="1409">
        <v>0</v>
      </c>
      <c r="FG43" s="1409"/>
      <c r="FH43" s="1409"/>
      <c r="FI43" s="1409"/>
      <c r="FJ43" s="1409">
        <v>0</v>
      </c>
      <c r="FK43" s="1409"/>
      <c r="FL43" s="1409"/>
      <c r="FM43" s="1409"/>
      <c r="FN43" s="1409"/>
      <c r="FO43" s="1409">
        <v>0</v>
      </c>
      <c r="FP43" s="1409"/>
      <c r="FQ43" s="1409"/>
      <c r="FR43" s="1409"/>
      <c r="FS43" s="1409"/>
      <c r="FT43" s="1409"/>
      <c r="FU43" s="1409"/>
      <c r="FV43" s="1409"/>
      <c r="FW43" s="1409">
        <v>16555978.619666668</v>
      </c>
      <c r="FX43" s="1409">
        <v>16485469.4</v>
      </c>
      <c r="FY43" s="1409">
        <v>52299.58966666687</v>
      </c>
      <c r="FZ43" s="1409">
        <v>18209.630000000005</v>
      </c>
      <c r="GA43" s="1409"/>
      <c r="GB43" s="1409">
        <v>3669407.6886100001</v>
      </c>
      <c r="GC43" s="1409"/>
      <c r="GD43" s="1409"/>
      <c r="GE43" s="1409"/>
      <c r="GF43" s="1409">
        <v>75893138.658276677</v>
      </c>
    </row>
    <row r="44" spans="2:189">
      <c r="C44" s="1413"/>
      <c r="D44" s="1413"/>
      <c r="E44" s="1413"/>
      <c r="F44" s="1413"/>
      <c r="G44" s="1413"/>
      <c r="H44" s="1413"/>
      <c r="I44" s="1413"/>
      <c r="J44" s="1413"/>
      <c r="K44" s="1413"/>
      <c r="L44" s="1413"/>
      <c r="M44" s="1413"/>
      <c r="N44" s="1413"/>
      <c r="O44" s="1413"/>
      <c r="P44" s="1413"/>
      <c r="Q44" s="1413"/>
      <c r="R44" s="1413"/>
      <c r="S44" s="1413"/>
      <c r="T44" s="1413"/>
      <c r="U44" s="1413"/>
      <c r="V44" s="1413"/>
      <c r="W44" s="1413"/>
      <c r="X44" s="1413"/>
      <c r="Y44" s="1413"/>
      <c r="Z44" s="1413"/>
      <c r="AA44" s="1413"/>
      <c r="AB44" s="1413"/>
      <c r="AC44" s="1413"/>
      <c r="AD44" s="1413"/>
      <c r="AE44" s="1413"/>
      <c r="AF44" s="1413"/>
      <c r="AG44" s="1413"/>
      <c r="AH44" s="1413"/>
      <c r="AI44" s="1413"/>
      <c r="AJ44" s="1413"/>
      <c r="AK44" s="1413"/>
      <c r="AL44" s="1413"/>
      <c r="AM44" s="1413"/>
      <c r="AN44" s="1413"/>
      <c r="AO44" s="1413"/>
      <c r="AP44" s="1413"/>
      <c r="AQ44" s="1413"/>
      <c r="AR44" s="1413"/>
      <c r="AS44" s="1413"/>
      <c r="AT44" s="1413"/>
      <c r="AU44" s="1413"/>
      <c r="AV44" s="1413"/>
      <c r="AW44" s="1413"/>
      <c r="AX44" s="1413"/>
      <c r="AY44" s="1413"/>
      <c r="AZ44" s="1413"/>
      <c r="BA44" s="1413"/>
      <c r="BB44" s="1413"/>
      <c r="BC44" s="1413"/>
      <c r="BD44" s="1413"/>
      <c r="BE44" s="1413"/>
      <c r="BF44" s="1413"/>
      <c r="BG44" s="1413"/>
      <c r="BH44" s="1413"/>
      <c r="BI44" s="1413"/>
      <c r="BJ44" s="1413"/>
      <c r="BK44" s="1413"/>
      <c r="BL44" s="1413"/>
      <c r="BM44" s="1413"/>
      <c r="BN44" s="1413"/>
      <c r="BO44" s="1413"/>
      <c r="BP44" s="1413"/>
      <c r="BQ44" s="1413"/>
      <c r="BR44" s="1413"/>
      <c r="BS44" s="1413"/>
      <c r="BT44" s="1413"/>
      <c r="BU44" s="1413"/>
      <c r="BV44" s="1413"/>
      <c r="BW44" s="1413"/>
      <c r="BX44" s="1413"/>
      <c r="BY44" s="1413"/>
      <c r="BZ44" s="1413"/>
      <c r="CA44" s="1413"/>
      <c r="CB44" s="1413"/>
      <c r="CC44" s="1413"/>
      <c r="CD44" s="1413"/>
      <c r="CE44" s="1413"/>
      <c r="CF44" s="1413"/>
      <c r="CG44" s="1413"/>
      <c r="CH44" s="1413"/>
      <c r="CI44" s="1413"/>
      <c r="CJ44" s="1413"/>
      <c r="CK44" s="1413"/>
      <c r="CL44" s="1413"/>
      <c r="CM44" s="1413"/>
      <c r="CN44" s="1413"/>
      <c r="CO44" s="1413"/>
      <c r="CP44" s="1413"/>
      <c r="CQ44" s="1413"/>
      <c r="CR44" s="1413"/>
      <c r="CS44" s="1413"/>
      <c r="CT44" s="1413"/>
      <c r="CU44" s="1413"/>
      <c r="CV44" s="1413"/>
      <c r="CW44" s="1413"/>
      <c r="CX44" s="1413"/>
      <c r="CY44" s="1413"/>
      <c r="CZ44" s="1413"/>
      <c r="DA44" s="1413"/>
      <c r="DB44" s="1413"/>
      <c r="DC44" s="1413"/>
      <c r="DD44" s="1413"/>
      <c r="DE44" s="1413"/>
      <c r="DF44" s="1413"/>
      <c r="DG44" s="1413"/>
      <c r="DH44" s="1413"/>
      <c r="DI44" s="1413"/>
      <c r="DJ44" s="1413"/>
      <c r="DK44" s="1413"/>
      <c r="DL44" s="1413"/>
      <c r="DM44" s="1413"/>
      <c r="DN44" s="1413"/>
      <c r="DO44" s="1413"/>
      <c r="DP44" s="1413"/>
      <c r="DQ44" s="1413"/>
      <c r="DR44" s="1413"/>
      <c r="DS44" s="1413"/>
      <c r="DT44" s="1413"/>
      <c r="DU44" s="1413"/>
      <c r="DV44" s="1413"/>
      <c r="DW44" s="1413"/>
      <c r="DX44" s="1413"/>
      <c r="DY44" s="1413"/>
      <c r="DZ44" s="1413"/>
      <c r="EA44" s="1413"/>
      <c r="EB44" s="1413"/>
      <c r="EC44" s="1413"/>
      <c r="ED44" s="1413"/>
      <c r="EE44" s="1413"/>
      <c r="EF44" s="1413"/>
      <c r="EG44" s="1413"/>
      <c r="EH44" s="1413"/>
      <c r="EI44" s="1413"/>
      <c r="EJ44" s="1413"/>
      <c r="EK44" s="1413"/>
      <c r="EL44" s="1413"/>
      <c r="EM44" s="1413"/>
      <c r="EN44" s="1413"/>
      <c r="EO44" s="1413"/>
      <c r="EP44" s="1413"/>
      <c r="EQ44" s="1413"/>
      <c r="ER44" s="1413"/>
      <c r="ES44" s="1413"/>
      <c r="ET44" s="1413"/>
      <c r="EU44" s="1413"/>
      <c r="EV44" s="1413"/>
      <c r="EW44" s="1413"/>
      <c r="EX44" s="1413"/>
      <c r="EY44" s="1413"/>
      <c r="EZ44" s="1413"/>
      <c r="FA44" s="1413"/>
      <c r="FB44" s="1413"/>
      <c r="FC44" s="1413"/>
      <c r="FD44" s="1413"/>
      <c r="FE44" s="1413"/>
      <c r="FF44" s="1413"/>
      <c r="FG44" s="1413"/>
      <c r="FH44" s="1413"/>
      <c r="FI44" s="1413"/>
      <c r="FJ44" s="1413"/>
      <c r="FK44" s="1413"/>
      <c r="FL44" s="1413"/>
      <c r="FM44" s="1413"/>
      <c r="FN44" s="1413"/>
      <c r="FO44" s="1413"/>
      <c r="FP44" s="1413"/>
      <c r="FQ44" s="1413"/>
      <c r="FR44" s="1413"/>
      <c r="FS44" s="1413"/>
      <c r="FT44" s="1413"/>
      <c r="FU44" s="1413"/>
      <c r="FV44" s="1413"/>
      <c r="FW44" s="1413"/>
      <c r="FX44" s="1413"/>
      <c r="FY44" s="1413"/>
      <c r="FZ44" s="1413"/>
      <c r="GA44" s="1413"/>
      <c r="GB44" s="1413"/>
      <c r="GC44" s="1413"/>
      <c r="GD44" s="1413"/>
      <c r="GE44" s="1413"/>
      <c r="GF44" s="1413"/>
    </row>
    <row r="45" spans="2:189">
      <c r="C45" s="1413"/>
      <c r="D45" s="1413"/>
      <c r="E45" s="1413"/>
      <c r="F45" s="1413"/>
      <c r="G45" s="1413"/>
      <c r="H45" s="1413"/>
      <c r="I45" s="1413"/>
      <c r="J45" s="1413"/>
      <c r="K45" s="1413"/>
      <c r="L45" s="1413"/>
      <c r="M45" s="1413"/>
      <c r="N45" s="1413"/>
      <c r="O45" s="1413"/>
      <c r="P45" s="1413"/>
      <c r="Q45" s="1413"/>
      <c r="R45" s="1413"/>
      <c r="S45" s="1413"/>
      <c r="T45" s="1413"/>
      <c r="U45" s="1413"/>
      <c r="V45" s="1413"/>
      <c r="W45" s="1413"/>
      <c r="X45" s="1413"/>
      <c r="Y45" s="1413"/>
      <c r="Z45" s="1413"/>
      <c r="AA45" s="1413"/>
      <c r="AB45" s="1413"/>
      <c r="AC45" s="1413"/>
      <c r="AD45" s="1413"/>
      <c r="AE45" s="1413"/>
      <c r="AF45" s="1413"/>
      <c r="AG45" s="1413"/>
      <c r="AH45" s="1413"/>
      <c r="AI45" s="1413"/>
      <c r="AJ45" s="1413"/>
      <c r="AK45" s="1413"/>
      <c r="AL45" s="1413"/>
      <c r="AM45" s="1413"/>
      <c r="AN45" s="1413"/>
      <c r="AO45" s="1413"/>
      <c r="AP45" s="1413"/>
      <c r="AQ45" s="1413"/>
      <c r="AR45" s="1413"/>
      <c r="AS45" s="1413"/>
      <c r="AT45" s="1413"/>
      <c r="AU45" s="1413"/>
      <c r="AV45" s="1413"/>
      <c r="AW45" s="1413"/>
      <c r="AX45" s="1413"/>
      <c r="AY45" s="1413"/>
      <c r="AZ45" s="1413"/>
      <c r="BA45" s="1413"/>
      <c r="BB45" s="1413"/>
      <c r="BC45" s="1413"/>
      <c r="BD45" s="1413"/>
      <c r="BE45" s="1413"/>
      <c r="BF45" s="1413"/>
      <c r="BG45" s="1413"/>
      <c r="BH45" s="1413"/>
      <c r="BI45" s="1413"/>
      <c r="BJ45" s="1413"/>
      <c r="BK45" s="1413"/>
      <c r="BL45" s="1413"/>
      <c r="BM45" s="1413"/>
      <c r="BN45" s="1413"/>
      <c r="BO45" s="1413"/>
      <c r="BP45" s="1413"/>
      <c r="BQ45" s="1413"/>
      <c r="BR45" s="1413"/>
      <c r="BS45" s="1413"/>
      <c r="BT45" s="1413"/>
      <c r="BU45" s="1413"/>
      <c r="BV45" s="1413"/>
      <c r="BW45" s="1413"/>
      <c r="BX45" s="1413"/>
      <c r="BY45" s="1413"/>
      <c r="BZ45" s="1413"/>
      <c r="CA45" s="1413"/>
      <c r="CB45" s="1413"/>
      <c r="CC45" s="1413"/>
      <c r="CD45" s="1413"/>
      <c r="CE45" s="1413"/>
      <c r="CF45" s="1413"/>
      <c r="CG45" s="1413"/>
      <c r="CH45" s="1413"/>
      <c r="CI45" s="1413"/>
      <c r="CJ45" s="1413"/>
      <c r="CK45" s="1413"/>
      <c r="CL45" s="1413"/>
      <c r="CM45" s="1413"/>
      <c r="CN45" s="1413"/>
      <c r="CO45" s="1413"/>
      <c r="CP45" s="1413"/>
      <c r="CQ45" s="1413"/>
      <c r="CR45" s="1413"/>
      <c r="CS45" s="1413"/>
      <c r="CT45" s="1413"/>
      <c r="CU45" s="1413"/>
      <c r="CV45" s="1413"/>
      <c r="CW45" s="1413"/>
      <c r="CX45" s="1413"/>
      <c r="CY45" s="1413"/>
      <c r="CZ45" s="1413"/>
      <c r="DA45" s="1413"/>
      <c r="DB45" s="1413"/>
      <c r="DC45" s="1413"/>
      <c r="DD45" s="1413"/>
      <c r="DE45" s="1413"/>
      <c r="DF45" s="1413"/>
      <c r="DG45" s="1413"/>
      <c r="DH45" s="1413"/>
      <c r="DI45" s="1413"/>
      <c r="DJ45" s="1413"/>
      <c r="DK45" s="1413"/>
      <c r="DL45" s="1413"/>
      <c r="DM45" s="1413"/>
      <c r="DN45" s="1413"/>
      <c r="DO45" s="1413"/>
      <c r="DP45" s="1413"/>
      <c r="DQ45" s="1413"/>
      <c r="DR45" s="1413"/>
      <c r="DS45" s="1413"/>
      <c r="DT45" s="1413"/>
      <c r="DU45" s="1413"/>
      <c r="DV45" s="1413"/>
      <c r="DW45" s="1413"/>
      <c r="DX45" s="1413"/>
      <c r="DY45" s="1413"/>
      <c r="DZ45" s="1413"/>
      <c r="EA45" s="1413"/>
      <c r="EB45" s="1413"/>
      <c r="EC45" s="1413"/>
      <c r="ED45" s="1413"/>
      <c r="EE45" s="1413"/>
      <c r="EF45" s="1413"/>
      <c r="EG45" s="1413"/>
      <c r="EH45" s="1413"/>
      <c r="EI45" s="1413"/>
      <c r="EJ45" s="1413"/>
      <c r="EK45" s="1413"/>
      <c r="EL45" s="1413"/>
      <c r="EM45" s="1413"/>
      <c r="EN45" s="1413"/>
      <c r="EO45" s="1413"/>
      <c r="EP45" s="1413"/>
      <c r="EQ45" s="1413"/>
      <c r="ER45" s="1413"/>
      <c r="ES45" s="1413"/>
      <c r="ET45" s="1413"/>
      <c r="EU45" s="1413"/>
      <c r="EV45" s="1413"/>
      <c r="EW45" s="1413"/>
      <c r="EX45" s="1413"/>
      <c r="EY45" s="1413"/>
      <c r="EZ45" s="1413"/>
      <c r="FA45" s="1413"/>
      <c r="FB45" s="1413"/>
      <c r="FC45" s="1413"/>
      <c r="FD45" s="1413"/>
      <c r="FE45" s="1413"/>
      <c r="FF45" s="1413"/>
      <c r="FG45" s="1413"/>
      <c r="FH45" s="1413"/>
      <c r="FI45" s="1413"/>
      <c r="FJ45" s="1413"/>
      <c r="FK45" s="1413"/>
      <c r="FL45" s="1413"/>
      <c r="FM45" s="1413"/>
      <c r="FN45" s="1413"/>
      <c r="FO45" s="1413"/>
      <c r="FP45" s="1413"/>
      <c r="FQ45" s="1413"/>
      <c r="FR45" s="1413"/>
      <c r="FS45" s="1413"/>
      <c r="FT45" s="1413"/>
      <c r="FU45" s="1413"/>
      <c r="FV45" s="1413"/>
      <c r="FW45" s="1413"/>
      <c r="FX45" s="1413"/>
      <c r="FY45" s="1413"/>
      <c r="FZ45" s="1413"/>
      <c r="GA45" s="1413"/>
      <c r="GB45" s="1413"/>
      <c r="GC45" s="1413"/>
      <c r="GD45" s="1413"/>
      <c r="GE45" s="1413"/>
      <c r="GF45" s="1413"/>
    </row>
    <row r="46" spans="2:189" s="1357" customFormat="1">
      <c r="B46" s="1361">
        <v>43101</v>
      </c>
      <c r="C46" s="1411"/>
      <c r="D46" s="1411"/>
      <c r="E46" s="1411">
        <v>544779.59</v>
      </c>
      <c r="F46" s="1411"/>
      <c r="G46" s="1411">
        <v>544779.59</v>
      </c>
      <c r="H46" s="1411"/>
      <c r="I46" s="1411"/>
      <c r="J46" s="1411">
        <v>205129.38999999998</v>
      </c>
      <c r="K46" s="1411">
        <v>205129.38999999998</v>
      </c>
      <c r="L46" s="1411">
        <v>205129.38999999998</v>
      </c>
      <c r="M46" s="1411"/>
      <c r="N46" s="1411">
        <v>0</v>
      </c>
      <c r="O46" s="1411"/>
      <c r="P46" s="1411"/>
      <c r="Q46" s="1411">
        <v>0</v>
      </c>
      <c r="R46" s="1411"/>
      <c r="S46" s="1411"/>
      <c r="T46" s="1411"/>
      <c r="U46" s="1411">
        <v>0</v>
      </c>
      <c r="V46" s="1411">
        <v>0</v>
      </c>
      <c r="W46" s="1411">
        <v>0</v>
      </c>
      <c r="X46" s="1411"/>
      <c r="Y46" s="1411"/>
      <c r="Z46" s="1411">
        <v>0</v>
      </c>
      <c r="AA46" s="1411"/>
      <c r="AB46" s="1411"/>
      <c r="AC46" s="1411">
        <v>0</v>
      </c>
      <c r="AD46" s="1411"/>
      <c r="AE46" s="1411"/>
      <c r="AF46" s="1411"/>
      <c r="AG46" s="1411">
        <v>0</v>
      </c>
      <c r="AH46" s="1411"/>
      <c r="AI46" s="1411"/>
      <c r="AJ46" s="1411"/>
      <c r="AK46" s="1411"/>
      <c r="AL46" s="1411">
        <v>0</v>
      </c>
      <c r="AM46" s="1411"/>
      <c r="AN46" s="1411"/>
      <c r="AO46" s="1411"/>
      <c r="AP46" s="1411"/>
      <c r="AQ46" s="1411">
        <v>0</v>
      </c>
      <c r="AR46" s="1411">
        <v>0</v>
      </c>
      <c r="AS46" s="1411">
        <v>0</v>
      </c>
      <c r="AT46" s="1411">
        <v>0</v>
      </c>
      <c r="AU46" s="1411"/>
      <c r="AV46" s="1411"/>
      <c r="AW46" s="1411"/>
      <c r="AX46" s="1411"/>
      <c r="AY46" s="1411">
        <v>5379757.9699999997</v>
      </c>
      <c r="AZ46" s="1411">
        <v>0</v>
      </c>
      <c r="BA46" s="1411">
        <v>0</v>
      </c>
      <c r="BB46" s="1411"/>
      <c r="BC46" s="1411">
        <v>191391.25</v>
      </c>
      <c r="BD46" s="1411">
        <v>5188366.72</v>
      </c>
      <c r="BE46" s="1411">
        <v>0</v>
      </c>
      <c r="BF46" s="1411"/>
      <c r="BG46" s="1411"/>
      <c r="BH46" s="1411"/>
      <c r="BI46" s="1411"/>
      <c r="BJ46" s="1411"/>
      <c r="BK46" s="1411"/>
      <c r="BL46" s="1411">
        <v>0</v>
      </c>
      <c r="BM46" s="1411">
        <v>0</v>
      </c>
      <c r="BN46" s="1411"/>
      <c r="BO46" s="1411"/>
      <c r="BP46" s="1411"/>
      <c r="BQ46" s="1411"/>
      <c r="BR46" s="1411"/>
      <c r="BS46" s="1411"/>
      <c r="BT46" s="1411">
        <v>0</v>
      </c>
      <c r="BU46" s="1411">
        <v>0</v>
      </c>
      <c r="BV46" s="1411"/>
      <c r="BW46" s="1411"/>
      <c r="BX46" s="1411"/>
      <c r="BY46" s="1411"/>
      <c r="BZ46" s="1411">
        <v>0</v>
      </c>
      <c r="CA46" s="1411"/>
      <c r="CB46" s="1411"/>
      <c r="CC46" s="1411"/>
      <c r="CD46" s="1411"/>
      <c r="CE46" s="1411"/>
      <c r="CF46" s="1411"/>
      <c r="CG46" s="1411"/>
      <c r="CH46" s="1411"/>
      <c r="CI46" s="1411"/>
      <c r="CJ46" s="1411"/>
      <c r="CK46" s="1411"/>
      <c r="CL46" s="1411"/>
      <c r="CM46" s="1411"/>
      <c r="CN46" s="1411">
        <v>0</v>
      </c>
      <c r="CO46" s="1411">
        <v>0</v>
      </c>
      <c r="CP46" s="1411"/>
      <c r="CQ46" s="1411"/>
      <c r="CR46" s="1411"/>
      <c r="CS46" s="1411"/>
      <c r="CT46" s="1411"/>
      <c r="CU46" s="1411">
        <v>0</v>
      </c>
      <c r="CV46" s="1411"/>
      <c r="CW46" s="1411"/>
      <c r="CX46" s="1411"/>
      <c r="CY46" s="1411"/>
      <c r="CZ46" s="1411"/>
      <c r="DA46" s="1411"/>
      <c r="DB46" s="1411">
        <v>0</v>
      </c>
      <c r="DC46" s="1411"/>
      <c r="DD46" s="1411"/>
      <c r="DE46" s="1411"/>
      <c r="DF46" s="1411">
        <v>47251443.900000006</v>
      </c>
      <c r="DG46" s="1411">
        <v>0</v>
      </c>
      <c r="DH46" s="1411">
        <v>0</v>
      </c>
      <c r="DI46" s="1411"/>
      <c r="DJ46" s="1411"/>
      <c r="DK46" s="1411">
        <v>0</v>
      </c>
      <c r="DL46" s="1411"/>
      <c r="DM46" s="1411"/>
      <c r="DN46" s="1411">
        <v>0</v>
      </c>
      <c r="DO46" s="1411"/>
      <c r="DP46" s="1411"/>
      <c r="DQ46" s="1411">
        <v>47251443.900000006</v>
      </c>
      <c r="DR46" s="1411">
        <v>1461833.6509821659</v>
      </c>
      <c r="DS46" s="1411">
        <v>45789610.249017842</v>
      </c>
      <c r="DT46" s="1411"/>
      <c r="DU46" s="1411"/>
      <c r="DV46" s="1411">
        <v>0</v>
      </c>
      <c r="DW46" s="1411"/>
      <c r="DX46" s="1411"/>
      <c r="DY46" s="1411"/>
      <c r="DZ46" s="1411">
        <v>0</v>
      </c>
      <c r="EA46" s="1411">
        <v>0</v>
      </c>
      <c r="EB46" s="1411"/>
      <c r="EC46" s="1411"/>
      <c r="ED46" s="1411">
        <v>0</v>
      </c>
      <c r="EE46" s="1411"/>
      <c r="EF46" s="1411"/>
      <c r="EG46" s="1411">
        <v>0</v>
      </c>
      <c r="EH46" s="1411"/>
      <c r="EI46" s="1411"/>
      <c r="EJ46" s="1411"/>
      <c r="EK46" s="1411">
        <v>0</v>
      </c>
      <c r="EL46" s="1411"/>
      <c r="EM46" s="1411">
        <v>0</v>
      </c>
      <c r="EN46" s="1411"/>
      <c r="EO46" s="1411"/>
      <c r="EP46" s="1411"/>
      <c r="EQ46" s="1411">
        <v>0</v>
      </c>
      <c r="ER46" s="1411"/>
      <c r="ES46" s="1411"/>
      <c r="ET46" s="1411"/>
      <c r="EU46" s="1411">
        <v>0</v>
      </c>
      <c r="EV46" s="1411"/>
      <c r="EW46" s="1411"/>
      <c r="EX46" s="1411"/>
      <c r="EY46" s="1411"/>
      <c r="EZ46" s="1411">
        <v>0</v>
      </c>
      <c r="FA46" s="1411"/>
      <c r="FB46" s="1411">
        <v>0</v>
      </c>
      <c r="FC46" s="1411"/>
      <c r="FD46" s="1411"/>
      <c r="FE46" s="1411"/>
      <c r="FF46" s="1411">
        <v>0</v>
      </c>
      <c r="FG46" s="1411"/>
      <c r="FH46" s="1411"/>
      <c r="FI46" s="1411"/>
      <c r="FJ46" s="1411">
        <v>0</v>
      </c>
      <c r="FK46" s="1411"/>
      <c r="FL46" s="1411"/>
      <c r="FM46" s="1411"/>
      <c r="FN46" s="1411"/>
      <c r="FO46" s="1411">
        <v>0</v>
      </c>
      <c r="FP46" s="1411"/>
      <c r="FQ46" s="1411"/>
      <c r="FR46" s="1411"/>
      <c r="FS46" s="1411"/>
      <c r="FT46" s="1411"/>
      <c r="FU46" s="1411"/>
      <c r="FV46" s="1411"/>
      <c r="FW46" s="1411">
        <v>17786437.041444447</v>
      </c>
      <c r="FX46" s="1411">
        <v>17725469.400000002</v>
      </c>
      <c r="FY46" s="1411">
        <v>48501.011444444535</v>
      </c>
      <c r="FZ46" s="1411">
        <v>12466.630000000005</v>
      </c>
      <c r="GA46" s="1411"/>
      <c r="GB46" s="1411">
        <v>3680677.857915001</v>
      </c>
      <c r="GC46" s="1411"/>
      <c r="GD46" s="1411"/>
      <c r="GE46" s="1411"/>
      <c r="GF46" s="1411">
        <v>74848225.749359459</v>
      </c>
    </row>
    <row r="47" spans="2:189" s="1357" customFormat="1">
      <c r="B47" s="1361">
        <v>43132</v>
      </c>
      <c r="C47" s="1411"/>
      <c r="D47" s="1411"/>
      <c r="E47" s="1411">
        <v>542113.59</v>
      </c>
      <c r="F47" s="1411"/>
      <c r="G47" s="1411">
        <v>542113.59</v>
      </c>
      <c r="H47" s="1411"/>
      <c r="I47" s="1411"/>
      <c r="J47" s="1411">
        <v>205129.38999999998</v>
      </c>
      <c r="K47" s="1411">
        <v>205129.38999999998</v>
      </c>
      <c r="L47" s="1411">
        <v>205129.38999999998</v>
      </c>
      <c r="M47" s="1411"/>
      <c r="N47" s="1411">
        <v>0</v>
      </c>
      <c r="O47" s="1411"/>
      <c r="P47" s="1411"/>
      <c r="Q47" s="1411">
        <v>0</v>
      </c>
      <c r="R47" s="1411"/>
      <c r="S47" s="1411"/>
      <c r="T47" s="1411"/>
      <c r="U47" s="1411">
        <v>0</v>
      </c>
      <c r="V47" s="1411">
        <v>0</v>
      </c>
      <c r="W47" s="1411">
        <v>0</v>
      </c>
      <c r="X47" s="1411"/>
      <c r="Y47" s="1411"/>
      <c r="Z47" s="1411">
        <v>0</v>
      </c>
      <c r="AA47" s="1411"/>
      <c r="AB47" s="1411"/>
      <c r="AC47" s="1411">
        <v>0</v>
      </c>
      <c r="AD47" s="1411"/>
      <c r="AE47" s="1411"/>
      <c r="AF47" s="1411"/>
      <c r="AG47" s="1411">
        <v>0</v>
      </c>
      <c r="AH47" s="1411"/>
      <c r="AI47" s="1411"/>
      <c r="AJ47" s="1411"/>
      <c r="AK47" s="1411"/>
      <c r="AL47" s="1411">
        <v>0</v>
      </c>
      <c r="AM47" s="1411"/>
      <c r="AN47" s="1411"/>
      <c r="AO47" s="1411"/>
      <c r="AP47" s="1411"/>
      <c r="AQ47" s="1411">
        <v>0</v>
      </c>
      <c r="AR47" s="1411">
        <v>0</v>
      </c>
      <c r="AS47" s="1411">
        <v>0</v>
      </c>
      <c r="AT47" s="1411">
        <v>0</v>
      </c>
      <c r="AU47" s="1411"/>
      <c r="AV47" s="1411"/>
      <c r="AW47" s="1411"/>
      <c r="AX47" s="1411"/>
      <c r="AY47" s="1411">
        <v>5188366.72</v>
      </c>
      <c r="AZ47" s="1411">
        <v>0</v>
      </c>
      <c r="BA47" s="1411">
        <v>0</v>
      </c>
      <c r="BB47" s="1411"/>
      <c r="BC47" s="1411">
        <v>0</v>
      </c>
      <c r="BD47" s="1411">
        <v>5188366.72</v>
      </c>
      <c r="BE47" s="1411">
        <v>0</v>
      </c>
      <c r="BF47" s="1411"/>
      <c r="BG47" s="1411"/>
      <c r="BH47" s="1411"/>
      <c r="BI47" s="1411"/>
      <c r="BJ47" s="1411"/>
      <c r="BK47" s="1411"/>
      <c r="BL47" s="1411">
        <v>0</v>
      </c>
      <c r="BM47" s="1411">
        <v>0</v>
      </c>
      <c r="BN47" s="1411"/>
      <c r="BO47" s="1411"/>
      <c r="BP47" s="1411"/>
      <c r="BQ47" s="1411"/>
      <c r="BR47" s="1411"/>
      <c r="BS47" s="1411"/>
      <c r="BT47" s="1411">
        <v>0</v>
      </c>
      <c r="BU47" s="1411">
        <v>0</v>
      </c>
      <c r="BV47" s="1411"/>
      <c r="BW47" s="1411"/>
      <c r="BX47" s="1411"/>
      <c r="BY47" s="1411"/>
      <c r="BZ47" s="1411">
        <v>0</v>
      </c>
      <c r="CA47" s="1411"/>
      <c r="CB47" s="1411"/>
      <c r="CC47" s="1411"/>
      <c r="CD47" s="1411"/>
      <c r="CE47" s="1411"/>
      <c r="CF47" s="1411"/>
      <c r="CG47" s="1411"/>
      <c r="CH47" s="1411"/>
      <c r="CI47" s="1411"/>
      <c r="CJ47" s="1411"/>
      <c r="CK47" s="1411"/>
      <c r="CL47" s="1411"/>
      <c r="CM47" s="1411"/>
      <c r="CN47" s="1411">
        <v>0</v>
      </c>
      <c r="CO47" s="1411">
        <v>0</v>
      </c>
      <c r="CP47" s="1411"/>
      <c r="CQ47" s="1411"/>
      <c r="CR47" s="1411"/>
      <c r="CS47" s="1411"/>
      <c r="CT47" s="1411"/>
      <c r="CU47" s="1411">
        <v>0</v>
      </c>
      <c r="CV47" s="1411"/>
      <c r="CW47" s="1411"/>
      <c r="CX47" s="1411"/>
      <c r="CY47" s="1411"/>
      <c r="CZ47" s="1411"/>
      <c r="DA47" s="1411"/>
      <c r="DB47" s="1411">
        <v>0</v>
      </c>
      <c r="DC47" s="1411"/>
      <c r="DD47" s="1411"/>
      <c r="DE47" s="1411"/>
      <c r="DF47" s="1411">
        <v>47442835.150000006</v>
      </c>
      <c r="DG47" s="1411">
        <v>0</v>
      </c>
      <c r="DH47" s="1411">
        <v>0</v>
      </c>
      <c r="DI47" s="1411"/>
      <c r="DJ47" s="1411"/>
      <c r="DK47" s="1411">
        <v>0</v>
      </c>
      <c r="DL47" s="1411"/>
      <c r="DM47" s="1411"/>
      <c r="DN47" s="1411">
        <v>0</v>
      </c>
      <c r="DO47" s="1411"/>
      <c r="DP47" s="1411"/>
      <c r="DQ47" s="1411">
        <v>47442835.150000006</v>
      </c>
      <c r="DR47" s="1411">
        <v>1461833.6509821659</v>
      </c>
      <c r="DS47" s="1411">
        <v>45981001.499017842</v>
      </c>
      <c r="DT47" s="1411"/>
      <c r="DU47" s="1411"/>
      <c r="DV47" s="1411">
        <v>0</v>
      </c>
      <c r="DW47" s="1411"/>
      <c r="DX47" s="1411"/>
      <c r="DY47" s="1411"/>
      <c r="DZ47" s="1411">
        <v>0</v>
      </c>
      <c r="EA47" s="1411">
        <v>0</v>
      </c>
      <c r="EB47" s="1411"/>
      <c r="EC47" s="1411"/>
      <c r="ED47" s="1411">
        <v>0</v>
      </c>
      <c r="EE47" s="1411"/>
      <c r="EF47" s="1411"/>
      <c r="EG47" s="1411">
        <v>0</v>
      </c>
      <c r="EH47" s="1411"/>
      <c r="EI47" s="1411"/>
      <c r="EJ47" s="1411"/>
      <c r="EK47" s="1411">
        <v>0</v>
      </c>
      <c r="EL47" s="1411"/>
      <c r="EM47" s="1411">
        <v>0</v>
      </c>
      <c r="EN47" s="1411"/>
      <c r="EO47" s="1411"/>
      <c r="EP47" s="1411"/>
      <c r="EQ47" s="1411">
        <v>0</v>
      </c>
      <c r="ER47" s="1411"/>
      <c r="ES47" s="1411"/>
      <c r="ET47" s="1411"/>
      <c r="EU47" s="1411">
        <v>0</v>
      </c>
      <c r="EV47" s="1411"/>
      <c r="EW47" s="1411"/>
      <c r="EX47" s="1411"/>
      <c r="EY47" s="1411"/>
      <c r="EZ47" s="1411">
        <v>0</v>
      </c>
      <c r="FA47" s="1411"/>
      <c r="FB47" s="1411">
        <v>0</v>
      </c>
      <c r="FC47" s="1411"/>
      <c r="FD47" s="1411"/>
      <c r="FE47" s="1411"/>
      <c r="FF47" s="1411">
        <v>0</v>
      </c>
      <c r="FG47" s="1411"/>
      <c r="FH47" s="1411"/>
      <c r="FI47" s="1411"/>
      <c r="FJ47" s="1411">
        <v>0</v>
      </c>
      <c r="FK47" s="1411"/>
      <c r="FL47" s="1411"/>
      <c r="FM47" s="1411"/>
      <c r="FN47" s="1411"/>
      <c r="FO47" s="1411">
        <v>0</v>
      </c>
      <c r="FP47" s="1411"/>
      <c r="FQ47" s="1411"/>
      <c r="FR47" s="1411"/>
      <c r="FS47" s="1411"/>
      <c r="FT47" s="1411"/>
      <c r="FU47" s="1411"/>
      <c r="FV47" s="1411"/>
      <c r="FW47" s="1411">
        <v>17786437.041444447</v>
      </c>
      <c r="FX47" s="1411">
        <v>17725469.400000002</v>
      </c>
      <c r="FY47" s="1411">
        <v>48501.011444444535</v>
      </c>
      <c r="FZ47" s="1411">
        <v>12466.630000000005</v>
      </c>
      <c r="GA47" s="1411"/>
      <c r="GB47" s="1411">
        <v>3873826.857915001</v>
      </c>
      <c r="GC47" s="1411"/>
      <c r="GD47" s="1411"/>
      <c r="GE47" s="1411"/>
      <c r="GF47" s="1411">
        <v>75038708.749359459</v>
      </c>
    </row>
    <row r="48" spans="2:189" s="1357" customFormat="1">
      <c r="B48" s="1361">
        <v>43160</v>
      </c>
      <c r="C48" s="1411">
        <v>71768.390000000014</v>
      </c>
      <c r="D48" s="1411"/>
      <c r="E48" s="1411">
        <v>635486.38</v>
      </c>
      <c r="F48" s="1411"/>
      <c r="G48" s="1411">
        <v>635486.38</v>
      </c>
      <c r="H48" s="1411"/>
      <c r="I48" s="1411"/>
      <c r="J48" s="1411">
        <v>0</v>
      </c>
      <c r="K48" s="1411">
        <v>0</v>
      </c>
      <c r="L48" s="1411">
        <v>0</v>
      </c>
      <c r="M48" s="1411"/>
      <c r="N48" s="1411">
        <v>0</v>
      </c>
      <c r="O48" s="1411"/>
      <c r="P48" s="1411"/>
      <c r="Q48" s="1411">
        <v>0</v>
      </c>
      <c r="R48" s="1411"/>
      <c r="S48" s="1411"/>
      <c r="T48" s="1411"/>
      <c r="U48" s="1411">
        <v>0</v>
      </c>
      <c r="V48" s="1411">
        <v>0</v>
      </c>
      <c r="W48" s="1411">
        <v>0</v>
      </c>
      <c r="X48" s="1411"/>
      <c r="Y48" s="1411"/>
      <c r="Z48" s="1411">
        <v>0</v>
      </c>
      <c r="AA48" s="1411"/>
      <c r="AB48" s="1411"/>
      <c r="AC48" s="1411">
        <v>0</v>
      </c>
      <c r="AD48" s="1411"/>
      <c r="AE48" s="1411"/>
      <c r="AF48" s="1411"/>
      <c r="AG48" s="1411">
        <v>0</v>
      </c>
      <c r="AH48" s="1411"/>
      <c r="AI48" s="1411"/>
      <c r="AJ48" s="1411"/>
      <c r="AK48" s="1411"/>
      <c r="AL48" s="1411">
        <v>0</v>
      </c>
      <c r="AM48" s="1411"/>
      <c r="AN48" s="1411"/>
      <c r="AO48" s="1411"/>
      <c r="AP48" s="1411"/>
      <c r="AQ48" s="1411">
        <v>3361</v>
      </c>
      <c r="AR48" s="1411">
        <v>0</v>
      </c>
      <c r="AS48" s="1411">
        <v>3361</v>
      </c>
      <c r="AT48" s="1411">
        <v>3361</v>
      </c>
      <c r="AU48" s="1411"/>
      <c r="AV48" s="1411"/>
      <c r="AW48" s="1411"/>
      <c r="AX48" s="1411"/>
      <c r="AY48" s="1411">
        <v>5188366.72</v>
      </c>
      <c r="AZ48" s="1411">
        <v>0</v>
      </c>
      <c r="BA48" s="1411">
        <v>0</v>
      </c>
      <c r="BB48" s="1411"/>
      <c r="BC48" s="1411">
        <v>0</v>
      </c>
      <c r="BD48" s="1411">
        <v>5188366.72</v>
      </c>
      <c r="BE48" s="1411">
        <v>0</v>
      </c>
      <c r="BF48" s="1411"/>
      <c r="BG48" s="1411"/>
      <c r="BH48" s="1411"/>
      <c r="BI48" s="1411"/>
      <c r="BJ48" s="1411"/>
      <c r="BK48" s="1411"/>
      <c r="BL48" s="1411">
        <v>0</v>
      </c>
      <c r="BM48" s="1411">
        <v>0</v>
      </c>
      <c r="BN48" s="1411"/>
      <c r="BO48" s="1411"/>
      <c r="BP48" s="1411"/>
      <c r="BQ48" s="1411"/>
      <c r="BR48" s="1411"/>
      <c r="BS48" s="1411"/>
      <c r="BT48" s="1411">
        <v>0</v>
      </c>
      <c r="BU48" s="1411">
        <v>0</v>
      </c>
      <c r="BV48" s="1411"/>
      <c r="BW48" s="1411"/>
      <c r="BX48" s="1411"/>
      <c r="BY48" s="1411"/>
      <c r="BZ48" s="1411">
        <v>0</v>
      </c>
      <c r="CA48" s="1411"/>
      <c r="CB48" s="1411"/>
      <c r="CC48" s="1411"/>
      <c r="CD48" s="1411"/>
      <c r="CE48" s="1411"/>
      <c r="CF48" s="1411"/>
      <c r="CG48" s="1411"/>
      <c r="CH48" s="1411"/>
      <c r="CI48" s="1411"/>
      <c r="CJ48" s="1411"/>
      <c r="CK48" s="1411"/>
      <c r="CL48" s="1411"/>
      <c r="CM48" s="1411"/>
      <c r="CN48" s="1411">
        <v>0</v>
      </c>
      <c r="CO48" s="1411">
        <v>0</v>
      </c>
      <c r="CP48" s="1411"/>
      <c r="CQ48" s="1411"/>
      <c r="CR48" s="1411"/>
      <c r="CS48" s="1411"/>
      <c r="CT48" s="1411"/>
      <c r="CU48" s="1411">
        <v>0</v>
      </c>
      <c r="CV48" s="1411"/>
      <c r="CW48" s="1411"/>
      <c r="CX48" s="1411"/>
      <c r="CY48" s="1411"/>
      <c r="CZ48" s="1411"/>
      <c r="DA48" s="1411"/>
      <c r="DB48" s="1411">
        <v>0</v>
      </c>
      <c r="DC48" s="1411"/>
      <c r="DD48" s="1411"/>
      <c r="DE48" s="1411"/>
      <c r="DF48" s="1411">
        <v>47442835.150000006</v>
      </c>
      <c r="DG48" s="1411">
        <v>0</v>
      </c>
      <c r="DH48" s="1411">
        <v>0</v>
      </c>
      <c r="DI48" s="1411"/>
      <c r="DJ48" s="1411"/>
      <c r="DK48" s="1411">
        <v>0</v>
      </c>
      <c r="DL48" s="1411"/>
      <c r="DM48" s="1411"/>
      <c r="DN48" s="1411">
        <v>0</v>
      </c>
      <c r="DO48" s="1411"/>
      <c r="DP48" s="1411"/>
      <c r="DQ48" s="1411">
        <v>47442835.150000006</v>
      </c>
      <c r="DR48" s="1411">
        <v>1461833.6509821659</v>
      </c>
      <c r="DS48" s="1411">
        <v>45981001.499017842</v>
      </c>
      <c r="DT48" s="1411"/>
      <c r="DU48" s="1411"/>
      <c r="DV48" s="1411">
        <v>0</v>
      </c>
      <c r="DW48" s="1411"/>
      <c r="DX48" s="1411"/>
      <c r="DY48" s="1411"/>
      <c r="DZ48" s="1411">
        <v>0</v>
      </c>
      <c r="EA48" s="1411">
        <v>0</v>
      </c>
      <c r="EB48" s="1411"/>
      <c r="EC48" s="1411"/>
      <c r="ED48" s="1411">
        <v>0</v>
      </c>
      <c r="EE48" s="1411"/>
      <c r="EF48" s="1411"/>
      <c r="EG48" s="1411">
        <v>0</v>
      </c>
      <c r="EH48" s="1411"/>
      <c r="EI48" s="1411"/>
      <c r="EJ48" s="1411"/>
      <c r="EK48" s="1411">
        <v>0</v>
      </c>
      <c r="EL48" s="1411"/>
      <c r="EM48" s="1411">
        <v>0</v>
      </c>
      <c r="EN48" s="1411"/>
      <c r="EO48" s="1411"/>
      <c r="EP48" s="1411"/>
      <c r="EQ48" s="1411">
        <v>0</v>
      </c>
      <c r="ER48" s="1411"/>
      <c r="ES48" s="1411"/>
      <c r="ET48" s="1411"/>
      <c r="EU48" s="1411">
        <v>0</v>
      </c>
      <c r="EV48" s="1411"/>
      <c r="EW48" s="1411"/>
      <c r="EX48" s="1411"/>
      <c r="EY48" s="1411"/>
      <c r="EZ48" s="1411">
        <v>0</v>
      </c>
      <c r="FA48" s="1411"/>
      <c r="FB48" s="1411">
        <v>0</v>
      </c>
      <c r="FC48" s="1411"/>
      <c r="FD48" s="1411"/>
      <c r="FE48" s="1411"/>
      <c r="FF48" s="1411">
        <v>0</v>
      </c>
      <c r="FG48" s="1411"/>
      <c r="FH48" s="1411"/>
      <c r="FI48" s="1411"/>
      <c r="FJ48" s="1411">
        <v>0</v>
      </c>
      <c r="FK48" s="1411"/>
      <c r="FL48" s="1411"/>
      <c r="FM48" s="1411"/>
      <c r="FN48" s="1411"/>
      <c r="FO48" s="1411">
        <v>0</v>
      </c>
      <c r="FP48" s="1411"/>
      <c r="FQ48" s="1411"/>
      <c r="FR48" s="1411"/>
      <c r="FS48" s="1411"/>
      <c r="FT48" s="1411"/>
      <c r="FU48" s="1411"/>
      <c r="FV48" s="1411"/>
      <c r="FW48" s="1411">
        <v>17786437.041444447</v>
      </c>
      <c r="FX48" s="1411">
        <v>17725469.400000002</v>
      </c>
      <c r="FY48" s="1411">
        <v>48501.011444444535</v>
      </c>
      <c r="FZ48" s="1411">
        <v>12466.630000000005</v>
      </c>
      <c r="GA48" s="1411"/>
      <c r="GB48" s="1411">
        <v>3800538.857915001</v>
      </c>
      <c r="GC48" s="1411"/>
      <c r="GD48" s="1411"/>
      <c r="GE48" s="1411"/>
      <c r="GF48" s="1411">
        <v>74928793.53935945</v>
      </c>
    </row>
    <row r="49" spans="2:190" s="1357" customFormat="1">
      <c r="B49" s="1361">
        <v>43191</v>
      </c>
      <c r="C49" s="1411">
        <v>71768.390000000014</v>
      </c>
      <c r="D49" s="1411"/>
      <c r="E49" s="1411">
        <v>823496.99</v>
      </c>
      <c r="F49" s="1411"/>
      <c r="G49" s="1411">
        <v>823496.99</v>
      </c>
      <c r="H49" s="1411"/>
      <c r="I49" s="1411"/>
      <c r="J49" s="1411">
        <v>0</v>
      </c>
      <c r="K49" s="1411">
        <v>0</v>
      </c>
      <c r="L49" s="1411">
        <v>0</v>
      </c>
      <c r="M49" s="1411"/>
      <c r="N49" s="1411">
        <v>0</v>
      </c>
      <c r="O49" s="1411"/>
      <c r="P49" s="1411"/>
      <c r="Q49" s="1411">
        <v>0</v>
      </c>
      <c r="R49" s="1411"/>
      <c r="S49" s="1411"/>
      <c r="T49" s="1411"/>
      <c r="U49" s="1411">
        <v>0</v>
      </c>
      <c r="V49" s="1411">
        <v>0</v>
      </c>
      <c r="W49" s="1411">
        <v>0</v>
      </c>
      <c r="X49" s="1411"/>
      <c r="Y49" s="1411"/>
      <c r="Z49" s="1411">
        <v>0</v>
      </c>
      <c r="AA49" s="1411"/>
      <c r="AB49" s="1411"/>
      <c r="AC49" s="1411">
        <v>0</v>
      </c>
      <c r="AD49" s="1411"/>
      <c r="AE49" s="1411"/>
      <c r="AF49" s="1411"/>
      <c r="AG49" s="1411">
        <v>0</v>
      </c>
      <c r="AH49" s="1411"/>
      <c r="AI49" s="1411"/>
      <c r="AJ49" s="1411"/>
      <c r="AK49" s="1411"/>
      <c r="AL49" s="1411">
        <v>0</v>
      </c>
      <c r="AM49" s="1411"/>
      <c r="AN49" s="1411"/>
      <c r="AO49" s="1411"/>
      <c r="AP49" s="1411"/>
      <c r="AQ49" s="1411">
        <v>3361</v>
      </c>
      <c r="AR49" s="1411">
        <v>0</v>
      </c>
      <c r="AS49" s="1411">
        <v>3361</v>
      </c>
      <c r="AT49" s="1411">
        <v>3361</v>
      </c>
      <c r="AU49" s="1411"/>
      <c r="AV49" s="1411"/>
      <c r="AW49" s="1411"/>
      <c r="AX49" s="1411"/>
      <c r="AY49" s="1411">
        <v>5188366.72</v>
      </c>
      <c r="AZ49" s="1411">
        <v>0</v>
      </c>
      <c r="BA49" s="1411">
        <v>0</v>
      </c>
      <c r="BB49" s="1411"/>
      <c r="BC49" s="1411">
        <v>0</v>
      </c>
      <c r="BD49" s="1411">
        <v>5188366.72</v>
      </c>
      <c r="BE49" s="1411">
        <v>0</v>
      </c>
      <c r="BF49" s="1411"/>
      <c r="BG49" s="1411"/>
      <c r="BH49" s="1411"/>
      <c r="BI49" s="1411"/>
      <c r="BJ49" s="1411"/>
      <c r="BK49" s="1411"/>
      <c r="BL49" s="1411">
        <v>0</v>
      </c>
      <c r="BM49" s="1411">
        <v>0</v>
      </c>
      <c r="BN49" s="1411"/>
      <c r="BO49" s="1411"/>
      <c r="BP49" s="1411"/>
      <c r="BQ49" s="1411"/>
      <c r="BR49" s="1411"/>
      <c r="BS49" s="1411"/>
      <c r="BT49" s="1411">
        <v>0</v>
      </c>
      <c r="BU49" s="1411">
        <v>0</v>
      </c>
      <c r="BV49" s="1411"/>
      <c r="BW49" s="1411"/>
      <c r="BX49" s="1411"/>
      <c r="BY49" s="1411"/>
      <c r="BZ49" s="1411">
        <v>0</v>
      </c>
      <c r="CA49" s="1411"/>
      <c r="CB49" s="1411"/>
      <c r="CC49" s="1411"/>
      <c r="CD49" s="1411"/>
      <c r="CE49" s="1411"/>
      <c r="CF49" s="1411"/>
      <c r="CG49" s="1411"/>
      <c r="CH49" s="1411"/>
      <c r="CI49" s="1411"/>
      <c r="CJ49" s="1411"/>
      <c r="CK49" s="1411"/>
      <c r="CL49" s="1411"/>
      <c r="CM49" s="1411"/>
      <c r="CN49" s="1411">
        <v>0</v>
      </c>
      <c r="CO49" s="1411">
        <v>0</v>
      </c>
      <c r="CP49" s="1411"/>
      <c r="CQ49" s="1411"/>
      <c r="CR49" s="1411"/>
      <c r="CS49" s="1411"/>
      <c r="CT49" s="1411"/>
      <c r="CU49" s="1411">
        <v>0</v>
      </c>
      <c r="CV49" s="1411"/>
      <c r="CW49" s="1411"/>
      <c r="CX49" s="1411"/>
      <c r="CY49" s="1411"/>
      <c r="CZ49" s="1411"/>
      <c r="DA49" s="1411"/>
      <c r="DB49" s="1411">
        <v>0</v>
      </c>
      <c r="DC49" s="1411"/>
      <c r="DD49" s="1411"/>
      <c r="DE49" s="1411"/>
      <c r="DF49" s="1411">
        <v>47442835.150000006</v>
      </c>
      <c r="DG49" s="1411">
        <v>0</v>
      </c>
      <c r="DH49" s="1411">
        <v>0</v>
      </c>
      <c r="DI49" s="1411"/>
      <c r="DJ49" s="1411"/>
      <c r="DK49" s="1411">
        <v>0</v>
      </c>
      <c r="DL49" s="1411"/>
      <c r="DM49" s="1411"/>
      <c r="DN49" s="1411">
        <v>0</v>
      </c>
      <c r="DO49" s="1411"/>
      <c r="DP49" s="1411"/>
      <c r="DQ49" s="1411">
        <v>47442835.150000006</v>
      </c>
      <c r="DR49" s="1411">
        <v>1461833.6509821659</v>
      </c>
      <c r="DS49" s="1411">
        <v>45981001.499017842</v>
      </c>
      <c r="DT49" s="1411"/>
      <c r="DU49" s="1411"/>
      <c r="DV49" s="1411">
        <v>0</v>
      </c>
      <c r="DW49" s="1411"/>
      <c r="DX49" s="1411"/>
      <c r="DY49" s="1411"/>
      <c r="DZ49" s="1411">
        <v>0</v>
      </c>
      <c r="EA49" s="1411">
        <v>0</v>
      </c>
      <c r="EB49" s="1411"/>
      <c r="EC49" s="1411"/>
      <c r="ED49" s="1411">
        <v>0</v>
      </c>
      <c r="EE49" s="1411"/>
      <c r="EF49" s="1411"/>
      <c r="EG49" s="1411">
        <v>0</v>
      </c>
      <c r="EH49" s="1411"/>
      <c r="EI49" s="1411"/>
      <c r="EJ49" s="1411"/>
      <c r="EK49" s="1411">
        <v>0</v>
      </c>
      <c r="EL49" s="1411"/>
      <c r="EM49" s="1411">
        <v>0</v>
      </c>
      <c r="EN49" s="1411"/>
      <c r="EO49" s="1411"/>
      <c r="EP49" s="1411"/>
      <c r="EQ49" s="1411">
        <v>0</v>
      </c>
      <c r="ER49" s="1411"/>
      <c r="ES49" s="1411"/>
      <c r="ET49" s="1411"/>
      <c r="EU49" s="1411">
        <v>0</v>
      </c>
      <c r="EV49" s="1411"/>
      <c r="EW49" s="1411"/>
      <c r="EX49" s="1411"/>
      <c r="EY49" s="1411"/>
      <c r="EZ49" s="1411">
        <v>0</v>
      </c>
      <c r="FA49" s="1411"/>
      <c r="FB49" s="1411">
        <v>0</v>
      </c>
      <c r="FC49" s="1411"/>
      <c r="FD49" s="1411"/>
      <c r="FE49" s="1411"/>
      <c r="FF49" s="1411">
        <v>0</v>
      </c>
      <c r="FG49" s="1411"/>
      <c r="FH49" s="1411"/>
      <c r="FI49" s="1411"/>
      <c r="FJ49" s="1411">
        <v>0</v>
      </c>
      <c r="FK49" s="1411"/>
      <c r="FL49" s="1411"/>
      <c r="FM49" s="1411"/>
      <c r="FN49" s="1411"/>
      <c r="FO49" s="1411">
        <v>0</v>
      </c>
      <c r="FP49" s="1411"/>
      <c r="FQ49" s="1411"/>
      <c r="FR49" s="1411"/>
      <c r="FS49" s="1411"/>
      <c r="FT49" s="1411"/>
      <c r="FU49" s="1411"/>
      <c r="FV49" s="1411"/>
      <c r="FW49" s="1411">
        <v>17778142.481444445</v>
      </c>
      <c r="FX49" s="1411">
        <v>17725469.400000002</v>
      </c>
      <c r="FY49" s="1411">
        <v>45949.451444444494</v>
      </c>
      <c r="FZ49" s="1411">
        <v>6723.6299999999992</v>
      </c>
      <c r="GA49" s="1411"/>
      <c r="GB49" s="1411">
        <v>3653828.857915001</v>
      </c>
      <c r="GC49" s="1411"/>
      <c r="GD49" s="1411"/>
      <c r="GE49" s="1411"/>
      <c r="GF49" s="1411">
        <v>74961799.589359447</v>
      </c>
    </row>
    <row r="50" spans="2:190" s="1357" customFormat="1">
      <c r="B50" s="1361">
        <v>43221</v>
      </c>
      <c r="C50" s="1409">
        <v>0</v>
      </c>
      <c r="D50" s="1409"/>
      <c r="E50" s="1409">
        <v>3443502.54</v>
      </c>
      <c r="F50" s="1409"/>
      <c r="G50" s="1409">
        <v>3443502.54</v>
      </c>
      <c r="H50" s="1409"/>
      <c r="I50" s="1409"/>
      <c r="J50" s="1409">
        <v>73740.390000000014</v>
      </c>
      <c r="K50" s="1409">
        <v>73740.390000000014</v>
      </c>
      <c r="L50" s="1409">
        <v>73740.390000000014</v>
      </c>
      <c r="M50" s="1409"/>
      <c r="N50" s="1409">
        <v>0</v>
      </c>
      <c r="O50" s="1409"/>
      <c r="P50" s="1409"/>
      <c r="Q50" s="1409">
        <v>0</v>
      </c>
      <c r="R50" s="1409"/>
      <c r="S50" s="1409"/>
      <c r="T50" s="1409"/>
      <c r="U50" s="1409">
        <v>0</v>
      </c>
      <c r="V50" s="1409">
        <v>0</v>
      </c>
      <c r="W50" s="1409">
        <v>0</v>
      </c>
      <c r="X50" s="1409"/>
      <c r="Y50" s="1409"/>
      <c r="Z50" s="1409">
        <v>0</v>
      </c>
      <c r="AA50" s="1409"/>
      <c r="AB50" s="1409"/>
      <c r="AC50" s="1409">
        <v>0</v>
      </c>
      <c r="AD50" s="1409"/>
      <c r="AE50" s="1409"/>
      <c r="AF50" s="1409"/>
      <c r="AG50" s="1409">
        <v>0</v>
      </c>
      <c r="AH50" s="1409"/>
      <c r="AI50" s="1409"/>
      <c r="AJ50" s="1409"/>
      <c r="AK50" s="1409"/>
      <c r="AL50" s="1409">
        <v>0</v>
      </c>
      <c r="AM50" s="1409"/>
      <c r="AN50" s="1409"/>
      <c r="AO50" s="1409"/>
      <c r="AP50" s="1409"/>
      <c r="AQ50" s="1409">
        <v>1389</v>
      </c>
      <c r="AR50" s="1409">
        <v>0</v>
      </c>
      <c r="AS50" s="1409">
        <v>1389</v>
      </c>
      <c r="AT50" s="1409">
        <v>1389</v>
      </c>
      <c r="AU50" s="1409"/>
      <c r="AV50" s="1409"/>
      <c r="AW50" s="1409"/>
      <c r="AX50" s="1409"/>
      <c r="AY50" s="1409">
        <v>5188366.72</v>
      </c>
      <c r="AZ50" s="1409">
        <v>0</v>
      </c>
      <c r="BA50" s="1409">
        <v>0</v>
      </c>
      <c r="BB50" s="1409"/>
      <c r="BC50" s="1409">
        <v>0</v>
      </c>
      <c r="BD50" s="1409">
        <v>5188366.72</v>
      </c>
      <c r="BE50" s="1409">
        <v>0</v>
      </c>
      <c r="BF50" s="1409"/>
      <c r="BG50" s="1409"/>
      <c r="BH50" s="1409"/>
      <c r="BI50" s="1409"/>
      <c r="BJ50" s="1409"/>
      <c r="BK50" s="1409"/>
      <c r="BL50" s="1409">
        <v>0</v>
      </c>
      <c r="BM50" s="1409">
        <v>0</v>
      </c>
      <c r="BN50" s="1409"/>
      <c r="BO50" s="1409"/>
      <c r="BP50" s="1409"/>
      <c r="BQ50" s="1409"/>
      <c r="BR50" s="1409"/>
      <c r="BS50" s="1409"/>
      <c r="BT50" s="1409">
        <v>0</v>
      </c>
      <c r="BU50" s="1409">
        <v>0</v>
      </c>
      <c r="BV50" s="1409"/>
      <c r="BW50" s="1409"/>
      <c r="BX50" s="1409"/>
      <c r="BY50" s="1409"/>
      <c r="BZ50" s="1409">
        <v>0</v>
      </c>
      <c r="CA50" s="1409"/>
      <c r="CB50" s="1409"/>
      <c r="CC50" s="1409"/>
      <c r="CD50" s="1409"/>
      <c r="CE50" s="1409"/>
      <c r="CF50" s="1409"/>
      <c r="CG50" s="1409"/>
      <c r="CH50" s="1409"/>
      <c r="CI50" s="1409"/>
      <c r="CJ50" s="1409"/>
      <c r="CK50" s="1409"/>
      <c r="CL50" s="1409"/>
      <c r="CM50" s="1409"/>
      <c r="CN50" s="1409">
        <v>0</v>
      </c>
      <c r="CO50" s="1409">
        <v>0</v>
      </c>
      <c r="CP50" s="1409"/>
      <c r="CQ50" s="1409"/>
      <c r="CR50" s="1409"/>
      <c r="CS50" s="1409"/>
      <c r="CT50" s="1409"/>
      <c r="CU50" s="1409">
        <v>0</v>
      </c>
      <c r="CV50" s="1409"/>
      <c r="CW50" s="1409"/>
      <c r="CX50" s="1409"/>
      <c r="CY50" s="1409"/>
      <c r="CZ50" s="1409"/>
      <c r="DA50" s="1409"/>
      <c r="DB50" s="1409">
        <v>0</v>
      </c>
      <c r="DC50" s="1409"/>
      <c r="DD50" s="1409"/>
      <c r="DE50" s="1409"/>
      <c r="DF50" s="1409">
        <v>44760817.609999999</v>
      </c>
      <c r="DG50" s="1409">
        <v>0</v>
      </c>
      <c r="DH50" s="1409">
        <v>0</v>
      </c>
      <c r="DI50" s="1409"/>
      <c r="DJ50" s="1409"/>
      <c r="DK50" s="1409">
        <v>0</v>
      </c>
      <c r="DL50" s="1409"/>
      <c r="DM50" s="1409"/>
      <c r="DN50" s="1409">
        <v>0</v>
      </c>
      <c r="DO50" s="1409"/>
      <c r="DP50" s="1409"/>
      <c r="DQ50" s="1409">
        <v>44760817.609999999</v>
      </c>
      <c r="DR50" s="1409">
        <v>1379193.9124399719</v>
      </c>
      <c r="DS50" s="1409">
        <v>43381623.697560027</v>
      </c>
      <c r="DT50" s="1409"/>
      <c r="DU50" s="1409"/>
      <c r="DV50" s="1409">
        <v>0</v>
      </c>
      <c r="DW50" s="1409"/>
      <c r="DX50" s="1409"/>
      <c r="DY50" s="1409"/>
      <c r="DZ50" s="1409">
        <v>0</v>
      </c>
      <c r="EA50" s="1409">
        <v>0</v>
      </c>
      <c r="EB50" s="1409"/>
      <c r="EC50" s="1409"/>
      <c r="ED50" s="1409">
        <v>0</v>
      </c>
      <c r="EE50" s="1409"/>
      <c r="EF50" s="1409"/>
      <c r="EG50" s="1409">
        <v>0</v>
      </c>
      <c r="EH50" s="1409"/>
      <c r="EI50" s="1409"/>
      <c r="EJ50" s="1409"/>
      <c r="EK50" s="1409">
        <v>0</v>
      </c>
      <c r="EL50" s="1409"/>
      <c r="EM50" s="1409">
        <v>0</v>
      </c>
      <c r="EN50" s="1409"/>
      <c r="EO50" s="1409"/>
      <c r="EP50" s="1409"/>
      <c r="EQ50" s="1409">
        <v>0</v>
      </c>
      <c r="ER50" s="1409"/>
      <c r="ES50" s="1409"/>
      <c r="ET50" s="1409"/>
      <c r="EU50" s="1409">
        <v>0</v>
      </c>
      <c r="EV50" s="1409"/>
      <c r="EW50" s="1409"/>
      <c r="EX50" s="1409"/>
      <c r="EY50" s="1409"/>
      <c r="EZ50" s="1409">
        <v>0</v>
      </c>
      <c r="FA50" s="1409"/>
      <c r="FB50" s="1409">
        <v>0</v>
      </c>
      <c r="FC50" s="1409"/>
      <c r="FD50" s="1409"/>
      <c r="FE50" s="1409"/>
      <c r="FF50" s="1409">
        <v>0</v>
      </c>
      <c r="FG50" s="1409"/>
      <c r="FH50" s="1409"/>
      <c r="FI50" s="1409"/>
      <c r="FJ50" s="1409">
        <v>0</v>
      </c>
      <c r="FK50" s="1409"/>
      <c r="FL50" s="1409"/>
      <c r="FM50" s="1409"/>
      <c r="FN50" s="1409"/>
      <c r="FO50" s="1409">
        <v>0</v>
      </c>
      <c r="FP50" s="1409"/>
      <c r="FQ50" s="1409"/>
      <c r="FR50" s="1409"/>
      <c r="FS50" s="1409"/>
      <c r="FT50" s="1409"/>
      <c r="FU50" s="1409"/>
      <c r="FV50" s="1409"/>
      <c r="FW50" s="1409">
        <v>17774894.855333336</v>
      </c>
      <c r="FX50" s="1409">
        <v>17725469.400000002</v>
      </c>
      <c r="FY50" s="1409">
        <v>45573.825333332847</v>
      </c>
      <c r="FZ50" s="1409">
        <v>3851.63</v>
      </c>
      <c r="GA50" s="1409"/>
      <c r="GB50" s="1409">
        <v>3800538.857915001</v>
      </c>
      <c r="GC50" s="1409"/>
      <c r="GD50" s="1409"/>
      <c r="GE50" s="1409"/>
      <c r="GF50" s="1409">
        <v>75043249.973248333</v>
      </c>
    </row>
    <row r="51" spans="2:190">
      <c r="B51" s="1361">
        <v>43252</v>
      </c>
      <c r="C51" s="1413">
        <v>0</v>
      </c>
      <c r="D51" s="1413"/>
      <c r="E51" s="1413">
        <v>3443502.54</v>
      </c>
      <c r="F51" s="1413"/>
      <c r="G51" s="1413">
        <v>3443502.54</v>
      </c>
      <c r="H51" s="1413"/>
      <c r="I51" s="1413"/>
      <c r="J51" s="1413">
        <v>73740.390000000014</v>
      </c>
      <c r="K51" s="1413">
        <v>73740.390000000014</v>
      </c>
      <c r="L51" s="1413">
        <v>73740.390000000014</v>
      </c>
      <c r="M51" s="1413"/>
      <c r="N51" s="1413">
        <v>0</v>
      </c>
      <c r="O51" s="1413"/>
      <c r="P51" s="1413"/>
      <c r="Q51" s="1413">
        <v>0</v>
      </c>
      <c r="R51" s="1413"/>
      <c r="S51" s="1413"/>
      <c r="T51" s="1413"/>
      <c r="U51" s="1413">
        <v>0</v>
      </c>
      <c r="V51" s="1413">
        <v>0</v>
      </c>
      <c r="W51" s="1413">
        <v>0</v>
      </c>
      <c r="X51" s="1413"/>
      <c r="Y51" s="1413"/>
      <c r="Z51" s="1413">
        <v>0</v>
      </c>
      <c r="AA51" s="1413"/>
      <c r="AB51" s="1413"/>
      <c r="AC51" s="1413">
        <v>0</v>
      </c>
      <c r="AD51" s="1413"/>
      <c r="AE51" s="1413"/>
      <c r="AF51" s="1413"/>
      <c r="AG51" s="1413">
        <v>0</v>
      </c>
      <c r="AH51" s="1413"/>
      <c r="AI51" s="1413"/>
      <c r="AJ51" s="1413"/>
      <c r="AK51" s="1413"/>
      <c r="AL51" s="1413">
        <v>0</v>
      </c>
      <c r="AM51" s="1413"/>
      <c r="AN51" s="1413"/>
      <c r="AO51" s="1413"/>
      <c r="AP51" s="1413"/>
      <c r="AQ51" s="1413">
        <v>1389</v>
      </c>
      <c r="AR51" s="1413">
        <v>0</v>
      </c>
      <c r="AS51" s="1413">
        <v>1389</v>
      </c>
      <c r="AT51" s="1413">
        <v>1389</v>
      </c>
      <c r="AU51" s="1413"/>
      <c r="AV51" s="1413"/>
      <c r="AW51" s="1413"/>
      <c r="AX51" s="1413"/>
      <c r="AY51" s="1413">
        <v>3895358.71</v>
      </c>
      <c r="AZ51" s="1413">
        <v>0</v>
      </c>
      <c r="BA51" s="1413">
        <v>0</v>
      </c>
      <c r="BB51" s="1413"/>
      <c r="BC51" s="1413">
        <v>0</v>
      </c>
      <c r="BD51" s="1413">
        <v>3895358.71</v>
      </c>
      <c r="BE51" s="1413">
        <v>0</v>
      </c>
      <c r="BF51" s="1413"/>
      <c r="BG51" s="1413"/>
      <c r="BH51" s="1413"/>
      <c r="BI51" s="1413"/>
      <c r="BJ51" s="1413"/>
      <c r="BK51" s="1413"/>
      <c r="BL51" s="1413">
        <v>0</v>
      </c>
      <c r="BM51" s="1413">
        <v>0</v>
      </c>
      <c r="BN51" s="1413"/>
      <c r="BO51" s="1413"/>
      <c r="BP51" s="1413"/>
      <c r="BQ51" s="1413"/>
      <c r="BR51" s="1413"/>
      <c r="BS51" s="1413"/>
      <c r="BT51" s="1413">
        <v>0</v>
      </c>
      <c r="BU51" s="1413">
        <v>0</v>
      </c>
      <c r="BV51" s="1413"/>
      <c r="BW51" s="1413"/>
      <c r="BX51" s="1413"/>
      <c r="BY51" s="1413"/>
      <c r="BZ51" s="1413">
        <v>0</v>
      </c>
      <c r="CA51" s="1413"/>
      <c r="CB51" s="1413"/>
      <c r="CC51" s="1413"/>
      <c r="CD51" s="1413"/>
      <c r="CE51" s="1413"/>
      <c r="CF51" s="1413"/>
      <c r="CG51" s="1413"/>
      <c r="CH51" s="1413"/>
      <c r="CI51" s="1413"/>
      <c r="CJ51" s="1413"/>
      <c r="CK51" s="1413"/>
      <c r="CL51" s="1413"/>
      <c r="CM51" s="1413"/>
      <c r="CN51" s="1413">
        <v>0</v>
      </c>
      <c r="CO51" s="1413">
        <v>0</v>
      </c>
      <c r="CP51" s="1413"/>
      <c r="CQ51" s="1413"/>
      <c r="CR51" s="1413"/>
      <c r="CS51" s="1413"/>
      <c r="CT51" s="1413"/>
      <c r="CU51" s="1413">
        <v>0</v>
      </c>
      <c r="CV51" s="1413"/>
      <c r="CW51" s="1413"/>
      <c r="CX51" s="1413"/>
      <c r="CY51" s="1413"/>
      <c r="CZ51" s="1413"/>
      <c r="DA51" s="1413"/>
      <c r="DB51" s="1413">
        <v>0</v>
      </c>
      <c r="DC51" s="1413"/>
      <c r="DD51" s="1413"/>
      <c r="DE51" s="1413"/>
      <c r="DF51" s="1413">
        <v>44760817.609999999</v>
      </c>
      <c r="DG51" s="1413">
        <v>0</v>
      </c>
      <c r="DH51" s="1413">
        <v>0</v>
      </c>
      <c r="DI51" s="1413"/>
      <c r="DJ51" s="1413"/>
      <c r="DK51" s="1413">
        <v>0</v>
      </c>
      <c r="DL51" s="1413"/>
      <c r="DM51" s="1413"/>
      <c r="DN51" s="1413">
        <v>0</v>
      </c>
      <c r="DO51" s="1413"/>
      <c r="DP51" s="1413"/>
      <c r="DQ51" s="1413">
        <v>44760817.609999999</v>
      </c>
      <c r="DR51" s="1413">
        <v>1379193.9124399719</v>
      </c>
      <c r="DS51" s="1413">
        <v>43381623.697560027</v>
      </c>
      <c r="DT51" s="1413"/>
      <c r="DU51" s="1413"/>
      <c r="DV51" s="1413">
        <v>0</v>
      </c>
      <c r="DW51" s="1413"/>
      <c r="DX51" s="1413"/>
      <c r="DY51" s="1413"/>
      <c r="DZ51" s="1413">
        <v>0</v>
      </c>
      <c r="EA51" s="1413">
        <v>0</v>
      </c>
      <c r="EB51" s="1413"/>
      <c r="EC51" s="1413"/>
      <c r="ED51" s="1413">
        <v>0</v>
      </c>
      <c r="EE51" s="1413"/>
      <c r="EF51" s="1413"/>
      <c r="EG51" s="1413">
        <v>0</v>
      </c>
      <c r="EH51" s="1413"/>
      <c r="EI51" s="1413"/>
      <c r="EJ51" s="1413"/>
      <c r="EK51" s="1413">
        <v>0</v>
      </c>
      <c r="EL51" s="1413"/>
      <c r="EM51" s="1413">
        <v>0</v>
      </c>
      <c r="EN51" s="1413"/>
      <c r="EO51" s="1413"/>
      <c r="EP51" s="1413"/>
      <c r="EQ51" s="1413">
        <v>0</v>
      </c>
      <c r="ER51" s="1413"/>
      <c r="ES51" s="1413"/>
      <c r="ET51" s="1413"/>
      <c r="EU51" s="1413">
        <v>0</v>
      </c>
      <c r="EV51" s="1413"/>
      <c r="EW51" s="1413"/>
      <c r="EX51" s="1413"/>
      <c r="EY51" s="1413"/>
      <c r="EZ51" s="1413">
        <v>0</v>
      </c>
      <c r="FA51" s="1413"/>
      <c r="FB51" s="1413">
        <v>0</v>
      </c>
      <c r="FC51" s="1413"/>
      <c r="FD51" s="1413"/>
      <c r="FE51" s="1413"/>
      <c r="FF51" s="1413">
        <v>0</v>
      </c>
      <c r="FG51" s="1413"/>
      <c r="FH51" s="1413"/>
      <c r="FI51" s="1413"/>
      <c r="FJ51" s="1413">
        <v>0</v>
      </c>
      <c r="FK51" s="1413"/>
      <c r="FL51" s="1413"/>
      <c r="FM51" s="1413"/>
      <c r="FN51" s="1413"/>
      <c r="FO51" s="1413">
        <v>0</v>
      </c>
      <c r="FP51" s="1413"/>
      <c r="FQ51" s="1413"/>
      <c r="FR51" s="1413"/>
      <c r="FS51" s="1413"/>
      <c r="FT51" s="1413"/>
      <c r="FU51" s="1413"/>
      <c r="FV51" s="1413"/>
      <c r="FW51" s="1413">
        <v>17774894.855333336</v>
      </c>
      <c r="FX51" s="1413">
        <v>17725469.400000002</v>
      </c>
      <c r="FY51" s="1413">
        <v>45573.825333332847</v>
      </c>
      <c r="FZ51" s="1413">
        <v>3851.63</v>
      </c>
      <c r="GA51" s="1413"/>
      <c r="GB51" s="1413">
        <v>3800538.857915001</v>
      </c>
      <c r="GC51" s="1413"/>
      <c r="GD51" s="1413"/>
      <c r="GE51" s="1413"/>
      <c r="GF51" s="1413">
        <v>73750241.963248327</v>
      </c>
    </row>
    <row r="52" spans="2:190">
      <c r="B52" s="1361">
        <v>43282</v>
      </c>
      <c r="C52" s="1205">
        <v>0</v>
      </c>
      <c r="D52" s="1205"/>
      <c r="E52" s="1205">
        <v>3009843</v>
      </c>
      <c r="F52" s="1205"/>
      <c r="G52" s="1205">
        <v>3009843</v>
      </c>
      <c r="H52" s="1205"/>
      <c r="I52" s="1205"/>
      <c r="J52" s="1205">
        <v>73740.390000000014</v>
      </c>
      <c r="K52" s="1205">
        <v>73740.390000000014</v>
      </c>
      <c r="L52" s="1205">
        <v>73740.390000000014</v>
      </c>
      <c r="M52" s="1205"/>
      <c r="N52" s="1205">
        <v>0</v>
      </c>
      <c r="O52" s="1205"/>
      <c r="P52" s="1205"/>
      <c r="Q52" s="1205">
        <v>0</v>
      </c>
      <c r="R52" s="1205"/>
      <c r="S52" s="1205"/>
      <c r="T52" s="1205"/>
      <c r="U52" s="1205">
        <v>0</v>
      </c>
      <c r="V52" s="1205">
        <v>0</v>
      </c>
      <c r="W52" s="1205">
        <v>0</v>
      </c>
      <c r="X52" s="1205"/>
      <c r="Y52" s="1205"/>
      <c r="Z52" s="1205">
        <v>0</v>
      </c>
      <c r="AA52" s="1205"/>
      <c r="AB52" s="1205"/>
      <c r="AC52" s="1205">
        <v>0</v>
      </c>
      <c r="AD52" s="1205"/>
      <c r="AE52" s="1205"/>
      <c r="AF52" s="1205"/>
      <c r="AG52" s="1205">
        <v>0</v>
      </c>
      <c r="AH52" s="1205"/>
      <c r="AI52" s="1205"/>
      <c r="AJ52" s="1205"/>
      <c r="AK52" s="1205"/>
      <c r="AL52" s="1205">
        <v>0</v>
      </c>
      <c r="AM52" s="1205"/>
      <c r="AN52" s="1205"/>
      <c r="AO52" s="1205"/>
      <c r="AP52" s="1205"/>
      <c r="AQ52" s="1205">
        <v>1389</v>
      </c>
      <c r="AR52" s="1205">
        <v>0</v>
      </c>
      <c r="AS52" s="1205">
        <v>1389</v>
      </c>
      <c r="AT52" s="1205">
        <v>1389</v>
      </c>
      <c r="AU52" s="1205"/>
      <c r="AV52" s="1205"/>
      <c r="AW52" s="1205"/>
      <c r="AX52" s="1205"/>
      <c r="AY52" s="1205">
        <v>3895358.71</v>
      </c>
      <c r="AZ52" s="1205">
        <v>0</v>
      </c>
      <c r="BA52" s="1205">
        <v>0</v>
      </c>
      <c r="BB52" s="1205"/>
      <c r="BC52" s="1205">
        <v>0</v>
      </c>
      <c r="BD52" s="1205">
        <v>3895358.71</v>
      </c>
      <c r="BE52" s="1205">
        <v>0</v>
      </c>
      <c r="BF52" s="1205"/>
      <c r="BG52" s="1205"/>
      <c r="BH52" s="1205"/>
      <c r="BI52" s="1205"/>
      <c r="BJ52" s="1205"/>
      <c r="BK52" s="1205"/>
      <c r="BL52" s="1205">
        <v>0</v>
      </c>
      <c r="BM52" s="1205">
        <v>0</v>
      </c>
      <c r="BN52" s="1205"/>
      <c r="BO52" s="1205"/>
      <c r="BP52" s="1205"/>
      <c r="BQ52" s="1205"/>
      <c r="BR52" s="1205"/>
      <c r="BS52" s="1205"/>
      <c r="BT52" s="1205">
        <v>0</v>
      </c>
      <c r="BU52" s="1205">
        <v>0</v>
      </c>
      <c r="BV52" s="1205"/>
      <c r="BW52" s="1205"/>
      <c r="BX52" s="1205"/>
      <c r="BY52" s="1205"/>
      <c r="BZ52" s="1205">
        <v>0</v>
      </c>
      <c r="CA52" s="1205"/>
      <c r="CB52" s="1205"/>
      <c r="CC52" s="1205"/>
      <c r="CD52" s="1205"/>
      <c r="CE52" s="1205"/>
      <c r="CF52" s="1205"/>
      <c r="CG52" s="1205"/>
      <c r="CH52" s="1205"/>
      <c r="CI52" s="1205"/>
      <c r="CJ52" s="1205"/>
      <c r="CK52" s="1205"/>
      <c r="CL52" s="1205"/>
      <c r="CM52" s="1205"/>
      <c r="CN52" s="1205">
        <v>0</v>
      </c>
      <c r="CO52" s="1205">
        <v>0</v>
      </c>
      <c r="CP52" s="1205"/>
      <c r="CQ52" s="1205"/>
      <c r="CR52" s="1205"/>
      <c r="CS52" s="1205"/>
      <c r="CT52" s="1205"/>
      <c r="CU52" s="1205">
        <v>0</v>
      </c>
      <c r="CV52" s="1205"/>
      <c r="CW52" s="1205"/>
      <c r="CX52" s="1205"/>
      <c r="CY52" s="1205"/>
      <c r="CZ52" s="1205"/>
      <c r="DA52" s="1205"/>
      <c r="DB52" s="1205">
        <v>0</v>
      </c>
      <c r="DC52" s="1205"/>
      <c r="DD52" s="1205"/>
      <c r="DE52" s="1205"/>
      <c r="DF52" s="1205">
        <v>45443338</v>
      </c>
      <c r="DG52" s="1205">
        <v>0</v>
      </c>
      <c r="DH52" s="1205">
        <v>0</v>
      </c>
      <c r="DI52" s="1205"/>
      <c r="DJ52" s="1205"/>
      <c r="DK52" s="1205">
        <v>0</v>
      </c>
      <c r="DL52" s="1205"/>
      <c r="DM52" s="1205"/>
      <c r="DN52" s="1205">
        <v>0</v>
      </c>
      <c r="DO52" s="1205"/>
      <c r="DP52" s="1205"/>
      <c r="DQ52" s="1205">
        <v>45443338</v>
      </c>
      <c r="DR52" s="1205">
        <v>1400224</v>
      </c>
      <c r="DS52" s="1205">
        <v>44043114</v>
      </c>
      <c r="DT52" s="1205"/>
      <c r="DU52" s="1205"/>
      <c r="DV52" s="1205">
        <v>0</v>
      </c>
      <c r="DW52" s="1205"/>
      <c r="DX52" s="1205"/>
      <c r="DY52" s="1205"/>
      <c r="DZ52" s="1205">
        <v>0</v>
      </c>
      <c r="EA52" s="1205">
        <v>0</v>
      </c>
      <c r="EB52" s="1205"/>
      <c r="EC52" s="1205"/>
      <c r="ED52" s="1205">
        <v>0</v>
      </c>
      <c r="EE52" s="1205"/>
      <c r="EF52" s="1205"/>
      <c r="EG52" s="1205">
        <v>0</v>
      </c>
      <c r="EH52" s="1205"/>
      <c r="EI52" s="1205"/>
      <c r="EJ52" s="1205"/>
      <c r="EK52" s="1205">
        <v>0</v>
      </c>
      <c r="EL52" s="1205"/>
      <c r="EM52" s="1205">
        <v>0</v>
      </c>
      <c r="EN52" s="1205"/>
      <c r="EO52" s="1205"/>
      <c r="EP52" s="1205"/>
      <c r="EQ52" s="1205">
        <v>0</v>
      </c>
      <c r="ER52" s="1205"/>
      <c r="ES52" s="1205"/>
      <c r="ET52" s="1205"/>
      <c r="EU52" s="1205">
        <v>0</v>
      </c>
      <c r="EV52" s="1205"/>
      <c r="EW52" s="1205"/>
      <c r="EX52" s="1205"/>
      <c r="EY52" s="1205"/>
      <c r="EZ52" s="1205">
        <v>0</v>
      </c>
      <c r="FA52" s="1205"/>
      <c r="FB52" s="1205">
        <v>0</v>
      </c>
      <c r="FC52" s="1205"/>
      <c r="FD52" s="1205"/>
      <c r="FE52" s="1205"/>
      <c r="FF52" s="1205">
        <v>0</v>
      </c>
      <c r="FG52" s="1205"/>
      <c r="FH52" s="1205"/>
      <c r="FI52" s="1205"/>
      <c r="FJ52" s="1205">
        <v>0</v>
      </c>
      <c r="FK52" s="1205"/>
      <c r="FL52" s="1205"/>
      <c r="FM52" s="1205"/>
      <c r="FN52" s="1205"/>
      <c r="FO52" s="1205">
        <v>0</v>
      </c>
      <c r="FP52" s="1205"/>
      <c r="FQ52" s="1205"/>
      <c r="FR52" s="1205"/>
      <c r="FS52" s="1205"/>
      <c r="FT52" s="1205"/>
      <c r="FU52" s="1205"/>
      <c r="FV52" s="1205"/>
      <c r="FW52" s="1205">
        <v>17774894.855333336</v>
      </c>
      <c r="FX52" s="1205">
        <v>17725469.400000002</v>
      </c>
      <c r="FY52" s="1205">
        <v>45573.825333332847</v>
      </c>
      <c r="FZ52" s="1205">
        <v>3851.63</v>
      </c>
      <c r="GA52" s="1205"/>
      <c r="GB52" s="1205">
        <v>3800538.857915001</v>
      </c>
      <c r="GC52" s="1205"/>
      <c r="GD52" s="1205"/>
      <c r="GE52" s="1205"/>
      <c r="GF52" s="1205">
        <v>73999102.813248336</v>
      </c>
    </row>
    <row r="53" spans="2:190">
      <c r="B53" s="1361">
        <v>43313</v>
      </c>
      <c r="C53" s="1205">
        <v>0</v>
      </c>
      <c r="D53" s="1205"/>
      <c r="E53" s="1205">
        <v>3069724</v>
      </c>
      <c r="F53" s="1205"/>
      <c r="G53" s="1205">
        <v>3069724</v>
      </c>
      <c r="H53" s="1205"/>
      <c r="I53" s="1205"/>
      <c r="J53" s="1205">
        <v>73740.390000000014</v>
      </c>
      <c r="K53" s="1205">
        <v>73740.390000000014</v>
      </c>
      <c r="L53" s="1205">
        <v>73740.390000000014</v>
      </c>
      <c r="M53" s="1205"/>
      <c r="N53" s="1205">
        <v>0</v>
      </c>
      <c r="O53" s="1205"/>
      <c r="P53" s="1205"/>
      <c r="Q53" s="1205">
        <v>0</v>
      </c>
      <c r="R53" s="1205"/>
      <c r="S53" s="1205"/>
      <c r="T53" s="1205"/>
      <c r="U53" s="1205">
        <v>0</v>
      </c>
      <c r="V53" s="1205">
        <v>0</v>
      </c>
      <c r="W53" s="1205">
        <v>0</v>
      </c>
      <c r="X53" s="1205"/>
      <c r="Y53" s="1205"/>
      <c r="Z53" s="1205">
        <v>0</v>
      </c>
      <c r="AA53" s="1205"/>
      <c r="AB53" s="1205"/>
      <c r="AC53" s="1205">
        <v>0</v>
      </c>
      <c r="AD53" s="1205"/>
      <c r="AE53" s="1205"/>
      <c r="AF53" s="1205"/>
      <c r="AG53" s="1205">
        <v>0</v>
      </c>
      <c r="AH53" s="1205"/>
      <c r="AI53" s="1205"/>
      <c r="AJ53" s="1205"/>
      <c r="AK53" s="1205"/>
      <c r="AL53" s="1205">
        <v>0</v>
      </c>
      <c r="AM53" s="1205"/>
      <c r="AN53" s="1205"/>
      <c r="AO53" s="1205"/>
      <c r="AP53" s="1205"/>
      <c r="AQ53" s="1205">
        <v>1389</v>
      </c>
      <c r="AR53" s="1205">
        <v>0</v>
      </c>
      <c r="AS53" s="1205">
        <v>1389</v>
      </c>
      <c r="AT53" s="1205">
        <v>1389</v>
      </c>
      <c r="AU53" s="1205"/>
      <c r="AV53" s="1205"/>
      <c r="AW53" s="1205"/>
      <c r="AX53" s="1205"/>
      <c r="AY53" s="1205">
        <v>3895358.71</v>
      </c>
      <c r="AZ53" s="1205">
        <v>0</v>
      </c>
      <c r="BA53" s="1205">
        <v>0</v>
      </c>
      <c r="BB53" s="1205"/>
      <c r="BC53" s="1205">
        <v>0</v>
      </c>
      <c r="BD53" s="1205">
        <v>3895358.71</v>
      </c>
      <c r="BE53" s="1205">
        <v>0</v>
      </c>
      <c r="BF53" s="1205"/>
      <c r="BG53" s="1205"/>
      <c r="BH53" s="1205"/>
      <c r="BI53" s="1205"/>
      <c r="BJ53" s="1205"/>
      <c r="BK53" s="1205"/>
      <c r="BL53" s="1205">
        <v>0</v>
      </c>
      <c r="BM53" s="1205">
        <v>0</v>
      </c>
      <c r="BN53" s="1205"/>
      <c r="BO53" s="1205"/>
      <c r="BP53" s="1205"/>
      <c r="BQ53" s="1205"/>
      <c r="BR53" s="1205"/>
      <c r="BS53" s="1205"/>
      <c r="BT53" s="1205">
        <v>0</v>
      </c>
      <c r="BU53" s="1205">
        <v>0</v>
      </c>
      <c r="BV53" s="1205"/>
      <c r="BW53" s="1205"/>
      <c r="BX53" s="1205"/>
      <c r="BY53" s="1205"/>
      <c r="BZ53" s="1205">
        <v>0</v>
      </c>
      <c r="CA53" s="1205"/>
      <c r="CB53" s="1205"/>
      <c r="CC53" s="1205"/>
      <c r="CD53" s="1205"/>
      <c r="CE53" s="1205"/>
      <c r="CF53" s="1205"/>
      <c r="CG53" s="1205"/>
      <c r="CH53" s="1205"/>
      <c r="CI53" s="1205"/>
      <c r="CJ53" s="1205"/>
      <c r="CK53" s="1205"/>
      <c r="CL53" s="1205"/>
      <c r="CM53" s="1205"/>
      <c r="CN53" s="1205">
        <v>0</v>
      </c>
      <c r="CO53" s="1205">
        <v>0</v>
      </c>
      <c r="CP53" s="1205"/>
      <c r="CQ53" s="1205"/>
      <c r="CR53" s="1205"/>
      <c r="CS53" s="1205"/>
      <c r="CT53" s="1205"/>
      <c r="CU53" s="1205">
        <v>0</v>
      </c>
      <c r="CV53" s="1205"/>
      <c r="CW53" s="1205"/>
      <c r="CX53" s="1205"/>
      <c r="CY53" s="1205"/>
      <c r="CZ53" s="1205"/>
      <c r="DA53" s="1205"/>
      <c r="DB53" s="1205">
        <v>0</v>
      </c>
      <c r="DC53" s="1205"/>
      <c r="DD53" s="1205"/>
      <c r="DE53" s="1205"/>
      <c r="DF53" s="1205">
        <v>45681287</v>
      </c>
      <c r="DG53" s="1205">
        <v>0</v>
      </c>
      <c r="DH53" s="1205">
        <v>0</v>
      </c>
      <c r="DI53" s="1205"/>
      <c r="DJ53" s="1205"/>
      <c r="DK53" s="1205">
        <v>0</v>
      </c>
      <c r="DL53" s="1205"/>
      <c r="DM53" s="1205"/>
      <c r="DN53" s="1205">
        <v>0</v>
      </c>
      <c r="DO53" s="1205"/>
      <c r="DP53" s="1205"/>
      <c r="DQ53" s="1205">
        <v>45681287</v>
      </c>
      <c r="DR53" s="1205">
        <v>1407556</v>
      </c>
      <c r="DS53" s="1205">
        <v>44273731</v>
      </c>
      <c r="DT53" s="1205"/>
      <c r="DU53" s="1205"/>
      <c r="DV53" s="1205">
        <v>0</v>
      </c>
      <c r="DW53" s="1205"/>
      <c r="DX53" s="1205"/>
      <c r="DY53" s="1205"/>
      <c r="DZ53" s="1205">
        <v>0</v>
      </c>
      <c r="EA53" s="1205">
        <v>0</v>
      </c>
      <c r="EB53" s="1205"/>
      <c r="EC53" s="1205"/>
      <c r="ED53" s="1205">
        <v>0</v>
      </c>
      <c r="EE53" s="1205"/>
      <c r="EF53" s="1205"/>
      <c r="EG53" s="1205">
        <v>0</v>
      </c>
      <c r="EH53" s="1205"/>
      <c r="EI53" s="1205"/>
      <c r="EJ53" s="1205"/>
      <c r="EK53" s="1205">
        <v>0</v>
      </c>
      <c r="EL53" s="1205"/>
      <c r="EM53" s="1205">
        <v>0</v>
      </c>
      <c r="EN53" s="1205"/>
      <c r="EO53" s="1205"/>
      <c r="EP53" s="1205"/>
      <c r="EQ53" s="1205">
        <v>0</v>
      </c>
      <c r="ER53" s="1205"/>
      <c r="ES53" s="1205"/>
      <c r="ET53" s="1205"/>
      <c r="EU53" s="1205">
        <v>0</v>
      </c>
      <c r="EV53" s="1205"/>
      <c r="EW53" s="1205"/>
      <c r="EX53" s="1205"/>
      <c r="EY53" s="1205"/>
      <c r="EZ53" s="1205">
        <v>0</v>
      </c>
      <c r="FA53" s="1205"/>
      <c r="FB53" s="1205">
        <v>0</v>
      </c>
      <c r="FC53" s="1205"/>
      <c r="FD53" s="1205"/>
      <c r="FE53" s="1205"/>
      <c r="FF53" s="1205">
        <v>0</v>
      </c>
      <c r="FG53" s="1205"/>
      <c r="FH53" s="1205"/>
      <c r="FI53" s="1205"/>
      <c r="FJ53" s="1205">
        <v>0</v>
      </c>
      <c r="FK53" s="1205"/>
      <c r="FL53" s="1205"/>
      <c r="FM53" s="1205"/>
      <c r="FN53" s="1205"/>
      <c r="FO53" s="1205">
        <v>0</v>
      </c>
      <c r="FP53" s="1205"/>
      <c r="FQ53" s="1205"/>
      <c r="FR53" s="1205"/>
      <c r="FS53" s="1205"/>
      <c r="FT53" s="1205"/>
      <c r="FU53" s="1205"/>
      <c r="FV53" s="1205"/>
      <c r="FW53" s="1205">
        <v>17770895.400000002</v>
      </c>
      <c r="FX53" s="1205">
        <v>17725469.400000002</v>
      </c>
      <c r="FY53" s="1205">
        <v>44446</v>
      </c>
      <c r="FZ53" s="1205">
        <v>980</v>
      </c>
      <c r="GA53" s="1205"/>
      <c r="GB53" s="1205">
        <v>3492802</v>
      </c>
      <c r="GC53" s="1205"/>
      <c r="GD53" s="1205"/>
      <c r="GE53" s="1205"/>
      <c r="GF53" s="1205">
        <v>73985196.5</v>
      </c>
    </row>
    <row r="54" spans="2:190">
      <c r="B54" s="1361">
        <v>43344</v>
      </c>
      <c r="C54" s="1205">
        <v>0</v>
      </c>
      <c r="D54" s="1205"/>
      <c r="E54" s="1205">
        <v>3103726.06</v>
      </c>
      <c r="F54" s="1205"/>
      <c r="G54" s="1205">
        <v>3103726.06</v>
      </c>
      <c r="H54" s="1205"/>
      <c r="I54" s="1205"/>
      <c r="J54" s="1205">
        <v>73740.390000000014</v>
      </c>
      <c r="K54" s="1205">
        <v>73740.390000000014</v>
      </c>
      <c r="L54" s="1205">
        <v>73740.390000000014</v>
      </c>
      <c r="M54" s="1205"/>
      <c r="N54" s="1205">
        <v>0</v>
      </c>
      <c r="O54" s="1205"/>
      <c r="P54" s="1205"/>
      <c r="Q54" s="1205">
        <v>0</v>
      </c>
      <c r="R54" s="1205"/>
      <c r="S54" s="1205"/>
      <c r="T54" s="1205"/>
      <c r="U54" s="1205">
        <v>0</v>
      </c>
      <c r="V54" s="1205">
        <v>0</v>
      </c>
      <c r="W54" s="1205">
        <v>0</v>
      </c>
      <c r="X54" s="1205"/>
      <c r="Y54" s="1205"/>
      <c r="Z54" s="1205">
        <v>0</v>
      </c>
      <c r="AA54" s="1205"/>
      <c r="AB54" s="1205"/>
      <c r="AC54" s="1205">
        <v>0</v>
      </c>
      <c r="AD54" s="1205"/>
      <c r="AE54" s="1205"/>
      <c r="AF54" s="1205"/>
      <c r="AG54" s="1205">
        <v>0</v>
      </c>
      <c r="AH54" s="1205"/>
      <c r="AI54" s="1205"/>
      <c r="AJ54" s="1205"/>
      <c r="AK54" s="1205"/>
      <c r="AL54" s="1205">
        <v>0</v>
      </c>
      <c r="AM54" s="1205"/>
      <c r="AN54" s="1205"/>
      <c r="AO54" s="1205"/>
      <c r="AP54" s="1205"/>
      <c r="AQ54" s="1205">
        <v>1389</v>
      </c>
      <c r="AR54" s="1205">
        <v>0</v>
      </c>
      <c r="AS54" s="1205">
        <v>1389</v>
      </c>
      <c r="AT54" s="1205">
        <v>1389</v>
      </c>
      <c r="AU54" s="1205"/>
      <c r="AV54" s="1205"/>
      <c r="AW54" s="1205"/>
      <c r="AX54" s="1205"/>
      <c r="AY54" s="1205">
        <v>3895358.71</v>
      </c>
      <c r="AZ54" s="1205">
        <v>0</v>
      </c>
      <c r="BA54" s="1205">
        <v>0</v>
      </c>
      <c r="BB54" s="1205"/>
      <c r="BC54" s="1205">
        <v>0</v>
      </c>
      <c r="BD54" s="1205">
        <v>3895358.71</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v>0</v>
      </c>
      <c r="CA54" s="1205"/>
      <c r="CB54" s="1205"/>
      <c r="CC54" s="1205"/>
      <c r="CD54" s="1205"/>
      <c r="CE54" s="1205"/>
      <c r="CF54" s="1205"/>
      <c r="CG54" s="1205"/>
      <c r="CH54" s="1205"/>
      <c r="CI54" s="1205"/>
      <c r="CJ54" s="1205"/>
      <c r="CK54" s="1205"/>
      <c r="CL54" s="1205"/>
      <c r="CM54" s="1205"/>
      <c r="CN54" s="1205">
        <v>0</v>
      </c>
      <c r="CO54" s="1205">
        <v>0</v>
      </c>
      <c r="CP54" s="1205"/>
      <c r="CQ54" s="1205"/>
      <c r="CR54" s="1205"/>
      <c r="CS54" s="1205"/>
      <c r="CT54" s="1205"/>
      <c r="CU54" s="1205">
        <v>0</v>
      </c>
      <c r="CV54" s="1205"/>
      <c r="CW54" s="1205"/>
      <c r="CX54" s="1205"/>
      <c r="CY54" s="1205"/>
      <c r="CZ54" s="1205"/>
      <c r="DA54" s="1205"/>
      <c r="DB54" s="1205">
        <v>0</v>
      </c>
      <c r="DC54" s="1205"/>
      <c r="DD54" s="1205"/>
      <c r="DE54" s="1205"/>
      <c r="DF54" s="1205">
        <v>45804864.610000007</v>
      </c>
      <c r="DG54" s="1205">
        <v>0</v>
      </c>
      <c r="DH54" s="1205">
        <v>0</v>
      </c>
      <c r="DI54" s="1205"/>
      <c r="DJ54" s="1205"/>
      <c r="DK54" s="1205">
        <v>0</v>
      </c>
      <c r="DL54" s="1205"/>
      <c r="DM54" s="1205"/>
      <c r="DN54" s="1205">
        <v>0</v>
      </c>
      <c r="DO54" s="1205"/>
      <c r="DP54" s="1205"/>
      <c r="DQ54" s="1205">
        <v>45804864.610000007</v>
      </c>
      <c r="DR54" s="1205">
        <v>1411363.6390800751</v>
      </c>
      <c r="DS54" s="1205">
        <v>44393500.970919929</v>
      </c>
      <c r="DT54" s="1205"/>
      <c r="DU54" s="1205"/>
      <c r="DV54" s="1205">
        <v>0</v>
      </c>
      <c r="DW54" s="1205"/>
      <c r="DX54" s="1205"/>
      <c r="DY54" s="1205"/>
      <c r="DZ54" s="1205">
        <v>0</v>
      </c>
      <c r="EA54" s="1205">
        <v>0</v>
      </c>
      <c r="EB54" s="1205"/>
      <c r="EC54" s="1205"/>
      <c r="ED54" s="1205">
        <v>0</v>
      </c>
      <c r="EE54" s="1205"/>
      <c r="EF54" s="1205"/>
      <c r="EG54" s="1205">
        <v>0</v>
      </c>
      <c r="EH54" s="1205"/>
      <c r="EI54" s="1205"/>
      <c r="EJ54" s="1205"/>
      <c r="EK54" s="1205">
        <v>0</v>
      </c>
      <c r="EL54" s="1205"/>
      <c r="EM54" s="1205">
        <v>0</v>
      </c>
      <c r="EN54" s="1205"/>
      <c r="EO54" s="1205"/>
      <c r="EP54" s="1205"/>
      <c r="EQ54" s="1205">
        <v>0</v>
      </c>
      <c r="ER54" s="1205"/>
      <c r="ES54" s="1205"/>
      <c r="ET54" s="1205"/>
      <c r="EU54" s="1205">
        <v>0</v>
      </c>
      <c r="EV54" s="1205"/>
      <c r="EW54" s="1205"/>
      <c r="EX54" s="1205"/>
      <c r="EY54" s="1205"/>
      <c r="EZ54" s="1205">
        <v>0</v>
      </c>
      <c r="FA54" s="1205"/>
      <c r="FB54" s="1205">
        <v>0</v>
      </c>
      <c r="FC54" s="1205"/>
      <c r="FD54" s="1205"/>
      <c r="FE54" s="1205"/>
      <c r="FF54" s="1205">
        <v>0</v>
      </c>
      <c r="FG54" s="1205"/>
      <c r="FH54" s="1205"/>
      <c r="FI54" s="1205"/>
      <c r="FJ54" s="1205">
        <v>0</v>
      </c>
      <c r="FK54" s="1205"/>
      <c r="FL54" s="1205"/>
      <c r="FM54" s="1205"/>
      <c r="FN54" s="1205"/>
      <c r="FO54" s="1205">
        <v>0</v>
      </c>
      <c r="FP54" s="1205"/>
      <c r="FQ54" s="1205"/>
      <c r="FR54" s="1205"/>
      <c r="FS54" s="1205"/>
      <c r="FT54" s="1205"/>
      <c r="FU54" s="1205"/>
      <c r="FV54" s="1205"/>
      <c r="FW54" s="1205">
        <v>17725468.400000002</v>
      </c>
      <c r="FX54" s="1205">
        <v>17725469.400000002</v>
      </c>
      <c r="FY54" s="1205">
        <v>-1</v>
      </c>
      <c r="FZ54" s="1205">
        <v>0</v>
      </c>
      <c r="GA54" s="1205"/>
      <c r="GB54" s="1205">
        <v>3492801.8579150005</v>
      </c>
      <c r="GC54" s="1205"/>
      <c r="GD54" s="1205"/>
      <c r="GE54" s="1205"/>
      <c r="GF54" s="1205">
        <v>74097349.027915016</v>
      </c>
    </row>
    <row r="55" spans="2:190" s="3" customFormat="1" ht="15">
      <c r="B55" s="1408">
        <v>43374</v>
      </c>
      <c r="C55" s="949">
        <v>0</v>
      </c>
      <c r="D55" s="949"/>
      <c r="E55" s="949">
        <v>3063599.92</v>
      </c>
      <c r="F55" s="949"/>
      <c r="G55" s="949">
        <v>3063599.92</v>
      </c>
      <c r="H55" s="949"/>
      <c r="I55" s="949"/>
      <c r="J55" s="949">
        <v>184761.79</v>
      </c>
      <c r="K55" s="949">
        <v>184761.79</v>
      </c>
      <c r="L55" s="949">
        <v>184761.79</v>
      </c>
      <c r="M55" s="949"/>
      <c r="N55" s="949">
        <v>0</v>
      </c>
      <c r="O55" s="949"/>
      <c r="P55" s="949"/>
      <c r="Q55" s="949">
        <v>0</v>
      </c>
      <c r="R55" s="949"/>
      <c r="S55" s="949"/>
      <c r="T55" s="949"/>
      <c r="U55" s="949">
        <v>0</v>
      </c>
      <c r="V55" s="949">
        <v>0</v>
      </c>
      <c r="W55" s="949">
        <v>0</v>
      </c>
      <c r="X55" s="949"/>
      <c r="Y55" s="949"/>
      <c r="Z55" s="949">
        <v>0</v>
      </c>
      <c r="AA55" s="949"/>
      <c r="AB55" s="949"/>
      <c r="AC55" s="949">
        <v>0</v>
      </c>
      <c r="AD55" s="949"/>
      <c r="AE55" s="949"/>
      <c r="AF55" s="949"/>
      <c r="AG55" s="949">
        <v>0</v>
      </c>
      <c r="AH55" s="949"/>
      <c r="AI55" s="949"/>
      <c r="AJ55" s="949"/>
      <c r="AK55" s="949"/>
      <c r="AL55" s="949">
        <v>0</v>
      </c>
      <c r="AM55" s="949"/>
      <c r="AN55" s="949"/>
      <c r="AO55" s="949"/>
      <c r="AP55" s="949"/>
      <c r="AQ55" s="949">
        <v>1389</v>
      </c>
      <c r="AR55" s="949">
        <v>0</v>
      </c>
      <c r="AS55" s="949">
        <v>1389</v>
      </c>
      <c r="AT55" s="949">
        <v>1389</v>
      </c>
      <c r="AU55" s="949"/>
      <c r="AV55" s="949"/>
      <c r="AW55" s="949"/>
      <c r="AX55" s="949"/>
      <c r="AY55" s="949">
        <v>3895358.7</v>
      </c>
      <c r="AZ55" s="949">
        <v>0</v>
      </c>
      <c r="BA55" s="949">
        <v>0</v>
      </c>
      <c r="BB55" s="949"/>
      <c r="BC55" s="949">
        <v>0</v>
      </c>
      <c r="BD55" s="949">
        <v>3895358.7</v>
      </c>
      <c r="BE55" s="949">
        <v>0</v>
      </c>
      <c r="BF55" s="949"/>
      <c r="BG55" s="949"/>
      <c r="BH55" s="949"/>
      <c r="BI55" s="949"/>
      <c r="BJ55" s="949"/>
      <c r="BK55" s="949"/>
      <c r="BL55" s="949">
        <v>0</v>
      </c>
      <c r="BM55" s="949">
        <v>0</v>
      </c>
      <c r="BN55" s="949"/>
      <c r="BO55" s="949"/>
      <c r="BP55" s="949"/>
      <c r="BQ55" s="949"/>
      <c r="BR55" s="949"/>
      <c r="BS55" s="949"/>
      <c r="BT55" s="949">
        <v>0</v>
      </c>
      <c r="BU55" s="949">
        <v>0</v>
      </c>
      <c r="BV55" s="949"/>
      <c r="BW55" s="949"/>
      <c r="BX55" s="949"/>
      <c r="BY55" s="949"/>
      <c r="BZ55" s="949">
        <v>0</v>
      </c>
      <c r="CA55" s="949"/>
      <c r="CB55" s="949"/>
      <c r="CC55" s="949"/>
      <c r="CD55" s="949"/>
      <c r="CE55" s="949"/>
      <c r="CF55" s="949"/>
      <c r="CG55" s="949"/>
      <c r="CH55" s="949"/>
      <c r="CI55" s="949"/>
      <c r="CJ55" s="949"/>
      <c r="CK55" s="949"/>
      <c r="CL55" s="949"/>
      <c r="CM55" s="949"/>
      <c r="CN55" s="949">
        <v>0</v>
      </c>
      <c r="CO55" s="949">
        <v>0</v>
      </c>
      <c r="CP55" s="949"/>
      <c r="CQ55" s="949"/>
      <c r="CR55" s="949"/>
      <c r="CS55" s="949"/>
      <c r="CT55" s="949"/>
      <c r="CU55" s="949">
        <v>0</v>
      </c>
      <c r="CV55" s="949"/>
      <c r="CW55" s="949"/>
      <c r="CX55" s="949"/>
      <c r="CY55" s="949"/>
      <c r="CZ55" s="949"/>
      <c r="DA55" s="949"/>
      <c r="DB55" s="949">
        <v>0</v>
      </c>
      <c r="DC55" s="949"/>
      <c r="DD55" s="949"/>
      <c r="DE55" s="949"/>
      <c r="DF55" s="949">
        <v>47749138.900000013</v>
      </c>
      <c r="DG55" s="949">
        <v>0</v>
      </c>
      <c r="DH55" s="949">
        <v>0</v>
      </c>
      <c r="DI55" s="949"/>
      <c r="DJ55" s="949"/>
      <c r="DK55" s="949">
        <v>0</v>
      </c>
      <c r="DL55" s="949"/>
      <c r="DM55" s="949"/>
      <c r="DN55" s="949">
        <v>0</v>
      </c>
      <c r="DO55" s="949"/>
      <c r="DP55" s="949"/>
      <c r="DQ55" s="949">
        <v>47749138.900000013</v>
      </c>
      <c r="DR55" s="949">
        <v>1471271.6436264997</v>
      </c>
      <c r="DS55" s="949">
        <v>46277867.256373517</v>
      </c>
      <c r="DT55" s="949"/>
      <c r="DU55" s="949"/>
      <c r="DV55" s="949">
        <v>0</v>
      </c>
      <c r="DW55" s="949"/>
      <c r="DX55" s="949"/>
      <c r="DY55" s="949"/>
      <c r="DZ55" s="949">
        <v>0</v>
      </c>
      <c r="EA55" s="949">
        <v>0</v>
      </c>
      <c r="EB55" s="949"/>
      <c r="EC55" s="949"/>
      <c r="ED55" s="949">
        <v>0</v>
      </c>
      <c r="EE55" s="949"/>
      <c r="EF55" s="949"/>
      <c r="EG55" s="949">
        <v>0</v>
      </c>
      <c r="EH55" s="949"/>
      <c r="EI55" s="949"/>
      <c r="EJ55" s="949"/>
      <c r="EK55" s="949">
        <v>0</v>
      </c>
      <c r="EL55" s="949"/>
      <c r="EM55" s="949">
        <v>0</v>
      </c>
      <c r="EN55" s="949"/>
      <c r="EO55" s="949"/>
      <c r="EP55" s="949"/>
      <c r="EQ55" s="949">
        <v>0</v>
      </c>
      <c r="ER55" s="949"/>
      <c r="ES55" s="949"/>
      <c r="ET55" s="949"/>
      <c r="EU55" s="949">
        <v>0</v>
      </c>
      <c r="EV55" s="949"/>
      <c r="EW55" s="949"/>
      <c r="EX55" s="949"/>
      <c r="EY55" s="949"/>
      <c r="EZ55" s="949">
        <v>0</v>
      </c>
      <c r="FA55" s="949"/>
      <c r="FB55" s="949">
        <v>0</v>
      </c>
      <c r="FC55" s="949"/>
      <c r="FD55" s="949"/>
      <c r="FE55" s="949"/>
      <c r="FF55" s="949">
        <v>0</v>
      </c>
      <c r="FG55" s="949"/>
      <c r="FH55" s="949"/>
      <c r="FI55" s="949"/>
      <c r="FJ55" s="949">
        <v>0</v>
      </c>
      <c r="FK55" s="949"/>
      <c r="FL55" s="949"/>
      <c r="FM55" s="949"/>
      <c r="FN55" s="949"/>
      <c r="FO55" s="949">
        <v>0</v>
      </c>
      <c r="FP55" s="949"/>
      <c r="FQ55" s="949"/>
      <c r="FR55" s="949"/>
      <c r="FS55" s="949"/>
      <c r="FT55" s="949"/>
      <c r="FU55" s="949"/>
      <c r="FV55" s="949"/>
      <c r="FW55" s="949">
        <v>18212852.990000002</v>
      </c>
      <c r="FX55" s="949">
        <v>18212859.400000002</v>
      </c>
      <c r="FY55" s="949">
        <v>-5.6900000004097819</v>
      </c>
      <c r="FZ55" s="949">
        <v>-0.72000000003026798</v>
      </c>
      <c r="GA55" s="949"/>
      <c r="GB55" s="949">
        <v>12268577.4385</v>
      </c>
      <c r="GC55" s="949"/>
      <c r="GD55" s="949"/>
      <c r="GE55" s="949"/>
      <c r="GF55" s="949">
        <v>85375678.738500014</v>
      </c>
    </row>
    <row r="56" spans="2:190" s="3" customFormat="1" ht="15">
      <c r="B56" s="1408">
        <v>43405</v>
      </c>
      <c r="C56" s="3">
        <v>0</v>
      </c>
      <c r="E56" s="3">
        <v>3021328.15</v>
      </c>
      <c r="G56" s="3">
        <v>3021328.15</v>
      </c>
      <c r="J56" s="3">
        <v>195571.09999999995</v>
      </c>
      <c r="K56" s="3">
        <v>195571.09999999995</v>
      </c>
      <c r="L56" s="3">
        <v>195571.09999999995</v>
      </c>
      <c r="N56" s="3">
        <v>0</v>
      </c>
      <c r="Q56" s="3">
        <v>0</v>
      </c>
      <c r="U56" s="3">
        <v>0</v>
      </c>
      <c r="V56" s="3">
        <v>0</v>
      </c>
      <c r="W56" s="3">
        <v>0</v>
      </c>
      <c r="Z56" s="3">
        <v>0</v>
      </c>
      <c r="AC56" s="3">
        <v>0</v>
      </c>
      <c r="AG56" s="3">
        <v>0</v>
      </c>
      <c r="AL56" s="3">
        <v>0</v>
      </c>
      <c r="AQ56" s="3">
        <v>1389</v>
      </c>
      <c r="AR56" s="3">
        <v>0</v>
      </c>
      <c r="AS56" s="3">
        <v>1389</v>
      </c>
      <c r="AT56" s="3">
        <v>1389</v>
      </c>
      <c r="AY56" s="3">
        <v>3895358.7</v>
      </c>
      <c r="AZ56" s="3">
        <v>0</v>
      </c>
      <c r="BA56" s="3">
        <v>0</v>
      </c>
      <c r="BC56" s="3">
        <v>0</v>
      </c>
      <c r="BD56" s="3">
        <v>3895358.7</v>
      </c>
      <c r="BE56" s="3">
        <v>0</v>
      </c>
      <c r="BL56" s="3">
        <v>0</v>
      </c>
      <c r="BM56" s="3">
        <v>0</v>
      </c>
      <c r="BT56" s="3">
        <v>0</v>
      </c>
      <c r="BU56" s="3">
        <v>0</v>
      </c>
      <c r="BZ56" s="3">
        <v>0</v>
      </c>
      <c r="CN56" s="3">
        <v>0</v>
      </c>
      <c r="CO56" s="3">
        <v>0</v>
      </c>
      <c r="CU56" s="3">
        <v>0</v>
      </c>
      <c r="DB56" s="3">
        <v>0</v>
      </c>
      <c r="DF56" s="3">
        <v>47985468.079999998</v>
      </c>
      <c r="DG56" s="3">
        <v>0</v>
      </c>
      <c r="DH56" s="3">
        <v>0</v>
      </c>
      <c r="DK56" s="3">
        <v>0</v>
      </c>
      <c r="DN56" s="3">
        <v>0</v>
      </c>
      <c r="DQ56" s="3">
        <v>47985468.079999998</v>
      </c>
      <c r="DR56" s="3">
        <v>1478553.5429257452</v>
      </c>
      <c r="DS56" s="3">
        <v>46506914.537074253</v>
      </c>
      <c r="DV56" s="3">
        <v>0</v>
      </c>
      <c r="DZ56" s="3">
        <v>0</v>
      </c>
      <c r="EA56" s="3">
        <v>0</v>
      </c>
      <c r="ED56" s="3">
        <v>0</v>
      </c>
      <c r="EG56" s="3">
        <v>0</v>
      </c>
      <c r="EK56" s="3">
        <v>0</v>
      </c>
      <c r="EM56" s="3">
        <v>0</v>
      </c>
      <c r="EQ56" s="3">
        <v>0</v>
      </c>
      <c r="EU56" s="3">
        <v>0</v>
      </c>
      <c r="EZ56" s="3">
        <v>0</v>
      </c>
      <c r="FB56" s="3">
        <v>0</v>
      </c>
      <c r="FF56" s="3">
        <v>0</v>
      </c>
      <c r="FJ56" s="3">
        <v>0</v>
      </c>
      <c r="FO56" s="3">
        <v>0</v>
      </c>
      <c r="FW56" s="3">
        <v>18212852.990000002</v>
      </c>
      <c r="FX56" s="3">
        <v>18212859.400000002</v>
      </c>
      <c r="FY56" s="3">
        <v>-5.6900000004097819</v>
      </c>
      <c r="FZ56" s="3">
        <v>-0.72000000003026798</v>
      </c>
      <c r="GB56" s="3">
        <v>10060508.622499999</v>
      </c>
      <c r="GF56" s="3">
        <v>83372476.642500013</v>
      </c>
    </row>
    <row r="57" spans="2:190" s="3" customFormat="1" ht="15">
      <c r="B57" s="1408">
        <v>43435</v>
      </c>
      <c r="C57" s="3">
        <v>0</v>
      </c>
      <c r="E57" s="3">
        <v>2538880.39</v>
      </c>
      <c r="G57" s="3">
        <v>2538880.39</v>
      </c>
      <c r="J57" s="3">
        <v>95772.540000000008</v>
      </c>
      <c r="K57" s="3">
        <v>95772.540000000008</v>
      </c>
      <c r="L57" s="3">
        <v>95772.540000000008</v>
      </c>
      <c r="N57" s="3">
        <v>0</v>
      </c>
      <c r="Q57" s="3">
        <v>0</v>
      </c>
      <c r="U57" s="3">
        <v>0</v>
      </c>
      <c r="V57" s="3">
        <v>0</v>
      </c>
      <c r="W57" s="3">
        <v>0</v>
      </c>
      <c r="Z57" s="3">
        <v>0</v>
      </c>
      <c r="AC57" s="3">
        <v>0</v>
      </c>
      <c r="AG57" s="3">
        <v>0</v>
      </c>
      <c r="AL57" s="3">
        <v>0</v>
      </c>
      <c r="AQ57" s="3">
        <v>1389</v>
      </c>
      <c r="AR57" s="3">
        <v>0</v>
      </c>
      <c r="AS57" s="3">
        <v>1389</v>
      </c>
      <c r="AT57" s="3">
        <v>1389</v>
      </c>
      <c r="AY57" s="3">
        <v>3895358.7</v>
      </c>
      <c r="AZ57" s="3">
        <v>0</v>
      </c>
      <c r="BA57" s="3">
        <v>0</v>
      </c>
      <c r="BC57" s="3">
        <v>0</v>
      </c>
      <c r="BD57" s="3">
        <v>3895358.7</v>
      </c>
      <c r="BE57" s="3">
        <v>0</v>
      </c>
      <c r="BL57" s="3">
        <v>0</v>
      </c>
      <c r="BM57" s="3">
        <v>0</v>
      </c>
      <c r="BT57" s="3">
        <v>0</v>
      </c>
      <c r="BU57" s="3">
        <v>0</v>
      </c>
      <c r="BZ57" s="3">
        <v>0</v>
      </c>
      <c r="CN57" s="3">
        <v>0</v>
      </c>
      <c r="CO57" s="3">
        <v>0</v>
      </c>
      <c r="CU57" s="3">
        <v>0</v>
      </c>
      <c r="DB57" s="3">
        <v>0</v>
      </c>
      <c r="DF57" s="3">
        <v>48172674.459999993</v>
      </c>
      <c r="DG57" s="3">
        <v>0</v>
      </c>
      <c r="DH57" s="3">
        <v>0</v>
      </c>
      <c r="DK57" s="3">
        <v>0</v>
      </c>
      <c r="DN57" s="3">
        <v>0</v>
      </c>
      <c r="DQ57" s="3">
        <v>48172674.459999993</v>
      </c>
      <c r="DR57" s="3">
        <v>1484321.8446112853</v>
      </c>
      <c r="DS57" s="3">
        <v>46688352.615388706</v>
      </c>
      <c r="DV57" s="3">
        <v>0</v>
      </c>
      <c r="DZ57" s="3">
        <v>0</v>
      </c>
      <c r="EA57" s="3">
        <v>0</v>
      </c>
      <c r="ED57" s="3">
        <v>0</v>
      </c>
      <c r="EG57" s="3">
        <v>0</v>
      </c>
      <c r="EK57" s="3">
        <v>0</v>
      </c>
      <c r="EM57" s="3">
        <v>0</v>
      </c>
      <c r="EQ57" s="3">
        <v>0</v>
      </c>
      <c r="EU57" s="3">
        <v>0</v>
      </c>
      <c r="EZ57" s="3">
        <v>0</v>
      </c>
      <c r="FB57" s="3">
        <v>0</v>
      </c>
      <c r="FF57" s="3">
        <v>0</v>
      </c>
      <c r="FJ57" s="3">
        <v>0</v>
      </c>
      <c r="FO57" s="3">
        <v>0</v>
      </c>
      <c r="FW57" s="3">
        <v>18212852.990000002</v>
      </c>
      <c r="FX57" s="3">
        <v>18212859.400000002</v>
      </c>
      <c r="FY57" s="3">
        <v>-5.6900000004097819</v>
      </c>
      <c r="FZ57" s="3">
        <v>-0.72000000003026798</v>
      </c>
      <c r="GB57" s="3">
        <v>8499318.5299999993</v>
      </c>
      <c r="GF57" s="3">
        <v>81416246.609999999</v>
      </c>
    </row>
    <row r="60" spans="2:190" ht="15.6">
      <c r="B60" s="1408">
        <v>43466</v>
      </c>
      <c r="C60" s="1364">
        <v>0</v>
      </c>
      <c r="D60" s="1364"/>
      <c r="E60" s="1364">
        <v>2776259.45</v>
      </c>
      <c r="F60" s="1364"/>
      <c r="G60" s="1364">
        <v>2776259.45</v>
      </c>
      <c r="H60" s="1364"/>
      <c r="I60" s="1364"/>
      <c r="J60" s="1364">
        <v>80412.850000000006</v>
      </c>
      <c r="K60" s="1364">
        <v>80412.850000000006</v>
      </c>
      <c r="L60" s="1364">
        <v>80412.850000000006</v>
      </c>
      <c r="M60" s="1364"/>
      <c r="N60" s="1364">
        <v>0</v>
      </c>
      <c r="O60" s="1364"/>
      <c r="P60" s="1364"/>
      <c r="Q60" s="1364">
        <v>0</v>
      </c>
      <c r="R60" s="1364"/>
      <c r="S60" s="1364"/>
      <c r="T60" s="1364"/>
      <c r="U60" s="1364">
        <v>0</v>
      </c>
      <c r="V60" s="1364">
        <v>0</v>
      </c>
      <c r="W60" s="1364">
        <v>0</v>
      </c>
      <c r="X60" s="1364"/>
      <c r="Y60" s="1364"/>
      <c r="Z60" s="1364">
        <v>0</v>
      </c>
      <c r="AA60" s="1364"/>
      <c r="AB60" s="1364"/>
      <c r="AC60" s="1364">
        <v>0</v>
      </c>
      <c r="AD60" s="1364"/>
      <c r="AE60" s="1364"/>
      <c r="AF60" s="1364"/>
      <c r="AG60" s="1364">
        <v>0</v>
      </c>
      <c r="AH60" s="1364"/>
      <c r="AI60" s="1364"/>
      <c r="AJ60" s="1364"/>
      <c r="AK60" s="1364"/>
      <c r="AL60" s="1364">
        <v>0</v>
      </c>
      <c r="AM60" s="1364"/>
      <c r="AN60" s="1364"/>
      <c r="AO60" s="1364"/>
      <c r="AP60" s="1364"/>
      <c r="AQ60" s="1364">
        <v>1389</v>
      </c>
      <c r="AR60" s="1364">
        <v>0</v>
      </c>
      <c r="AS60" s="1364">
        <v>1389</v>
      </c>
      <c r="AT60" s="1364">
        <v>1389</v>
      </c>
      <c r="AU60" s="1364"/>
      <c r="AV60" s="1364"/>
      <c r="AW60" s="1364"/>
      <c r="AX60" s="1364"/>
      <c r="AY60" s="1364">
        <v>3895358.7</v>
      </c>
      <c r="AZ60" s="1364">
        <v>0</v>
      </c>
      <c r="BA60" s="1364">
        <v>0</v>
      </c>
      <c r="BB60" s="1364"/>
      <c r="BC60" s="1364">
        <v>0</v>
      </c>
      <c r="BD60" s="1364">
        <v>3895358.7</v>
      </c>
      <c r="BE60" s="1364">
        <v>0</v>
      </c>
      <c r="BF60" s="1364"/>
      <c r="BG60" s="1364"/>
      <c r="BH60" s="1364"/>
      <c r="BI60" s="1364"/>
      <c r="BJ60" s="1364"/>
      <c r="BK60" s="1364"/>
      <c r="BL60" s="1364">
        <v>0</v>
      </c>
      <c r="BM60" s="1364">
        <v>0</v>
      </c>
      <c r="BN60" s="1364"/>
      <c r="BO60" s="1364"/>
      <c r="BP60" s="1364"/>
      <c r="BQ60" s="1364"/>
      <c r="BR60" s="1364"/>
      <c r="BS60" s="1364"/>
      <c r="BT60" s="1364">
        <v>0</v>
      </c>
      <c r="BU60" s="1364">
        <v>0</v>
      </c>
      <c r="BV60" s="1364"/>
      <c r="BW60" s="1364"/>
      <c r="BX60" s="1364"/>
      <c r="BY60" s="1364"/>
      <c r="BZ60" s="1364">
        <v>0</v>
      </c>
      <c r="CA60" s="1364"/>
      <c r="CB60" s="1364"/>
      <c r="CC60" s="1364"/>
      <c r="CD60" s="1364"/>
      <c r="CE60" s="1364"/>
      <c r="CF60" s="1364"/>
      <c r="CG60" s="1364"/>
      <c r="CH60" s="1364"/>
      <c r="CI60" s="1364"/>
      <c r="CJ60" s="1364"/>
      <c r="CK60" s="1364"/>
      <c r="CL60" s="1364"/>
      <c r="CM60" s="1364"/>
      <c r="CN60" s="1364">
        <v>0</v>
      </c>
      <c r="CO60" s="1364">
        <v>0</v>
      </c>
      <c r="CP60" s="1364"/>
      <c r="CQ60" s="1364"/>
      <c r="CR60" s="1364"/>
      <c r="CS60" s="1364"/>
      <c r="CT60" s="1364"/>
      <c r="CU60" s="1364">
        <v>0</v>
      </c>
      <c r="CV60" s="1364"/>
      <c r="CW60" s="1364"/>
      <c r="CX60" s="1364"/>
      <c r="CY60" s="1364"/>
      <c r="CZ60" s="1364"/>
      <c r="DA60" s="1364"/>
      <c r="DB60" s="1364">
        <v>0</v>
      </c>
      <c r="DC60" s="1364"/>
      <c r="DD60" s="1364"/>
      <c r="DE60" s="1364"/>
      <c r="DF60" s="1364">
        <v>48687285.489999995</v>
      </c>
      <c r="DG60" s="1364">
        <v>0</v>
      </c>
      <c r="DH60" s="1364">
        <v>0</v>
      </c>
      <c r="DI60" s="1364"/>
      <c r="DJ60" s="1364"/>
      <c r="DK60" s="1364">
        <v>0</v>
      </c>
      <c r="DL60" s="1364"/>
      <c r="DM60" s="1364"/>
      <c r="DN60" s="1364">
        <v>0</v>
      </c>
      <c r="DO60" s="1364"/>
      <c r="DP60" s="1364"/>
      <c r="DQ60" s="1364">
        <v>48687285.489999995</v>
      </c>
      <c r="DR60" s="1364">
        <v>1500178.3109974556</v>
      </c>
      <c r="DS60" s="1364">
        <v>47187107.179002538</v>
      </c>
      <c r="DT60" s="1364"/>
      <c r="DU60" s="1364"/>
      <c r="DV60" s="1364">
        <v>0</v>
      </c>
      <c r="DW60" s="1364"/>
      <c r="DX60" s="1364"/>
      <c r="DY60" s="1364"/>
      <c r="DZ60" s="1364">
        <v>0</v>
      </c>
      <c r="EA60" s="1364">
        <v>0</v>
      </c>
      <c r="EB60" s="1364"/>
      <c r="EC60" s="1364"/>
      <c r="ED60" s="1364">
        <v>0</v>
      </c>
      <c r="EE60" s="1364"/>
      <c r="EF60" s="1364"/>
      <c r="EG60" s="1364">
        <v>0</v>
      </c>
      <c r="EH60" s="1364"/>
      <c r="EI60" s="1364"/>
      <c r="EJ60" s="1364"/>
      <c r="EK60" s="1364">
        <v>0</v>
      </c>
      <c r="EL60" s="1364"/>
      <c r="EM60" s="1364">
        <v>0</v>
      </c>
      <c r="EN60" s="1364"/>
      <c r="EO60" s="1364"/>
      <c r="EP60" s="1364"/>
      <c r="EQ60" s="1364">
        <v>0</v>
      </c>
      <c r="ER60" s="1364"/>
      <c r="ES60" s="1364"/>
      <c r="ET60" s="1364"/>
      <c r="EU60" s="1364">
        <v>0</v>
      </c>
      <c r="EV60" s="1364"/>
      <c r="EW60" s="1364"/>
      <c r="EX60" s="1364"/>
      <c r="EY60" s="1364"/>
      <c r="EZ60" s="1364">
        <v>0</v>
      </c>
      <c r="FA60" s="1364"/>
      <c r="FB60" s="1364">
        <v>0</v>
      </c>
      <c r="FC60" s="1364"/>
      <c r="FD60" s="1364"/>
      <c r="FE60" s="1364"/>
      <c r="FF60" s="1364">
        <v>0</v>
      </c>
      <c r="FG60" s="1364"/>
      <c r="FH60" s="1364"/>
      <c r="FI60" s="1364"/>
      <c r="FJ60" s="1364">
        <v>0</v>
      </c>
      <c r="FK60" s="1364"/>
      <c r="FL60" s="1364"/>
      <c r="FM60" s="1364"/>
      <c r="FN60" s="1364"/>
      <c r="FO60" s="1364">
        <v>0</v>
      </c>
      <c r="FP60" s="1364"/>
      <c r="FQ60" s="1364"/>
      <c r="FR60" s="1364"/>
      <c r="FS60" s="1364"/>
      <c r="FT60" s="1364"/>
      <c r="FU60" s="1364"/>
      <c r="FV60" s="1364"/>
      <c r="FW60" s="1364">
        <v>18212852.990000002</v>
      </c>
      <c r="FX60" s="1364">
        <v>18212859.400000002</v>
      </c>
      <c r="FY60" s="1364">
        <v>-5.6900000004097819</v>
      </c>
      <c r="FZ60" s="1364">
        <v>-0.72000000003026798</v>
      </c>
      <c r="GA60" s="1364"/>
      <c r="GB60" s="1364">
        <v>8679306.4299999997</v>
      </c>
      <c r="GC60" s="1364"/>
      <c r="GD60" s="1364"/>
      <c r="GE60" s="1364"/>
      <c r="GF60" s="1364">
        <v>82332864.909999996</v>
      </c>
      <c r="GG60" s="1364"/>
      <c r="GH60" s="1364"/>
    </row>
    <row r="61" spans="2:190" ht="15.6">
      <c r="B61" s="1408">
        <v>43497</v>
      </c>
      <c r="C61" s="1028">
        <v>0</v>
      </c>
      <c r="E61" s="1028">
        <v>2714659.45</v>
      </c>
      <c r="G61" s="1028">
        <v>2714659.45</v>
      </c>
      <c r="J61" s="1028">
        <v>81223.63</v>
      </c>
      <c r="K61" s="1028">
        <v>81223.63</v>
      </c>
      <c r="L61" s="1028">
        <v>81223.63</v>
      </c>
      <c r="N61" s="1028">
        <v>0</v>
      </c>
      <c r="Q61" s="1028">
        <v>0</v>
      </c>
      <c r="U61" s="1028">
        <v>0</v>
      </c>
      <c r="V61" s="1028">
        <v>0</v>
      </c>
      <c r="W61" s="1028">
        <v>0</v>
      </c>
      <c r="Z61" s="1028">
        <v>0</v>
      </c>
      <c r="AC61" s="1028">
        <v>0</v>
      </c>
      <c r="AG61" s="1028">
        <v>0</v>
      </c>
      <c r="AL61" s="1028">
        <v>0</v>
      </c>
      <c r="AQ61" s="1028">
        <v>578</v>
      </c>
      <c r="AR61" s="1028">
        <v>0</v>
      </c>
      <c r="AS61" s="1028">
        <v>578</v>
      </c>
      <c r="AT61" s="1028">
        <v>578</v>
      </c>
      <c r="AY61" s="1028">
        <v>3895358.7</v>
      </c>
      <c r="AZ61" s="1028">
        <v>0</v>
      </c>
      <c r="BA61" s="1028">
        <v>0</v>
      </c>
      <c r="BC61" s="1028">
        <v>0</v>
      </c>
      <c r="BD61" s="1028">
        <v>3895358.7</v>
      </c>
      <c r="BE61" s="1028">
        <v>0</v>
      </c>
      <c r="BL61" s="1028">
        <v>0</v>
      </c>
      <c r="BM61" s="1028">
        <v>0</v>
      </c>
      <c r="BT61" s="1028">
        <v>0</v>
      </c>
      <c r="BU61" s="1028">
        <v>0</v>
      </c>
      <c r="BZ61" s="1028">
        <v>0</v>
      </c>
      <c r="CN61" s="1028">
        <v>0</v>
      </c>
      <c r="CO61" s="1028">
        <v>0</v>
      </c>
      <c r="CU61" s="1028">
        <v>0</v>
      </c>
      <c r="DB61" s="1028">
        <v>0</v>
      </c>
      <c r="DF61" s="1028">
        <v>48952655.489999995</v>
      </c>
      <c r="DG61" s="1028">
        <v>0</v>
      </c>
      <c r="DH61" s="1028">
        <v>0</v>
      </c>
      <c r="DK61" s="1028">
        <v>0</v>
      </c>
      <c r="DN61" s="1028">
        <v>0</v>
      </c>
      <c r="DQ61" s="1028">
        <v>48952655.489999995</v>
      </c>
      <c r="DR61" s="1028">
        <v>1508355.0313543784</v>
      </c>
      <c r="DS61" s="1028">
        <v>47444300.458645619</v>
      </c>
      <c r="DV61" s="1028">
        <v>0</v>
      </c>
      <c r="DZ61" s="1028">
        <v>0</v>
      </c>
      <c r="EA61" s="1028">
        <v>0</v>
      </c>
      <c r="ED61" s="1028">
        <v>0</v>
      </c>
      <c r="EG61" s="1028">
        <v>0</v>
      </c>
      <c r="EK61" s="1028">
        <v>0</v>
      </c>
      <c r="EM61" s="1028">
        <v>0</v>
      </c>
      <c r="EQ61" s="1028">
        <v>0</v>
      </c>
      <c r="EU61" s="1028">
        <v>0</v>
      </c>
      <c r="EZ61" s="1028">
        <v>0</v>
      </c>
      <c r="FB61" s="1028">
        <v>0</v>
      </c>
      <c r="FF61" s="1028">
        <v>0</v>
      </c>
      <c r="FJ61" s="1028">
        <v>0</v>
      </c>
      <c r="FO61" s="1028">
        <v>0</v>
      </c>
      <c r="FW61" s="1028">
        <v>18212852.990000002</v>
      </c>
      <c r="FX61" s="1028">
        <v>18212859.400000002</v>
      </c>
      <c r="FY61" s="1028">
        <v>-5.6900000004097819</v>
      </c>
      <c r="FZ61" s="1028">
        <v>-0.72000000003026798</v>
      </c>
      <c r="GB61" s="1028">
        <v>8590654.4299999997</v>
      </c>
      <c r="GF61" s="1028">
        <v>82447982.689999998</v>
      </c>
    </row>
    <row r="62" spans="2:190" ht="15.6">
      <c r="B62" s="1408">
        <v>43525</v>
      </c>
      <c r="C62" s="1028">
        <v>0</v>
      </c>
      <c r="E62" s="1028">
        <v>2991851.45</v>
      </c>
      <c r="G62" s="1028">
        <v>2991851.45</v>
      </c>
      <c r="J62" s="1028">
        <v>81223.63</v>
      </c>
      <c r="K62" s="1028">
        <v>81223.63</v>
      </c>
      <c r="L62" s="1028">
        <v>81223.63</v>
      </c>
      <c r="N62" s="1028">
        <v>0</v>
      </c>
      <c r="Q62" s="1028">
        <v>0</v>
      </c>
      <c r="U62" s="1028">
        <v>0</v>
      </c>
      <c r="V62" s="1028">
        <v>0</v>
      </c>
      <c r="W62" s="1028">
        <v>0</v>
      </c>
      <c r="Z62" s="1028">
        <v>0</v>
      </c>
      <c r="AC62" s="1028">
        <v>0</v>
      </c>
      <c r="AG62" s="1028">
        <v>0</v>
      </c>
      <c r="AL62" s="1028">
        <v>0</v>
      </c>
      <c r="AQ62" s="1028">
        <v>578</v>
      </c>
      <c r="AR62" s="1028">
        <v>0</v>
      </c>
      <c r="AS62" s="1028">
        <v>578</v>
      </c>
      <c r="AT62" s="1028">
        <v>578</v>
      </c>
      <c r="AY62" s="1028">
        <v>3895358.7</v>
      </c>
      <c r="AZ62" s="1028">
        <v>0</v>
      </c>
      <c r="BA62" s="1028">
        <v>0</v>
      </c>
      <c r="BC62" s="1028">
        <v>0</v>
      </c>
      <c r="BD62" s="1028">
        <v>3895358.7</v>
      </c>
      <c r="BE62" s="1028">
        <v>0</v>
      </c>
      <c r="BL62" s="1028">
        <v>0</v>
      </c>
      <c r="BM62" s="1028">
        <v>0</v>
      </c>
      <c r="BT62" s="1028">
        <v>0</v>
      </c>
      <c r="BU62" s="1028">
        <v>0</v>
      </c>
      <c r="BZ62" s="1028">
        <v>0</v>
      </c>
      <c r="CN62" s="1028">
        <v>0</v>
      </c>
      <c r="CO62" s="1028">
        <v>0</v>
      </c>
      <c r="CU62" s="1028">
        <v>0</v>
      </c>
      <c r="DB62" s="1028">
        <v>0</v>
      </c>
      <c r="DF62" s="1028">
        <v>49184835.489999995</v>
      </c>
      <c r="DG62" s="1028">
        <v>0</v>
      </c>
      <c r="DH62" s="1028">
        <v>0</v>
      </c>
      <c r="DK62" s="1028">
        <v>0</v>
      </c>
      <c r="DN62" s="1028">
        <v>0</v>
      </c>
      <c r="DQ62" s="1028">
        <v>49184835.489999995</v>
      </c>
      <c r="DR62" s="1028">
        <v>1515509.0839318</v>
      </c>
      <c r="DS62" s="1028">
        <v>47669326.406068198</v>
      </c>
      <c r="DV62" s="1028">
        <v>0</v>
      </c>
      <c r="DZ62" s="1028">
        <v>0</v>
      </c>
      <c r="EA62" s="1028">
        <v>0</v>
      </c>
      <c r="ED62" s="1028">
        <v>0</v>
      </c>
      <c r="EG62" s="1028">
        <v>0</v>
      </c>
      <c r="EK62" s="1028">
        <v>0</v>
      </c>
      <c r="EM62" s="1028">
        <v>0</v>
      </c>
      <c r="EQ62" s="1028">
        <v>0</v>
      </c>
      <c r="EU62" s="1028">
        <v>0</v>
      </c>
      <c r="EZ62" s="1028">
        <v>0</v>
      </c>
      <c r="FB62" s="1028">
        <v>0</v>
      </c>
      <c r="FF62" s="1028">
        <v>0</v>
      </c>
      <c r="FJ62" s="1028">
        <v>0</v>
      </c>
      <c r="FO62" s="1028">
        <v>0</v>
      </c>
      <c r="FW62" s="1028">
        <v>18212852.990000002</v>
      </c>
      <c r="FX62" s="1028">
        <v>18212859.400000002</v>
      </c>
      <c r="FY62" s="1028">
        <v>-5.6900000004097819</v>
      </c>
      <c r="FZ62" s="1028">
        <v>-0.72000000003026798</v>
      </c>
      <c r="GB62" s="1028">
        <v>8232490.4299999988</v>
      </c>
      <c r="GF62" s="1028">
        <v>82599190.689999983</v>
      </c>
    </row>
    <row r="63" spans="2:190" ht="15.6">
      <c r="B63" s="1408">
        <v>43556</v>
      </c>
      <c r="C63" s="1028">
        <v>0</v>
      </c>
      <c r="E63" s="1028">
        <v>3163491.8</v>
      </c>
      <c r="G63" s="1028">
        <v>3163491.8</v>
      </c>
      <c r="J63" s="1028">
        <v>81801.850000000006</v>
      </c>
      <c r="K63" s="1028">
        <v>81801.850000000006</v>
      </c>
      <c r="L63" s="1028">
        <v>81801.850000000006</v>
      </c>
      <c r="N63" s="1028">
        <v>0</v>
      </c>
      <c r="Q63" s="1028">
        <v>0</v>
      </c>
      <c r="U63" s="1028">
        <v>0</v>
      </c>
      <c r="V63" s="1028">
        <v>0</v>
      </c>
      <c r="W63" s="1028">
        <v>0</v>
      </c>
      <c r="Z63" s="1028">
        <v>0</v>
      </c>
      <c r="AC63" s="1028">
        <v>0</v>
      </c>
      <c r="AG63" s="1028">
        <v>0</v>
      </c>
      <c r="AL63" s="1028">
        <v>0</v>
      </c>
      <c r="AQ63" s="1028">
        <v>0</v>
      </c>
      <c r="AR63" s="1028">
        <v>0</v>
      </c>
      <c r="AS63" s="1028">
        <v>0</v>
      </c>
      <c r="AT63" s="1028">
        <v>0</v>
      </c>
      <c r="AY63" s="1028">
        <v>3895358.7</v>
      </c>
      <c r="AZ63" s="1028">
        <v>0</v>
      </c>
      <c r="BA63" s="1028">
        <v>0</v>
      </c>
      <c r="BC63" s="1028">
        <v>0</v>
      </c>
      <c r="BD63" s="1028">
        <v>3895358.7</v>
      </c>
      <c r="BE63" s="1028">
        <v>0</v>
      </c>
      <c r="BL63" s="1028">
        <v>0</v>
      </c>
      <c r="BM63" s="1028">
        <v>0</v>
      </c>
      <c r="BT63" s="1028">
        <v>0</v>
      </c>
      <c r="BU63" s="1028">
        <v>0</v>
      </c>
      <c r="BZ63" s="1028">
        <v>0</v>
      </c>
      <c r="CN63" s="1028">
        <v>0</v>
      </c>
      <c r="CO63" s="1028">
        <v>0</v>
      </c>
      <c r="CU63" s="1028">
        <v>0</v>
      </c>
      <c r="DB63" s="1028">
        <v>0</v>
      </c>
      <c r="DF63" s="1028">
        <v>49263770.339999996</v>
      </c>
      <c r="DG63" s="1028">
        <v>0</v>
      </c>
      <c r="DH63" s="1028">
        <v>0</v>
      </c>
      <c r="DK63" s="1028">
        <v>0</v>
      </c>
      <c r="DN63" s="1028">
        <v>0</v>
      </c>
      <c r="DQ63" s="1028">
        <v>49263770.339999996</v>
      </c>
      <c r="DR63" s="1028">
        <v>1517941.2661485751</v>
      </c>
      <c r="DS63" s="1028">
        <v>47745829.073851421</v>
      </c>
      <c r="DV63" s="1028">
        <v>0</v>
      </c>
      <c r="DZ63" s="1028">
        <v>0</v>
      </c>
      <c r="EA63" s="1028">
        <v>0</v>
      </c>
      <c r="ED63" s="1028">
        <v>0</v>
      </c>
      <c r="EG63" s="1028">
        <v>0</v>
      </c>
      <c r="EK63" s="1028">
        <v>0</v>
      </c>
      <c r="EM63" s="1028">
        <v>0</v>
      </c>
      <c r="EQ63" s="1028">
        <v>0</v>
      </c>
      <c r="EU63" s="1028">
        <v>0</v>
      </c>
      <c r="EZ63" s="1028">
        <v>0</v>
      </c>
      <c r="FB63" s="1028">
        <v>0</v>
      </c>
      <c r="FF63" s="1028">
        <v>0</v>
      </c>
      <c r="FJ63" s="1028">
        <v>0</v>
      </c>
      <c r="FO63" s="1028">
        <v>0</v>
      </c>
      <c r="FW63" s="1028">
        <v>18212852.990000002</v>
      </c>
      <c r="FX63" s="1028">
        <v>18212859.400000002</v>
      </c>
      <c r="FY63" s="1028">
        <v>-5.6900000004097819</v>
      </c>
      <c r="FZ63" s="1028">
        <v>-0.72000000003026798</v>
      </c>
      <c r="GB63" s="1028">
        <v>8682284.9499999993</v>
      </c>
      <c r="GF63" s="1028">
        <v>83299560.63000001</v>
      </c>
    </row>
    <row r="64" spans="2:190" ht="15.6">
      <c r="B64" s="1408">
        <v>43586</v>
      </c>
      <c r="C64" s="1028">
        <v>0</v>
      </c>
      <c r="E64" s="1028">
        <v>2514659.85</v>
      </c>
      <c r="G64" s="1028">
        <v>2514659.85</v>
      </c>
      <c r="J64" s="1028">
        <v>236760.84999999998</v>
      </c>
      <c r="K64" s="1028">
        <v>236760.84999999998</v>
      </c>
      <c r="L64" s="1028">
        <v>236760.84999999998</v>
      </c>
      <c r="N64" s="1028">
        <v>0</v>
      </c>
      <c r="Q64" s="1028">
        <v>0</v>
      </c>
      <c r="U64" s="1028">
        <v>0</v>
      </c>
      <c r="V64" s="1028">
        <v>0</v>
      </c>
      <c r="W64" s="1028">
        <v>0</v>
      </c>
      <c r="Z64" s="1028">
        <v>0</v>
      </c>
      <c r="AC64" s="1028">
        <v>0</v>
      </c>
      <c r="AG64" s="1028">
        <v>0</v>
      </c>
      <c r="AL64" s="1028">
        <v>0</v>
      </c>
      <c r="AQ64" s="1028">
        <v>0</v>
      </c>
      <c r="AR64" s="1028">
        <v>0</v>
      </c>
      <c r="AS64" s="1028">
        <v>0</v>
      </c>
      <c r="AT64" s="1028">
        <v>0</v>
      </c>
      <c r="AY64" s="1028">
        <v>3895358.7</v>
      </c>
      <c r="AZ64" s="1028">
        <v>0</v>
      </c>
      <c r="BA64" s="1028">
        <v>0</v>
      </c>
      <c r="BC64" s="1028">
        <v>0</v>
      </c>
      <c r="BD64" s="1028">
        <v>3895358.7</v>
      </c>
      <c r="BE64" s="1028">
        <v>0</v>
      </c>
      <c r="BL64" s="1028">
        <v>0</v>
      </c>
      <c r="BM64" s="1028">
        <v>0</v>
      </c>
      <c r="BT64" s="1028">
        <v>0</v>
      </c>
      <c r="BU64" s="1028">
        <v>0</v>
      </c>
      <c r="BZ64" s="1028">
        <v>0</v>
      </c>
      <c r="CN64" s="1028">
        <v>0</v>
      </c>
      <c r="CO64" s="1028">
        <v>0</v>
      </c>
      <c r="CU64" s="1028">
        <v>0</v>
      </c>
      <c r="DB64" s="1028">
        <v>0</v>
      </c>
      <c r="DF64" s="1028">
        <v>48164921.130000003</v>
      </c>
      <c r="DG64" s="1028">
        <v>0</v>
      </c>
      <c r="DH64" s="1028">
        <v>0</v>
      </c>
      <c r="DK64" s="1028">
        <v>0</v>
      </c>
      <c r="DN64" s="1028">
        <v>0</v>
      </c>
      <c r="DQ64" s="1028">
        <v>48164921.130000003</v>
      </c>
      <c r="DR64" s="1028">
        <v>1484082.9449193652</v>
      </c>
      <c r="DS64" s="1028">
        <v>46680838.18508064</v>
      </c>
      <c r="DV64" s="1028">
        <v>0</v>
      </c>
      <c r="DZ64" s="1028">
        <v>0</v>
      </c>
      <c r="EA64" s="1028">
        <v>0</v>
      </c>
      <c r="ED64" s="1028">
        <v>0</v>
      </c>
      <c r="EG64" s="1028">
        <v>0</v>
      </c>
      <c r="EK64" s="1028">
        <v>0</v>
      </c>
      <c r="EM64" s="1028">
        <v>0</v>
      </c>
      <c r="EQ64" s="1028">
        <v>0</v>
      </c>
      <c r="EU64" s="1028">
        <v>0</v>
      </c>
      <c r="EZ64" s="1028">
        <v>0</v>
      </c>
      <c r="FB64" s="1028">
        <v>0</v>
      </c>
      <c r="FF64" s="1028">
        <v>0</v>
      </c>
      <c r="FJ64" s="1028">
        <v>0</v>
      </c>
      <c r="FO64" s="1028">
        <v>0</v>
      </c>
      <c r="FW64" s="1028">
        <v>18212852.990000002</v>
      </c>
      <c r="FX64" s="1028">
        <v>18212859.400000002</v>
      </c>
      <c r="FY64" s="1028">
        <v>-5.6900000004097819</v>
      </c>
      <c r="FZ64" s="1028">
        <v>-0.72000000003026798</v>
      </c>
      <c r="GB64" s="1028">
        <v>8639032.5800000001</v>
      </c>
      <c r="GF64" s="1028">
        <v>81663586.100000009</v>
      </c>
    </row>
    <row r="65" spans="2:188" ht="15.6">
      <c r="B65" s="1408">
        <v>43617</v>
      </c>
      <c r="C65" s="1028">
        <v>0</v>
      </c>
      <c r="E65" s="1028">
        <v>1896671.34</v>
      </c>
      <c r="G65" s="1028">
        <v>1896671.34</v>
      </c>
      <c r="J65" s="1028">
        <v>236760.84999999998</v>
      </c>
      <c r="K65" s="1028">
        <v>236760.84999999998</v>
      </c>
      <c r="L65" s="1028">
        <v>236760.84999999998</v>
      </c>
      <c r="N65" s="1028">
        <v>0</v>
      </c>
      <c r="Q65" s="1028">
        <v>0</v>
      </c>
      <c r="U65" s="1028">
        <v>0</v>
      </c>
      <c r="V65" s="1028">
        <v>0</v>
      </c>
      <c r="W65" s="1028">
        <v>0</v>
      </c>
      <c r="Z65" s="1028">
        <v>0</v>
      </c>
      <c r="AC65" s="1028">
        <v>0</v>
      </c>
      <c r="AG65" s="1028">
        <v>0</v>
      </c>
      <c r="AL65" s="1028">
        <v>0</v>
      </c>
      <c r="AQ65" s="1028">
        <v>0</v>
      </c>
      <c r="AR65" s="1028">
        <v>0</v>
      </c>
      <c r="AS65" s="1028">
        <v>0</v>
      </c>
      <c r="AT65" s="1028">
        <v>0</v>
      </c>
      <c r="AY65" s="1028">
        <v>3895358.7</v>
      </c>
      <c r="AZ65" s="1028">
        <v>0</v>
      </c>
      <c r="BA65" s="1028">
        <v>0</v>
      </c>
      <c r="BC65" s="1028">
        <v>0</v>
      </c>
      <c r="BD65" s="1028">
        <v>3895358.7</v>
      </c>
      <c r="BE65" s="1028">
        <v>0</v>
      </c>
      <c r="BL65" s="1028">
        <v>0</v>
      </c>
      <c r="BM65" s="1028">
        <v>0</v>
      </c>
      <c r="BT65" s="1028">
        <v>0</v>
      </c>
      <c r="BU65" s="1028">
        <v>0</v>
      </c>
      <c r="BZ65" s="1028">
        <v>0</v>
      </c>
      <c r="CN65" s="1028">
        <v>0</v>
      </c>
      <c r="CO65" s="1028">
        <v>0</v>
      </c>
      <c r="CU65" s="1028">
        <v>0</v>
      </c>
      <c r="DB65" s="1028">
        <v>0</v>
      </c>
      <c r="DF65" s="1028">
        <v>48549614.279999994</v>
      </c>
      <c r="DG65" s="1028">
        <v>0</v>
      </c>
      <c r="DH65" s="1028">
        <v>0</v>
      </c>
      <c r="DK65" s="1028">
        <v>0</v>
      </c>
      <c r="DN65" s="1028">
        <v>0</v>
      </c>
      <c r="DQ65" s="1028">
        <v>48549614.279999994</v>
      </c>
      <c r="DR65" s="1028">
        <v>1495936.3130874839</v>
      </c>
      <c r="DS65" s="1028">
        <v>47053677.966912508</v>
      </c>
      <c r="DV65" s="1028">
        <v>0</v>
      </c>
      <c r="DZ65" s="1028">
        <v>0</v>
      </c>
      <c r="EA65" s="1028">
        <v>0</v>
      </c>
      <c r="ED65" s="1028">
        <v>0</v>
      </c>
      <c r="EG65" s="1028">
        <v>0</v>
      </c>
      <c r="EK65" s="1028">
        <v>0</v>
      </c>
      <c r="EM65" s="1028">
        <v>0</v>
      </c>
      <c r="EQ65" s="1028">
        <v>0</v>
      </c>
      <c r="EU65" s="1028">
        <v>0</v>
      </c>
      <c r="EZ65" s="1028">
        <v>0</v>
      </c>
      <c r="FB65" s="1028">
        <v>0</v>
      </c>
      <c r="FF65" s="1028">
        <v>0</v>
      </c>
      <c r="FJ65" s="1028">
        <v>0</v>
      </c>
      <c r="FO65" s="1028">
        <v>0</v>
      </c>
      <c r="FW65" s="1028">
        <v>18212852.990000002</v>
      </c>
      <c r="FX65" s="1028">
        <v>18212859.400000002</v>
      </c>
      <c r="FY65" s="1028">
        <v>-5.6900000004097819</v>
      </c>
      <c r="FZ65" s="1028">
        <v>-0.72000000003026798</v>
      </c>
      <c r="GB65" s="1028">
        <v>11814582.464999998</v>
      </c>
      <c r="GF65" s="1028">
        <v>84605840.625</v>
      </c>
    </row>
    <row r="66" spans="2:188" ht="15.6">
      <c r="B66" s="1408">
        <v>43647</v>
      </c>
      <c r="C66" s="1028">
        <v>0</v>
      </c>
      <c r="E66" s="1028">
        <v>1646924.7</v>
      </c>
      <c r="G66" s="1028">
        <v>1646924.7</v>
      </c>
      <c r="J66" s="1028">
        <v>1662666</v>
      </c>
      <c r="K66" s="1028">
        <v>1662666</v>
      </c>
      <c r="L66" s="1028">
        <v>1662666</v>
      </c>
      <c r="N66" s="1028">
        <v>0</v>
      </c>
      <c r="Q66" s="1028">
        <v>0</v>
      </c>
      <c r="U66" s="1028">
        <v>0</v>
      </c>
      <c r="V66" s="1028">
        <v>0</v>
      </c>
      <c r="W66" s="1028">
        <v>0</v>
      </c>
      <c r="Z66" s="1028">
        <v>0</v>
      </c>
      <c r="AC66" s="1028">
        <v>0</v>
      </c>
      <c r="AG66" s="1028">
        <v>0</v>
      </c>
      <c r="AL66" s="1028">
        <v>0</v>
      </c>
      <c r="AQ66" s="1028">
        <v>0</v>
      </c>
      <c r="AR66" s="1028">
        <v>0</v>
      </c>
      <c r="AS66" s="1028">
        <v>0</v>
      </c>
      <c r="AT66" s="1028">
        <v>0</v>
      </c>
      <c r="AY66" s="1028">
        <v>2337216</v>
      </c>
      <c r="AZ66" s="1028">
        <v>0</v>
      </c>
      <c r="BA66" s="1028">
        <v>0</v>
      </c>
      <c r="BC66" s="1028">
        <v>0</v>
      </c>
      <c r="BD66" s="1028">
        <v>2337216</v>
      </c>
      <c r="BE66" s="1028">
        <v>0</v>
      </c>
      <c r="BL66" s="1028">
        <v>0</v>
      </c>
      <c r="BM66" s="1028">
        <v>0</v>
      </c>
      <c r="BT66" s="1028">
        <v>0</v>
      </c>
      <c r="BU66" s="1028">
        <v>0</v>
      </c>
      <c r="BZ66" s="1028">
        <v>0</v>
      </c>
      <c r="CN66" s="1028">
        <v>0</v>
      </c>
      <c r="CO66" s="1028">
        <v>0</v>
      </c>
      <c r="CU66" s="1028">
        <v>0</v>
      </c>
      <c r="DB66" s="1028">
        <v>0</v>
      </c>
      <c r="DF66" s="1028">
        <v>41864989</v>
      </c>
      <c r="DG66" s="1028">
        <v>0</v>
      </c>
      <c r="DH66" s="1028">
        <v>0</v>
      </c>
      <c r="DK66" s="1028">
        <v>0</v>
      </c>
      <c r="DN66" s="1028">
        <v>0</v>
      </c>
      <c r="DQ66" s="1028">
        <v>41864989</v>
      </c>
      <c r="DR66" s="1028">
        <v>1289966</v>
      </c>
      <c r="DS66" s="1028">
        <v>40575023</v>
      </c>
      <c r="DV66" s="1028">
        <v>0</v>
      </c>
      <c r="DZ66" s="1028">
        <v>0</v>
      </c>
      <c r="EA66" s="1028">
        <v>0</v>
      </c>
      <c r="ED66" s="1028">
        <v>0</v>
      </c>
      <c r="EG66" s="1028">
        <v>0</v>
      </c>
      <c r="EK66" s="1028">
        <v>0</v>
      </c>
      <c r="EM66" s="1028">
        <v>0</v>
      </c>
      <c r="EQ66" s="1028">
        <v>0</v>
      </c>
      <c r="EU66" s="1028">
        <v>0</v>
      </c>
      <c r="EZ66" s="1028">
        <v>0</v>
      </c>
      <c r="FB66" s="1028">
        <v>0</v>
      </c>
      <c r="FF66" s="1028">
        <v>0</v>
      </c>
      <c r="FJ66" s="1028">
        <v>0</v>
      </c>
      <c r="FO66" s="1028">
        <v>0</v>
      </c>
      <c r="FW66" s="1028">
        <v>18212852.990000002</v>
      </c>
      <c r="FX66" s="1028">
        <v>18212859.400000002</v>
      </c>
      <c r="FY66" s="1028">
        <v>-5.6900000004097819</v>
      </c>
      <c r="FZ66" s="1028">
        <v>-0.72000000003026798</v>
      </c>
      <c r="GB66" s="1028">
        <v>14158018</v>
      </c>
      <c r="GF66" s="1028">
        <v>79882666.689999998</v>
      </c>
    </row>
    <row r="67" spans="2:188" ht="15.6">
      <c r="B67" s="1408">
        <v>43678</v>
      </c>
      <c r="C67" s="1028">
        <v>0</v>
      </c>
      <c r="D67" s="1028">
        <v>0</v>
      </c>
      <c r="E67" s="1028">
        <v>13883866.699999999</v>
      </c>
      <c r="F67" s="1028">
        <v>2.35190491</v>
      </c>
      <c r="G67" s="1028">
        <v>0</v>
      </c>
      <c r="H67" s="1028">
        <v>0</v>
      </c>
      <c r="I67" s="1028">
        <v>2.3372160000000002</v>
      </c>
      <c r="J67" s="1028">
        <v>0</v>
      </c>
      <c r="K67" s="1028">
        <v>0</v>
      </c>
      <c r="L67" s="1028">
        <v>0</v>
      </c>
      <c r="M67" s="1028">
        <v>0</v>
      </c>
      <c r="N67" s="1028">
        <v>0</v>
      </c>
      <c r="O67" s="1028">
        <v>0</v>
      </c>
      <c r="P67" s="1028">
        <v>40.657953540000008</v>
      </c>
      <c r="Q67" s="1028">
        <v>0</v>
      </c>
      <c r="R67" s="1028">
        <v>14.195060840000002</v>
      </c>
      <c r="S67" s="1028">
        <v>18.212852990000002</v>
      </c>
      <c r="T67" s="1028">
        <v>79.143374950000009</v>
      </c>
    </row>
    <row r="68" spans="2:188" ht="15.6">
      <c r="B68" s="1408">
        <v>43709</v>
      </c>
      <c r="C68" s="1028">
        <v>0</v>
      </c>
      <c r="E68" s="1028">
        <v>1052158.67</v>
      </c>
      <c r="G68" s="1028">
        <v>1052158.67</v>
      </c>
      <c r="J68" s="1028">
        <v>2351904.91</v>
      </c>
      <c r="K68" s="1028">
        <v>2351904.91</v>
      </c>
      <c r="L68" s="1028">
        <v>2351904.91</v>
      </c>
      <c r="N68" s="1028">
        <v>0</v>
      </c>
      <c r="Q68" s="1028">
        <v>0</v>
      </c>
      <c r="U68" s="1028">
        <v>0</v>
      </c>
      <c r="V68" s="1028">
        <v>0</v>
      </c>
      <c r="W68" s="1028">
        <v>0</v>
      </c>
      <c r="Z68" s="1028">
        <v>0</v>
      </c>
      <c r="AC68" s="1028">
        <v>0</v>
      </c>
      <c r="AG68" s="1028">
        <v>0</v>
      </c>
      <c r="AL68" s="1028">
        <v>0</v>
      </c>
      <c r="AQ68" s="1028">
        <v>0</v>
      </c>
      <c r="AR68" s="1028">
        <v>0</v>
      </c>
      <c r="AS68" s="1028">
        <v>0</v>
      </c>
      <c r="AT68" s="1028">
        <v>0</v>
      </c>
      <c r="AY68" s="1028">
        <v>2337216</v>
      </c>
      <c r="AZ68" s="1028">
        <v>0</v>
      </c>
      <c r="BA68" s="1028">
        <v>0</v>
      </c>
      <c r="BC68" s="1028">
        <v>0</v>
      </c>
      <c r="BD68" s="1028">
        <v>2337216</v>
      </c>
      <c r="BE68" s="1028">
        <v>0</v>
      </c>
      <c r="BL68" s="1028">
        <v>0</v>
      </c>
      <c r="BM68" s="1028">
        <v>0</v>
      </c>
      <c r="BT68" s="1028">
        <v>0</v>
      </c>
      <c r="BU68" s="1028">
        <v>0</v>
      </c>
      <c r="BZ68" s="1028">
        <v>0</v>
      </c>
      <c r="CN68" s="1028">
        <v>0</v>
      </c>
      <c r="CO68" s="1028">
        <v>0</v>
      </c>
      <c r="CU68" s="1028">
        <v>0</v>
      </c>
      <c r="DB68" s="1028">
        <v>0</v>
      </c>
      <c r="DF68" s="1028">
        <v>42352349.800000004</v>
      </c>
      <c r="DG68" s="1028">
        <v>0</v>
      </c>
      <c r="DH68" s="1028">
        <v>0</v>
      </c>
      <c r="DK68" s="1028">
        <v>0</v>
      </c>
      <c r="DN68" s="1028">
        <v>0</v>
      </c>
      <c r="DQ68" s="1028">
        <v>42352349.800000004</v>
      </c>
      <c r="DR68" s="1028">
        <v>1304982.9324082418</v>
      </c>
      <c r="DS68" s="1028">
        <v>41047366.867591761</v>
      </c>
      <c r="DV68" s="1028">
        <v>0</v>
      </c>
      <c r="DZ68" s="1028">
        <v>0</v>
      </c>
      <c r="EA68" s="1028">
        <v>0</v>
      </c>
      <c r="ED68" s="1028">
        <v>0</v>
      </c>
      <c r="EG68" s="1028">
        <v>0</v>
      </c>
      <c r="EK68" s="1028">
        <v>0</v>
      </c>
      <c r="EM68" s="1028">
        <v>0</v>
      </c>
      <c r="EQ68" s="1028">
        <v>0</v>
      </c>
      <c r="EU68" s="1028">
        <v>0</v>
      </c>
      <c r="EZ68" s="1028">
        <v>0</v>
      </c>
      <c r="FB68" s="1028">
        <v>0</v>
      </c>
      <c r="FF68" s="1028">
        <v>0</v>
      </c>
      <c r="FJ68" s="1028">
        <v>0</v>
      </c>
      <c r="FO68" s="1028">
        <v>0</v>
      </c>
      <c r="FW68" s="1028">
        <v>18212852.990000002</v>
      </c>
      <c r="FX68" s="1028">
        <v>18212859.400000002</v>
      </c>
      <c r="FY68" s="1028">
        <v>-5.6900000004097819</v>
      </c>
      <c r="FZ68" s="1028">
        <v>-0.72000000003026798</v>
      </c>
      <c r="GB68" s="1028">
        <v>14552045.840000002</v>
      </c>
      <c r="GF68" s="1028">
        <v>80858528.210000008</v>
      </c>
    </row>
    <row r="69" spans="2:188" ht="15.6">
      <c r="B69" s="1408">
        <v>43739</v>
      </c>
      <c r="C69" s="1028">
        <v>0</v>
      </c>
      <c r="E69" s="1028">
        <v>970330.15</v>
      </c>
      <c r="G69" s="1028">
        <v>970330.15</v>
      </c>
      <c r="J69" s="1028">
        <v>2351904.91</v>
      </c>
      <c r="K69" s="1028">
        <v>2351904.91</v>
      </c>
      <c r="L69" s="1028">
        <v>2351904.91</v>
      </c>
      <c r="N69" s="1028">
        <v>0</v>
      </c>
      <c r="Q69" s="1028">
        <v>0</v>
      </c>
      <c r="U69" s="1028">
        <v>0</v>
      </c>
      <c r="V69" s="1028">
        <v>0</v>
      </c>
      <c r="W69" s="1028">
        <v>0</v>
      </c>
      <c r="Z69" s="1028">
        <v>0</v>
      </c>
      <c r="AC69" s="1028">
        <v>0</v>
      </c>
      <c r="AG69" s="1028">
        <v>0</v>
      </c>
      <c r="AL69" s="1028">
        <v>0</v>
      </c>
      <c r="AQ69" s="1028">
        <v>0</v>
      </c>
      <c r="AR69" s="1028">
        <v>0</v>
      </c>
      <c r="AS69" s="1028">
        <v>0</v>
      </c>
      <c r="AT69" s="1028">
        <v>0</v>
      </c>
      <c r="AY69" s="1028">
        <v>2337216</v>
      </c>
      <c r="AZ69" s="1028">
        <v>0</v>
      </c>
      <c r="BA69" s="1028">
        <v>0</v>
      </c>
      <c r="BC69" s="1028">
        <v>0</v>
      </c>
      <c r="BD69" s="1028">
        <v>2337216</v>
      </c>
      <c r="BE69" s="1028">
        <v>0</v>
      </c>
      <c r="BL69" s="1028">
        <v>0</v>
      </c>
      <c r="BM69" s="1028">
        <v>0</v>
      </c>
      <c r="BT69" s="1028">
        <v>0</v>
      </c>
      <c r="BU69" s="1028">
        <v>0</v>
      </c>
      <c r="BZ69" s="1028">
        <v>0</v>
      </c>
      <c r="CN69" s="1028">
        <v>0</v>
      </c>
      <c r="CO69" s="1028">
        <v>0</v>
      </c>
      <c r="CU69" s="1028">
        <v>0</v>
      </c>
      <c r="DB69" s="1028">
        <v>0</v>
      </c>
      <c r="DF69" s="1028">
        <v>40793953.539999999</v>
      </c>
      <c r="DG69" s="1028">
        <v>0</v>
      </c>
      <c r="DH69" s="1028">
        <v>0</v>
      </c>
      <c r="DK69" s="1028">
        <v>0</v>
      </c>
      <c r="DN69" s="1028">
        <v>0</v>
      </c>
      <c r="DQ69" s="1028">
        <v>40793953.539999999</v>
      </c>
      <c r="DR69" s="1028">
        <v>1256964.8051772271</v>
      </c>
      <c r="DS69" s="1028">
        <v>39536988.734822772</v>
      </c>
      <c r="DV69" s="1028">
        <v>0</v>
      </c>
      <c r="DZ69" s="1028">
        <v>0</v>
      </c>
      <c r="EA69" s="1028">
        <v>0</v>
      </c>
      <c r="ED69" s="1028">
        <v>0</v>
      </c>
      <c r="EG69" s="1028">
        <v>0</v>
      </c>
      <c r="EK69" s="1028">
        <v>0</v>
      </c>
      <c r="EM69" s="1028">
        <v>0</v>
      </c>
      <c r="EQ69" s="1028">
        <v>0</v>
      </c>
      <c r="EU69" s="1028">
        <v>0</v>
      </c>
      <c r="EZ69" s="1028">
        <v>0</v>
      </c>
      <c r="FB69" s="1028">
        <v>0</v>
      </c>
      <c r="FF69" s="1028">
        <v>0</v>
      </c>
      <c r="FJ69" s="1028">
        <v>0</v>
      </c>
      <c r="FO69" s="1028">
        <v>0</v>
      </c>
      <c r="FW69" s="1028">
        <v>18212852.990000002</v>
      </c>
      <c r="FX69" s="1028">
        <v>18212859.400000002</v>
      </c>
      <c r="FY69" s="1028">
        <v>-5.6900000004097819</v>
      </c>
      <c r="FZ69" s="1028">
        <v>-0.72000000003026798</v>
      </c>
      <c r="GB69" s="1028">
        <v>14602117.840000005</v>
      </c>
      <c r="GF69" s="1028">
        <v>79268375.430000007</v>
      </c>
    </row>
    <row r="70" spans="2:188" ht="15.6">
      <c r="B70" s="1408">
        <v>43770</v>
      </c>
      <c r="C70" s="1028">
        <v>0</v>
      </c>
      <c r="E70" s="1028">
        <v>1002387.22</v>
      </c>
      <c r="G70" s="1028">
        <v>1002387.22</v>
      </c>
      <c r="J70" s="1028">
        <v>2369047.91</v>
      </c>
      <c r="K70" s="1028">
        <v>2369047.91</v>
      </c>
      <c r="L70" s="1028">
        <v>2369047.91</v>
      </c>
      <c r="N70" s="1028">
        <v>0</v>
      </c>
      <c r="Q70" s="1028">
        <v>0</v>
      </c>
      <c r="U70" s="1028">
        <v>0</v>
      </c>
      <c r="V70" s="1028">
        <v>0</v>
      </c>
      <c r="W70" s="1028">
        <v>0</v>
      </c>
      <c r="Z70" s="1028">
        <v>0</v>
      </c>
      <c r="AC70" s="1028">
        <v>0</v>
      </c>
      <c r="AG70" s="1028">
        <v>0</v>
      </c>
      <c r="AL70" s="1028">
        <v>0</v>
      </c>
      <c r="AQ70" s="1028">
        <v>0</v>
      </c>
      <c r="AR70" s="1028">
        <v>0</v>
      </c>
      <c r="AS70" s="1028">
        <v>0</v>
      </c>
      <c r="AT70" s="1028">
        <v>0</v>
      </c>
      <c r="AY70" s="1028">
        <v>2337216</v>
      </c>
      <c r="AZ70" s="1028">
        <v>0</v>
      </c>
      <c r="BA70" s="1028">
        <v>0</v>
      </c>
      <c r="BC70" s="1028">
        <v>0</v>
      </c>
      <c r="BD70" s="1028">
        <v>2337216</v>
      </c>
      <c r="BE70" s="1028">
        <v>0</v>
      </c>
      <c r="BL70" s="1028">
        <v>0</v>
      </c>
      <c r="BM70" s="1028">
        <v>0</v>
      </c>
      <c r="BT70" s="1028">
        <v>0</v>
      </c>
      <c r="BU70" s="1028">
        <v>0</v>
      </c>
      <c r="BZ70" s="1028">
        <v>0</v>
      </c>
      <c r="CN70" s="1028">
        <v>0</v>
      </c>
      <c r="CO70" s="1028">
        <v>0</v>
      </c>
      <c r="CU70" s="1028">
        <v>0</v>
      </c>
      <c r="DB70" s="1028">
        <v>0</v>
      </c>
      <c r="DF70" s="1028">
        <v>41030753.539999999</v>
      </c>
      <c r="DG70" s="1028">
        <v>0</v>
      </c>
      <c r="DH70" s="1028">
        <v>0</v>
      </c>
      <c r="DK70" s="1028">
        <v>0</v>
      </c>
      <c r="DN70" s="1028">
        <v>0</v>
      </c>
      <c r="DQ70" s="1028">
        <v>41030753.539999999</v>
      </c>
      <c r="DR70" s="1028">
        <v>1264261.2116305537</v>
      </c>
      <c r="DS70" s="1028">
        <v>39766492.328369446</v>
      </c>
      <c r="DV70" s="1028">
        <v>0</v>
      </c>
      <c r="DZ70" s="1028">
        <v>0</v>
      </c>
      <c r="EA70" s="1028">
        <v>0</v>
      </c>
      <c r="ED70" s="1028">
        <v>0</v>
      </c>
      <c r="EG70" s="1028">
        <v>0</v>
      </c>
      <c r="EK70" s="1028">
        <v>0</v>
      </c>
      <c r="EM70" s="1028">
        <v>0</v>
      </c>
      <c r="EQ70" s="1028">
        <v>0</v>
      </c>
      <c r="EU70" s="1028">
        <v>0</v>
      </c>
      <c r="EZ70" s="1028">
        <v>0</v>
      </c>
      <c r="FB70" s="1028">
        <v>0</v>
      </c>
      <c r="FF70" s="1028">
        <v>0</v>
      </c>
      <c r="FJ70" s="1028">
        <v>0</v>
      </c>
      <c r="FO70" s="1028">
        <v>0</v>
      </c>
      <c r="FW70" s="1028">
        <v>18212852.990000002</v>
      </c>
      <c r="FX70" s="1028">
        <v>18212859.400000002</v>
      </c>
      <c r="FY70" s="1028">
        <v>-5.6900000004097819</v>
      </c>
      <c r="FZ70" s="1028">
        <v>-0.72000000003026798</v>
      </c>
      <c r="GB70" s="1028">
        <v>14602117.840000005</v>
      </c>
      <c r="GF70" s="1028">
        <v>79554375.500000015</v>
      </c>
    </row>
    <row r="71" spans="2:188" ht="15.6">
      <c r="B71" s="1408">
        <v>43800</v>
      </c>
      <c r="C71" s="1028">
        <v>0</v>
      </c>
      <c r="E71" s="1028">
        <v>1052158.8299999998</v>
      </c>
      <c r="G71" s="1028">
        <v>1052158.8299999998</v>
      </c>
      <c r="J71" s="1028">
        <v>2351904.91</v>
      </c>
      <c r="K71" s="1028">
        <v>2351904.91</v>
      </c>
      <c r="L71" s="1028">
        <v>2351904.91</v>
      </c>
      <c r="N71" s="1028">
        <v>0</v>
      </c>
      <c r="Q71" s="1028">
        <v>0</v>
      </c>
      <c r="U71" s="1028">
        <v>0</v>
      </c>
      <c r="V71" s="1028">
        <v>0</v>
      </c>
      <c r="W71" s="1028">
        <v>0</v>
      </c>
      <c r="Z71" s="1028">
        <v>0</v>
      </c>
      <c r="AC71" s="1028">
        <v>0</v>
      </c>
      <c r="AG71" s="1028">
        <v>0</v>
      </c>
      <c r="AL71" s="1028">
        <v>0</v>
      </c>
      <c r="AQ71" s="1028">
        <v>0</v>
      </c>
      <c r="AR71" s="1028">
        <v>0</v>
      </c>
      <c r="AS71" s="1028">
        <v>0</v>
      </c>
      <c r="AT71" s="1028">
        <v>0</v>
      </c>
      <c r="AY71" s="1028">
        <v>2337216</v>
      </c>
      <c r="AZ71" s="1028">
        <v>0</v>
      </c>
      <c r="BA71" s="1028">
        <v>0</v>
      </c>
      <c r="BC71" s="1028">
        <v>0</v>
      </c>
      <c r="BD71" s="1028">
        <v>2337216</v>
      </c>
      <c r="BE71" s="1028">
        <v>0</v>
      </c>
      <c r="BL71" s="1028">
        <v>0</v>
      </c>
      <c r="BM71" s="1028">
        <v>0</v>
      </c>
      <c r="BT71" s="1028">
        <v>0</v>
      </c>
      <c r="BU71" s="1028">
        <v>0</v>
      </c>
      <c r="BZ71" s="1028">
        <v>0</v>
      </c>
      <c r="CN71" s="1028">
        <v>0</v>
      </c>
      <c r="CO71" s="1028">
        <v>0</v>
      </c>
      <c r="CU71" s="1028">
        <v>0</v>
      </c>
      <c r="DB71" s="1028">
        <v>0</v>
      </c>
      <c r="DF71" s="1028">
        <v>42625520.360000007</v>
      </c>
      <c r="DG71" s="1028">
        <v>0</v>
      </c>
      <c r="DH71" s="1028">
        <v>0</v>
      </c>
      <c r="DK71" s="1028">
        <v>0</v>
      </c>
      <c r="DN71" s="1028">
        <v>0</v>
      </c>
      <c r="DQ71" s="1028">
        <v>42625520.360000007</v>
      </c>
      <c r="DR71" s="1028">
        <v>1313400.0077327474</v>
      </c>
      <c r="DS71" s="1028">
        <v>41312120.352267258</v>
      </c>
      <c r="DV71" s="1028">
        <v>0</v>
      </c>
      <c r="DZ71" s="1028">
        <v>0</v>
      </c>
      <c r="EA71" s="1028">
        <v>0</v>
      </c>
      <c r="ED71" s="1028">
        <v>0</v>
      </c>
      <c r="EG71" s="1028">
        <v>0</v>
      </c>
      <c r="EK71" s="1028">
        <v>0</v>
      </c>
      <c r="EM71" s="1028">
        <v>0</v>
      </c>
      <c r="EQ71" s="1028">
        <v>0</v>
      </c>
      <c r="EU71" s="1028">
        <v>0</v>
      </c>
      <c r="EZ71" s="1028">
        <v>0</v>
      </c>
      <c r="FB71" s="1028">
        <v>0</v>
      </c>
      <c r="FF71" s="1028">
        <v>0</v>
      </c>
      <c r="FJ71" s="1028">
        <v>0</v>
      </c>
      <c r="FO71" s="1028">
        <v>0</v>
      </c>
      <c r="FW71" s="1028">
        <v>18275252.990000002</v>
      </c>
      <c r="FX71" s="1028">
        <v>18212859.400000002</v>
      </c>
      <c r="FY71" s="1028">
        <v>62394.30999999959</v>
      </c>
      <c r="FZ71" s="1028">
        <v>-0.72000000003026798</v>
      </c>
      <c r="GB71" s="1028">
        <v>15740105.548800001</v>
      </c>
      <c r="GF71" s="1028">
        <v>82382158.63880001</v>
      </c>
    </row>
    <row r="74" spans="2:188" ht="15.6">
      <c r="B74" s="1408">
        <v>43831</v>
      </c>
      <c r="C74" s="1028">
        <v>0</v>
      </c>
      <c r="E74" s="1028">
        <f>+F74+G74+H74</f>
        <v>304117.26</v>
      </c>
      <c r="G74" s="1028">
        <v>304117.26</v>
      </c>
      <c r="J74" s="1028">
        <f>+K74+N74+Q74</f>
        <v>1621778.6700000002</v>
      </c>
      <c r="K74" s="1028">
        <f>+L74+M74</f>
        <v>1621778.6700000002</v>
      </c>
      <c r="L74" s="1028">
        <v>1621778.6700000002</v>
      </c>
      <c r="N74" s="1028">
        <f>+O74+P74</f>
        <v>0</v>
      </c>
      <c r="Q74" s="1028">
        <f>+R74+S74</f>
        <v>0</v>
      </c>
      <c r="U74" s="1028">
        <f>+V74+Z74+AC74</f>
        <v>0</v>
      </c>
      <c r="V74" s="1028">
        <f>+W74+X74</f>
        <v>0</v>
      </c>
      <c r="W74" s="1028">
        <v>0</v>
      </c>
      <c r="Z74" s="1028">
        <f>+AA74+AB74</f>
        <v>0</v>
      </c>
      <c r="AC74" s="1028">
        <f>+AD74+AE74</f>
        <v>0</v>
      </c>
      <c r="AG74" s="1028">
        <f>+AH74+AI74+AJ74</f>
        <v>0</v>
      </c>
      <c r="AL74" s="1028">
        <f>+AM74+AN74+AO74</f>
        <v>0</v>
      </c>
      <c r="AQ74" s="1028">
        <f>+AR74+AS74+AV74+AW74</f>
        <v>0</v>
      </c>
      <c r="AR74" s="1028">
        <v>0</v>
      </c>
      <c r="AS74" s="1028">
        <f>+AT74+AU74</f>
        <v>0</v>
      </c>
      <c r="AT74" s="1028">
        <v>0</v>
      </c>
      <c r="AY74" s="1028">
        <f>+AZ74+BC74+BD74+BE74+BJ74</f>
        <v>945826.33999999985</v>
      </c>
      <c r="AZ74" s="1028">
        <f>+BA74+BB74</f>
        <v>0</v>
      </c>
      <c r="BA74" s="1028">
        <v>0</v>
      </c>
      <c r="BC74" s="1028">
        <v>0</v>
      </c>
      <c r="BD74" s="1028">
        <v>945826.33999999985</v>
      </c>
      <c r="BE74" s="1028">
        <f>+BF74+BG74+BH74+BI74</f>
        <v>0</v>
      </c>
      <c r="BL74" s="1028">
        <f>+BM74+BQ74+BR74</f>
        <v>0</v>
      </c>
      <c r="BM74" s="1028">
        <f>+BN74+BO74+BP74</f>
        <v>0</v>
      </c>
      <c r="BT74" s="1028">
        <f>+BU74+BY74+BZ74+CJ74+CK74+CL74</f>
        <v>0</v>
      </c>
      <c r="BU74" s="1028">
        <f>+BV74+BW74+BX74</f>
        <v>0</v>
      </c>
      <c r="BZ74" s="1028">
        <f>+CA74+CB74+CC74+CD74+CE74+CF74+CG74+CH74+CI74</f>
        <v>0</v>
      </c>
      <c r="CN74" s="1028">
        <f>+CO74+CU74</f>
        <v>0</v>
      </c>
      <c r="CO74" s="1028">
        <f>+CP74+CQ74+CS74+CT74</f>
        <v>0</v>
      </c>
      <c r="CU74" s="1028">
        <f>+CV74+CW74+CX74+CY74+CZ74</f>
        <v>0</v>
      </c>
      <c r="DB74" s="1028">
        <f>+DC74+DD74</f>
        <v>0</v>
      </c>
      <c r="DF74" s="1028">
        <f>+DG74+DQ74+DU74+DV74</f>
        <v>42625520.360000007</v>
      </c>
      <c r="DG74" s="1028">
        <f>+DH74+DK74+DN74</f>
        <v>0</v>
      </c>
      <c r="DH74" s="1028">
        <f>+DI74+DK74</f>
        <v>0</v>
      </c>
      <c r="DK74" s="1028">
        <f>+DL74+DN74</f>
        <v>0</v>
      </c>
      <c r="DN74" s="1028">
        <f>+DO74+DP74</f>
        <v>0</v>
      </c>
      <c r="DQ74" s="1028">
        <f>+DR74+DS74</f>
        <v>42625520.360000007</v>
      </c>
      <c r="DR74" s="1028">
        <v>1313400.0077327474</v>
      </c>
      <c r="DS74" s="1028">
        <v>41312120.352267258</v>
      </c>
      <c r="DV74" s="1028">
        <f>+DW74+DY74</f>
        <v>0</v>
      </c>
      <c r="DZ74" s="1028">
        <f>+EA74+ED74+EG74</f>
        <v>0</v>
      </c>
      <c r="EA74" s="1028">
        <f>+EB74+EC74</f>
        <v>0</v>
      </c>
      <c r="ED74" s="1028">
        <f>+EE74+EF74</f>
        <v>0</v>
      </c>
      <c r="EG74" s="1028">
        <f>+EH74+EI74</f>
        <v>0</v>
      </c>
      <c r="EK74" s="1028">
        <f>+EM74+EQ74+EU74</f>
        <v>0</v>
      </c>
      <c r="EM74" s="1028">
        <f>+EN74+EO74+EP74</f>
        <v>0</v>
      </c>
      <c r="EQ74" s="1028">
        <f>+ER74+ES74+ET74</f>
        <v>0</v>
      </c>
      <c r="EU74" s="1028">
        <f>+EV74+EW74+EX74</f>
        <v>0</v>
      </c>
      <c r="EZ74" s="1028">
        <f>+FB74+FF74+FJ74</f>
        <v>0</v>
      </c>
      <c r="FB74" s="1028">
        <f>+FC74+FD74+FE74</f>
        <v>0</v>
      </c>
      <c r="FF74" s="1028">
        <f>+FG74+FH74+FI74</f>
        <v>0</v>
      </c>
      <c r="FJ74" s="1028">
        <f>+FK74+FL74+FM74</f>
        <v>0</v>
      </c>
      <c r="FO74" s="1028">
        <f>+FQ74+FR74+FS74+FT74+FU74</f>
        <v>0</v>
      </c>
      <c r="FW74" s="1028">
        <f>+FX74+FY74+FZ74</f>
        <v>18275252.990000002</v>
      </c>
      <c r="FX74" s="1028">
        <v>18212859.400000002</v>
      </c>
      <c r="FY74" s="1028">
        <v>62394.30999999959</v>
      </c>
      <c r="FZ74" s="1028">
        <v>-0.72000000003026798</v>
      </c>
      <c r="GB74" s="1028">
        <v>13793728.930834781</v>
      </c>
      <c r="GF74" s="1028">
        <f>+C74+E74+J74+U74+AG74+AL74+AQ74+AY74+BL74+BT74+CN74+DB74+DF74+DZ74+EK74+EZ74+FO74+FW74+GB74</f>
        <v>77566224.55083479</v>
      </c>
    </row>
    <row r="75" spans="2:188" ht="15.6">
      <c r="B75" s="1408">
        <v>43862</v>
      </c>
      <c r="C75" s="1028">
        <v>0</v>
      </c>
      <c r="E75" s="1028">
        <f>+F75+G75+H75</f>
        <v>3297483</v>
      </c>
      <c r="G75" s="1028">
        <v>3297483</v>
      </c>
      <c r="J75" s="1028">
        <f>+K75+N75+Q75</f>
        <v>1621778.6700000002</v>
      </c>
      <c r="K75" s="1028">
        <f>+L75+M75</f>
        <v>1621778.6700000002</v>
      </c>
      <c r="L75" s="1028">
        <v>1621778.6700000002</v>
      </c>
      <c r="N75" s="1028">
        <f>+O75+P75</f>
        <v>0</v>
      </c>
      <c r="Q75" s="1028">
        <f>+R75+S75</f>
        <v>0</v>
      </c>
      <c r="U75" s="1028">
        <f>+V75+Z75+AC75</f>
        <v>0</v>
      </c>
      <c r="V75" s="1028">
        <f>+W75+X75</f>
        <v>0</v>
      </c>
      <c r="W75" s="1028">
        <v>0</v>
      </c>
      <c r="Z75" s="1028">
        <f>+AA75+AB75</f>
        <v>0</v>
      </c>
      <c r="AC75" s="1028">
        <f>+AD75+AE75</f>
        <v>0</v>
      </c>
      <c r="AG75" s="1028">
        <f>+AH75+AI75+AJ75</f>
        <v>0</v>
      </c>
      <c r="AL75" s="1028">
        <f>+AM75+AN75+AO75</f>
        <v>0</v>
      </c>
      <c r="AQ75" s="1028">
        <f>+AR75+AS75+AV75+AW75</f>
        <v>0</v>
      </c>
      <c r="AR75" s="1028">
        <v>0</v>
      </c>
      <c r="AS75" s="1028">
        <f>+AT75+AU75</f>
        <v>0</v>
      </c>
      <c r="AT75" s="1028">
        <v>0</v>
      </c>
      <c r="AY75" s="1028">
        <f>+AZ75+BC75+BD75+BE75+BJ75</f>
        <v>945826.33999999985</v>
      </c>
      <c r="AZ75" s="1028">
        <f>+BA75+BB75</f>
        <v>0</v>
      </c>
      <c r="BA75" s="1028">
        <v>0</v>
      </c>
      <c r="BC75" s="1028">
        <v>0</v>
      </c>
      <c r="BD75" s="1028">
        <v>945826.33999999985</v>
      </c>
      <c r="BE75" s="1028">
        <f>+BF75+BG75+BH75+BI75</f>
        <v>0</v>
      </c>
      <c r="BL75" s="1028">
        <f>+BM75+BQ75+BR75</f>
        <v>0</v>
      </c>
      <c r="BM75" s="1028">
        <f>+BN75+BO75+BP75</f>
        <v>0</v>
      </c>
      <c r="BT75" s="1028">
        <f>+BU75+BY75+BZ75+CJ75+CK75+CL75</f>
        <v>0</v>
      </c>
      <c r="BU75" s="1028">
        <f>+BV75+BW75+BX75</f>
        <v>0</v>
      </c>
      <c r="BZ75" s="1028">
        <f>+CA75+CB75+CC75+CD75+CE75+CF75+CG75+CH75+CI75</f>
        <v>0</v>
      </c>
      <c r="CN75" s="1028">
        <f>+CO75+CU75</f>
        <v>0</v>
      </c>
      <c r="CO75" s="1028">
        <f>+CP75+CQ75+CS75+CT75</f>
        <v>0</v>
      </c>
      <c r="CU75" s="1028">
        <f>+CV75+CW75+CX75+CY75+CZ75</f>
        <v>0</v>
      </c>
      <c r="DB75" s="1028">
        <f>+DC75+DD75</f>
        <v>0</v>
      </c>
      <c r="DF75" s="1028">
        <f>+DG75+DQ75+DU75+DV75</f>
        <v>42625520.360000007</v>
      </c>
      <c r="DG75" s="1028">
        <f>+DH75+DK75+DN75</f>
        <v>0</v>
      </c>
      <c r="DH75" s="1028">
        <f>+DI75+DK75</f>
        <v>0</v>
      </c>
      <c r="DK75" s="1028">
        <f>+DL75+DN75</f>
        <v>0</v>
      </c>
      <c r="DN75" s="1028">
        <f>+DO75+DP75</f>
        <v>0</v>
      </c>
      <c r="DQ75" s="1028">
        <f>+DR75+DS75</f>
        <v>42625520.360000007</v>
      </c>
      <c r="DR75" s="1028">
        <v>1313400.0077327474</v>
      </c>
      <c r="DS75" s="1028">
        <v>41312120.352267258</v>
      </c>
      <c r="DV75" s="1028">
        <f>+DW75+DY75</f>
        <v>0</v>
      </c>
      <c r="DZ75" s="1028">
        <f>+EA75+ED75+EG75</f>
        <v>0</v>
      </c>
      <c r="EA75" s="1028">
        <f>+EB75+EC75</f>
        <v>0</v>
      </c>
      <c r="ED75" s="1028">
        <f>+EE75+EF75</f>
        <v>0</v>
      </c>
      <c r="EG75" s="1028">
        <f>+EH75+EI75</f>
        <v>0</v>
      </c>
      <c r="EK75" s="1028">
        <f>+EM75+EQ75+EU75</f>
        <v>0</v>
      </c>
      <c r="EM75" s="1028">
        <f>+EN75+EO75+EP75</f>
        <v>0</v>
      </c>
      <c r="EQ75" s="1028">
        <f>+ER75+ES75+ET75</f>
        <v>0</v>
      </c>
      <c r="EU75" s="1028">
        <f>+EV75+EW75+EX75</f>
        <v>0</v>
      </c>
      <c r="EZ75" s="1028">
        <f>+FB75+FF75+FJ75</f>
        <v>0</v>
      </c>
      <c r="FB75" s="1028">
        <f>+FC75+FD75+FE75</f>
        <v>0</v>
      </c>
      <c r="FF75" s="1028">
        <f>+FG75+FH75+FI75</f>
        <v>0</v>
      </c>
      <c r="FJ75" s="1028">
        <f>+FK75+FL75+FM75</f>
        <v>0</v>
      </c>
      <c r="FO75" s="1028">
        <f>+FQ75+FR75+FS75+FT75+FU75</f>
        <v>0</v>
      </c>
      <c r="FW75" s="1028">
        <f>+FX75+FY75+FZ75</f>
        <v>18275252.990000002</v>
      </c>
      <c r="FX75" s="1028">
        <v>18212859.400000002</v>
      </c>
      <c r="FY75" s="1028">
        <v>62394.30999999959</v>
      </c>
      <c r="FZ75" s="1028">
        <v>-0.72000000003026798</v>
      </c>
      <c r="GB75" s="1028">
        <v>18941839</v>
      </c>
      <c r="GF75" s="1028">
        <f>+C75+E75+J75+U75+AG75+AL75+AQ75+AY75+BL75+BT75+CN75+DB75+DF75+DZ75+EK75+EZ75+FO75+FW75+GB75</f>
        <v>85707700.360000014</v>
      </c>
    </row>
    <row r="76" spans="2:188" ht="15.6">
      <c r="B76" s="1408">
        <v>43891</v>
      </c>
      <c r="C76" s="1028">
        <v>0</v>
      </c>
      <c r="E76" s="1028">
        <v>1127741</v>
      </c>
      <c r="G76" s="1028">
        <v>1127741</v>
      </c>
      <c r="J76" s="1028">
        <v>2351905</v>
      </c>
      <c r="K76" s="1028">
        <v>2351905</v>
      </c>
      <c r="L76" s="1028">
        <v>2351905</v>
      </c>
      <c r="N76" s="1028">
        <v>0</v>
      </c>
      <c r="Q76" s="1028">
        <v>0</v>
      </c>
      <c r="U76" s="1028">
        <v>0</v>
      </c>
      <c r="V76" s="1028">
        <v>0</v>
      </c>
      <c r="W76" s="1028">
        <v>0</v>
      </c>
      <c r="Z76" s="1028">
        <v>0</v>
      </c>
      <c r="AC76" s="1028">
        <v>0</v>
      </c>
      <c r="AG76" s="1028">
        <v>0</v>
      </c>
      <c r="AL76" s="1028">
        <v>0</v>
      </c>
      <c r="AQ76" s="1028">
        <v>0</v>
      </c>
      <c r="AR76" s="1028">
        <v>0</v>
      </c>
      <c r="AS76" s="1028">
        <v>0</v>
      </c>
      <c r="AT76" s="1028">
        <v>0</v>
      </c>
      <c r="AY76" s="1028">
        <v>2337216</v>
      </c>
      <c r="AZ76" s="1028">
        <v>0</v>
      </c>
      <c r="BA76" s="1028">
        <v>0</v>
      </c>
      <c r="BC76" s="1028">
        <v>0</v>
      </c>
      <c r="BD76" s="1028">
        <v>2337216</v>
      </c>
      <c r="BE76" s="1028">
        <v>0</v>
      </c>
      <c r="BL76" s="1028">
        <v>0</v>
      </c>
      <c r="BM76" s="1028">
        <v>0</v>
      </c>
      <c r="BT76" s="1028">
        <v>0</v>
      </c>
      <c r="BU76" s="1028">
        <v>0</v>
      </c>
      <c r="BZ76" s="1028">
        <v>0</v>
      </c>
      <c r="CN76" s="1028">
        <v>0</v>
      </c>
      <c r="CO76" s="1028">
        <v>0</v>
      </c>
      <c r="CU76" s="1028">
        <v>0</v>
      </c>
      <c r="DB76" s="1028">
        <v>0</v>
      </c>
      <c r="DF76" s="1028">
        <v>42625520.360000007</v>
      </c>
      <c r="DG76" s="1028">
        <v>0</v>
      </c>
      <c r="DH76" s="1028">
        <v>0</v>
      </c>
      <c r="DK76" s="1028">
        <v>0</v>
      </c>
      <c r="DN76" s="1028">
        <v>0</v>
      </c>
      <c r="DQ76" s="1028">
        <v>42625520.360000007</v>
      </c>
      <c r="DR76" s="1028">
        <v>1313400.0077327474</v>
      </c>
      <c r="DS76" s="1028">
        <v>41312120.352267258</v>
      </c>
      <c r="DV76" s="1028">
        <v>0</v>
      </c>
      <c r="DZ76" s="1028">
        <v>0</v>
      </c>
      <c r="EA76" s="1028">
        <v>0</v>
      </c>
      <c r="ED76" s="1028">
        <v>0</v>
      </c>
      <c r="EG76" s="1028">
        <v>0</v>
      </c>
      <c r="EK76" s="1028">
        <v>0</v>
      </c>
      <c r="EM76" s="1028">
        <v>0</v>
      </c>
      <c r="EQ76" s="1028">
        <v>0</v>
      </c>
      <c r="EU76" s="1028">
        <v>0</v>
      </c>
      <c r="EZ76" s="1028">
        <v>0</v>
      </c>
      <c r="FB76" s="1028">
        <v>0</v>
      </c>
      <c r="FF76" s="1028">
        <v>0</v>
      </c>
      <c r="FJ76" s="1028">
        <v>0</v>
      </c>
      <c r="FO76" s="1028">
        <v>0</v>
      </c>
      <c r="FW76" s="1028">
        <v>18275252.990000002</v>
      </c>
      <c r="FX76" s="1028">
        <v>18212859.400000002</v>
      </c>
      <c r="FY76" s="1028">
        <v>62394.30999999959</v>
      </c>
      <c r="FZ76" s="1028">
        <v>-0.72000000003026798</v>
      </c>
      <c r="GB76" s="1028">
        <v>16367917</v>
      </c>
      <c r="GF76" s="1028">
        <v>83085552.350000009</v>
      </c>
    </row>
    <row r="77" spans="2:188" ht="15.6">
      <c r="B77" s="1408">
        <v>43922</v>
      </c>
      <c r="C77" s="1028">
        <v>0</v>
      </c>
      <c r="E77" s="1028">
        <v>1127741</v>
      </c>
      <c r="G77" s="1028">
        <v>1127741</v>
      </c>
      <c r="J77" s="1028">
        <v>2351905</v>
      </c>
      <c r="K77" s="1028">
        <v>2351905</v>
      </c>
      <c r="L77" s="1028">
        <v>2351905</v>
      </c>
      <c r="N77" s="1028">
        <v>0</v>
      </c>
      <c r="Q77" s="1028">
        <v>0</v>
      </c>
      <c r="U77" s="1028">
        <v>0</v>
      </c>
      <c r="V77" s="1028">
        <v>0</v>
      </c>
      <c r="W77" s="1028">
        <v>0</v>
      </c>
      <c r="Z77" s="1028">
        <v>0</v>
      </c>
      <c r="AC77" s="1028">
        <v>0</v>
      </c>
      <c r="AG77" s="1028">
        <v>0</v>
      </c>
      <c r="AL77" s="1028">
        <v>0</v>
      </c>
      <c r="AQ77" s="1028">
        <v>0</v>
      </c>
      <c r="AR77" s="1028">
        <v>0</v>
      </c>
      <c r="AS77" s="1028">
        <v>0</v>
      </c>
      <c r="AT77" s="1028">
        <v>0</v>
      </c>
      <c r="AY77" s="1028">
        <v>2337216</v>
      </c>
      <c r="AZ77" s="1028">
        <v>0</v>
      </c>
      <c r="BA77" s="1028">
        <v>0</v>
      </c>
      <c r="BC77" s="1028">
        <v>0</v>
      </c>
      <c r="BD77" s="1028">
        <v>2337216</v>
      </c>
      <c r="BE77" s="1028">
        <v>0</v>
      </c>
      <c r="BL77" s="1028">
        <v>0</v>
      </c>
      <c r="BM77" s="1028">
        <v>0</v>
      </c>
      <c r="BT77" s="1028">
        <v>0</v>
      </c>
      <c r="BU77" s="1028">
        <v>0</v>
      </c>
      <c r="BZ77" s="1028">
        <v>0</v>
      </c>
      <c r="CN77" s="1028">
        <v>0</v>
      </c>
      <c r="CO77" s="1028">
        <v>0</v>
      </c>
      <c r="CU77" s="1028">
        <v>0</v>
      </c>
      <c r="DB77" s="1028">
        <v>0</v>
      </c>
      <c r="DF77" s="1028">
        <v>42625520.360000007</v>
      </c>
      <c r="DG77" s="1028">
        <v>0</v>
      </c>
      <c r="DH77" s="1028">
        <v>0</v>
      </c>
      <c r="DK77" s="1028">
        <v>0</v>
      </c>
      <c r="DN77" s="1028">
        <v>0</v>
      </c>
      <c r="DQ77" s="1028">
        <v>42625520.360000007</v>
      </c>
      <c r="DR77" s="1028">
        <v>1313400.0077327474</v>
      </c>
      <c r="DS77" s="1028">
        <v>41312120.352267258</v>
      </c>
      <c r="DV77" s="1028">
        <v>0</v>
      </c>
      <c r="DZ77" s="1028">
        <v>0</v>
      </c>
      <c r="EA77" s="1028">
        <v>0</v>
      </c>
      <c r="ED77" s="1028">
        <v>0</v>
      </c>
      <c r="EG77" s="1028">
        <v>0</v>
      </c>
      <c r="EK77" s="1028">
        <v>0</v>
      </c>
      <c r="EM77" s="1028">
        <v>0</v>
      </c>
      <c r="EQ77" s="1028">
        <v>0</v>
      </c>
      <c r="EU77" s="1028">
        <v>0</v>
      </c>
      <c r="EZ77" s="1028">
        <v>0</v>
      </c>
      <c r="FB77" s="1028">
        <v>0</v>
      </c>
      <c r="FF77" s="1028">
        <v>0</v>
      </c>
      <c r="FJ77" s="1028">
        <v>0</v>
      </c>
      <c r="FO77" s="1028">
        <v>0</v>
      </c>
      <c r="FW77" s="1028">
        <v>18275252.990000002</v>
      </c>
      <c r="FX77" s="1028">
        <v>18212859.400000002</v>
      </c>
      <c r="FY77" s="1028">
        <v>62394.30999999959</v>
      </c>
      <c r="FZ77" s="1028">
        <v>-0.72000000003026798</v>
      </c>
      <c r="GB77" s="1028">
        <v>16367917</v>
      </c>
      <c r="GF77" s="1028">
        <v>83085552.350000009</v>
      </c>
    </row>
    <row r="78" spans="2:188" ht="15.6">
      <c r="B78" s="1408">
        <v>43952</v>
      </c>
      <c r="C78" s="1028">
        <v>0</v>
      </c>
      <c r="E78" s="1028">
        <v>325135</v>
      </c>
      <c r="G78" s="1028">
        <v>325135</v>
      </c>
      <c r="J78" s="1028">
        <v>2170493.73</v>
      </c>
      <c r="K78" s="1028">
        <v>2170493.73</v>
      </c>
      <c r="L78" s="1028">
        <v>2170493.73</v>
      </c>
      <c r="N78" s="1028">
        <v>0</v>
      </c>
      <c r="Q78" s="1028">
        <v>0</v>
      </c>
      <c r="U78" s="1028">
        <v>0</v>
      </c>
      <c r="V78" s="1028">
        <v>0</v>
      </c>
      <c r="W78" s="1028">
        <v>0</v>
      </c>
      <c r="Z78" s="1028">
        <v>0</v>
      </c>
      <c r="AC78" s="1028">
        <v>0</v>
      </c>
      <c r="AG78" s="1028">
        <v>0</v>
      </c>
      <c r="AL78" s="1028">
        <v>0</v>
      </c>
      <c r="AQ78" s="1028">
        <v>0</v>
      </c>
      <c r="AR78" s="1028">
        <v>0</v>
      </c>
      <c r="AS78" s="1028">
        <v>0</v>
      </c>
      <c r="AT78" s="1028">
        <v>0</v>
      </c>
      <c r="AY78" s="1028">
        <v>945826.33999999985</v>
      </c>
      <c r="AZ78" s="1028">
        <v>0</v>
      </c>
      <c r="BA78" s="1028">
        <v>0</v>
      </c>
      <c r="BC78" s="1028">
        <v>0</v>
      </c>
      <c r="BD78" s="1028">
        <v>945826.33999999985</v>
      </c>
      <c r="BE78" s="1028">
        <v>0</v>
      </c>
      <c r="BL78" s="1028">
        <v>0</v>
      </c>
      <c r="BM78" s="1028">
        <v>0</v>
      </c>
      <c r="BT78" s="1028">
        <v>0</v>
      </c>
      <c r="BU78" s="1028">
        <v>0</v>
      </c>
      <c r="BZ78" s="1028">
        <v>0</v>
      </c>
      <c r="CN78" s="1028">
        <v>0</v>
      </c>
      <c r="CO78" s="1028">
        <v>0</v>
      </c>
      <c r="CU78" s="1028">
        <v>0</v>
      </c>
      <c r="DB78" s="1028">
        <v>0</v>
      </c>
      <c r="DF78" s="1028">
        <v>39974171.710000008</v>
      </c>
      <c r="DG78" s="1028">
        <v>0</v>
      </c>
      <c r="DH78" s="1028">
        <v>0</v>
      </c>
      <c r="DK78" s="1028">
        <v>0</v>
      </c>
      <c r="DN78" s="1028">
        <v>0</v>
      </c>
      <c r="DQ78" s="1028">
        <v>39974171.710000008</v>
      </c>
      <c r="DR78" s="1028">
        <v>1231705.2551994736</v>
      </c>
      <c r="DS78" s="1028">
        <v>38742466.454800531</v>
      </c>
      <c r="DV78" s="1028">
        <v>0</v>
      </c>
      <c r="DZ78" s="1028">
        <v>0</v>
      </c>
      <c r="EA78" s="1028">
        <v>0</v>
      </c>
      <c r="ED78" s="1028">
        <v>0</v>
      </c>
      <c r="EG78" s="1028">
        <v>0</v>
      </c>
      <c r="EK78" s="1028">
        <v>0</v>
      </c>
      <c r="EM78" s="1028">
        <v>0</v>
      </c>
      <c r="EQ78" s="1028">
        <v>0</v>
      </c>
      <c r="EU78" s="1028">
        <v>0</v>
      </c>
      <c r="EZ78" s="1028">
        <v>0</v>
      </c>
      <c r="FB78" s="1028">
        <v>0</v>
      </c>
      <c r="FF78" s="1028">
        <v>0</v>
      </c>
      <c r="FJ78" s="1028">
        <v>0</v>
      </c>
      <c r="FO78" s="1028">
        <v>0</v>
      </c>
      <c r="FW78" s="1028">
        <v>18275252.990000002</v>
      </c>
      <c r="FX78" s="1028">
        <v>18212859.400000002</v>
      </c>
      <c r="FY78" s="1028">
        <v>62394.30999999959</v>
      </c>
      <c r="FZ78" s="1028">
        <v>-0.72000000003026798</v>
      </c>
      <c r="GB78" s="1028">
        <v>16563390.070834782</v>
      </c>
      <c r="GF78" s="1028">
        <v>78254269.840834796</v>
      </c>
    </row>
    <row r="79" spans="2:188" ht="15.6">
      <c r="B79" s="1408">
        <v>43983</v>
      </c>
      <c r="C79" s="1028">
        <v>0</v>
      </c>
      <c r="E79" s="1028">
        <v>1117831.8500000001</v>
      </c>
      <c r="G79" s="1028">
        <v>1117831.8500000001</v>
      </c>
      <c r="J79" s="1028">
        <v>2378199.9</v>
      </c>
      <c r="K79" s="1028">
        <v>2378199.9</v>
      </c>
      <c r="L79" s="1028">
        <v>2378199.9</v>
      </c>
      <c r="N79" s="1028">
        <v>0</v>
      </c>
      <c r="Q79" s="1028">
        <v>0</v>
      </c>
      <c r="U79" s="1028">
        <v>0</v>
      </c>
      <c r="V79" s="1028">
        <v>0</v>
      </c>
      <c r="W79" s="1028">
        <v>0</v>
      </c>
      <c r="Z79" s="1028">
        <v>0</v>
      </c>
      <c r="AC79" s="1028">
        <v>0</v>
      </c>
      <c r="AG79" s="1028">
        <v>0</v>
      </c>
      <c r="AL79" s="1028">
        <v>0</v>
      </c>
      <c r="AQ79" s="1028">
        <v>0</v>
      </c>
      <c r="AR79" s="1028">
        <v>0</v>
      </c>
      <c r="AS79" s="1028">
        <v>0</v>
      </c>
      <c r="AT79" s="1028">
        <v>0</v>
      </c>
      <c r="AY79" s="1028">
        <v>945826.33999999985</v>
      </c>
      <c r="AZ79" s="1028">
        <v>0</v>
      </c>
      <c r="BA79" s="1028">
        <v>0</v>
      </c>
      <c r="BC79" s="1028">
        <v>0</v>
      </c>
      <c r="BD79" s="1028">
        <v>945826.33999999985</v>
      </c>
      <c r="BE79" s="1028">
        <v>0</v>
      </c>
      <c r="BL79" s="1028">
        <v>0</v>
      </c>
      <c r="BM79" s="1028">
        <v>0</v>
      </c>
      <c r="BT79" s="1028">
        <v>0</v>
      </c>
      <c r="BU79" s="1028">
        <v>0</v>
      </c>
      <c r="BZ79" s="1028">
        <v>0</v>
      </c>
      <c r="CN79" s="1028">
        <v>0</v>
      </c>
      <c r="CO79" s="1028">
        <v>0</v>
      </c>
      <c r="CU79" s="1028">
        <v>0</v>
      </c>
      <c r="DB79" s="1028">
        <v>0</v>
      </c>
      <c r="DF79" s="1028">
        <v>38222454.280000009</v>
      </c>
      <c r="DG79" s="1028">
        <v>0</v>
      </c>
      <c r="DH79" s="1028">
        <v>0</v>
      </c>
      <c r="DK79" s="1028">
        <v>0</v>
      </c>
      <c r="DN79" s="1028">
        <v>0</v>
      </c>
      <c r="DQ79" s="1028">
        <v>38222454.280000009</v>
      </c>
      <c r="DR79" s="1028">
        <v>1177730.4141494024</v>
      </c>
      <c r="DS79" s="1028">
        <v>37044723.865850605</v>
      </c>
      <c r="DV79" s="1028">
        <v>0</v>
      </c>
      <c r="DZ79" s="1028">
        <v>0</v>
      </c>
      <c r="EA79" s="1028">
        <v>0</v>
      </c>
      <c r="ED79" s="1028">
        <v>0</v>
      </c>
      <c r="EG79" s="1028">
        <v>0</v>
      </c>
      <c r="EK79" s="1028">
        <v>0</v>
      </c>
      <c r="EM79" s="1028">
        <v>0</v>
      </c>
      <c r="EQ79" s="1028">
        <v>0</v>
      </c>
      <c r="EU79" s="1028">
        <v>0</v>
      </c>
      <c r="EZ79" s="1028">
        <v>0</v>
      </c>
      <c r="FB79" s="1028">
        <v>0</v>
      </c>
      <c r="FF79" s="1028">
        <v>0</v>
      </c>
      <c r="FJ79" s="1028">
        <v>0</v>
      </c>
      <c r="FO79" s="1028">
        <v>0</v>
      </c>
      <c r="FW79" s="1028">
        <v>18275252.990000002</v>
      </c>
      <c r="FX79" s="1028">
        <v>18212859.400000002</v>
      </c>
      <c r="FY79" s="1028">
        <v>62394.30999999959</v>
      </c>
      <c r="FZ79" s="1028">
        <v>-0.72000000003026798</v>
      </c>
      <c r="GB79" s="1028">
        <v>17002943.290834788</v>
      </c>
      <c r="GF79" s="1028">
        <v>77942508.650834799</v>
      </c>
    </row>
    <row r="80" spans="2:188" ht="15.6">
      <c r="B80" s="1408">
        <v>44013</v>
      </c>
      <c r="C80" s="1028">
        <v>0</v>
      </c>
      <c r="E80" s="1028">
        <v>818011</v>
      </c>
      <c r="G80" s="1028">
        <v>818011</v>
      </c>
      <c r="J80" s="1028">
        <v>10977817</v>
      </c>
      <c r="K80" s="1028">
        <v>10977817</v>
      </c>
      <c r="L80" s="1028">
        <v>10977817</v>
      </c>
      <c r="N80" s="1028">
        <v>0</v>
      </c>
      <c r="Q80" s="1028">
        <v>0</v>
      </c>
      <c r="U80" s="1028">
        <v>0</v>
      </c>
      <c r="V80" s="1028">
        <v>0</v>
      </c>
      <c r="W80" s="1028">
        <v>0</v>
      </c>
      <c r="Z80" s="1028">
        <v>0</v>
      </c>
      <c r="AC80" s="1028">
        <v>0</v>
      </c>
      <c r="AG80" s="1028">
        <v>0</v>
      </c>
      <c r="AL80" s="1028">
        <v>0</v>
      </c>
      <c r="AQ80" s="1028">
        <v>0</v>
      </c>
      <c r="AR80" s="1028">
        <v>0</v>
      </c>
      <c r="AS80" s="1028">
        <v>0</v>
      </c>
      <c r="AT80" s="1028">
        <v>0</v>
      </c>
      <c r="AY80" s="1028">
        <v>945826</v>
      </c>
      <c r="AZ80" s="1028">
        <v>0</v>
      </c>
      <c r="BA80" s="1028">
        <v>0</v>
      </c>
      <c r="BC80" s="1028">
        <v>0</v>
      </c>
      <c r="BD80" s="1028">
        <v>945826</v>
      </c>
      <c r="BE80" s="1028">
        <v>0</v>
      </c>
      <c r="BL80" s="1028">
        <v>0</v>
      </c>
      <c r="BM80" s="1028">
        <v>0</v>
      </c>
      <c r="BT80" s="1028">
        <v>0</v>
      </c>
      <c r="BU80" s="1028">
        <v>0</v>
      </c>
      <c r="BZ80" s="1028">
        <v>0</v>
      </c>
      <c r="CN80" s="1028">
        <v>0</v>
      </c>
      <c r="CO80" s="1028">
        <v>0</v>
      </c>
      <c r="CU80" s="1028">
        <v>0</v>
      </c>
      <c r="DB80" s="1028">
        <v>0</v>
      </c>
      <c r="DF80" s="1028">
        <v>34972714</v>
      </c>
      <c r="DG80" s="1028">
        <v>0</v>
      </c>
      <c r="DH80" s="1028">
        <v>0</v>
      </c>
      <c r="DK80" s="1028">
        <v>0</v>
      </c>
      <c r="DN80" s="1028">
        <v>0</v>
      </c>
      <c r="DQ80" s="1028">
        <v>34972714</v>
      </c>
      <c r="DR80" s="1028">
        <v>1077598</v>
      </c>
      <c r="DS80" s="1028">
        <v>33895116</v>
      </c>
      <c r="DV80" s="1028">
        <v>0</v>
      </c>
      <c r="DZ80" s="1028">
        <v>0</v>
      </c>
      <c r="EA80" s="1028">
        <v>0</v>
      </c>
      <c r="ED80" s="1028">
        <v>0</v>
      </c>
      <c r="EG80" s="1028">
        <v>0</v>
      </c>
      <c r="EK80" s="1028">
        <v>0</v>
      </c>
      <c r="EM80" s="1028">
        <v>0</v>
      </c>
      <c r="EQ80" s="1028">
        <v>0</v>
      </c>
      <c r="EU80" s="1028">
        <v>0</v>
      </c>
      <c r="EZ80" s="1028">
        <v>0</v>
      </c>
      <c r="FB80" s="1028">
        <v>0</v>
      </c>
      <c r="FF80" s="1028">
        <v>0</v>
      </c>
      <c r="FJ80" s="1028">
        <v>0</v>
      </c>
      <c r="FO80" s="1028">
        <v>0</v>
      </c>
      <c r="FW80" s="1028">
        <v>18203773</v>
      </c>
      <c r="FX80" s="1028">
        <v>18141379</v>
      </c>
      <c r="FY80" s="1028">
        <v>62394</v>
      </c>
      <c r="FZ80" s="1028">
        <v>0</v>
      </c>
      <c r="GB80" s="1028">
        <v>48669121</v>
      </c>
      <c r="GF80" s="1028">
        <v>114587262</v>
      </c>
    </row>
    <row r="81" spans="2:188" ht="15.6">
      <c r="B81" s="1408">
        <v>44044</v>
      </c>
      <c r="C81" s="1028">
        <v>0</v>
      </c>
      <c r="E81" s="1028">
        <f>+F81+G81+H81</f>
        <v>176863</v>
      </c>
      <c r="G81" s="1028">
        <v>176863</v>
      </c>
      <c r="J81" s="1028">
        <f>+K81+N81+Q81</f>
        <v>10977816.900000002</v>
      </c>
      <c r="K81" s="1028">
        <f>+L81+M81</f>
        <v>10977816.900000002</v>
      </c>
      <c r="L81" s="1028">
        <v>10977816.900000002</v>
      </c>
      <c r="N81" s="1028">
        <f>+O81+P81</f>
        <v>0</v>
      </c>
      <c r="Q81" s="1028">
        <f>+R81+S81</f>
        <v>0</v>
      </c>
      <c r="U81" s="1028">
        <f>+V81+Z81+AC81</f>
        <v>0</v>
      </c>
      <c r="V81" s="1028">
        <f>+W81+X81</f>
        <v>0</v>
      </c>
      <c r="W81" s="1028">
        <v>0</v>
      </c>
      <c r="Z81" s="1028">
        <f>+AA81+AB81</f>
        <v>0</v>
      </c>
      <c r="AC81" s="1028">
        <f>+AD81+AE81</f>
        <v>0</v>
      </c>
      <c r="AG81" s="1028">
        <f>+AH81+AI81+AJ81</f>
        <v>0</v>
      </c>
      <c r="AL81" s="1028">
        <f>+AM81+AN81+AO81</f>
        <v>0</v>
      </c>
      <c r="AQ81" s="1028">
        <f>+AR81+AS81+AV81+AW81</f>
        <v>0</v>
      </c>
      <c r="AR81" s="1028">
        <v>0</v>
      </c>
      <c r="AS81" s="1028">
        <f>+AT81+AU81</f>
        <v>0</v>
      </c>
      <c r="AT81" s="1028">
        <v>0</v>
      </c>
      <c r="AY81" s="1028">
        <f>+AZ81+BC81+BD81+BE81+BJ81</f>
        <v>945826.33999999985</v>
      </c>
      <c r="AZ81" s="1028">
        <f>+BA81+BB81</f>
        <v>0</v>
      </c>
      <c r="BA81" s="1028">
        <v>0</v>
      </c>
      <c r="BC81" s="1028">
        <v>0</v>
      </c>
      <c r="BD81" s="1028">
        <v>945826.33999999985</v>
      </c>
      <c r="BE81" s="1028">
        <f>+BF81+BG81+BH81+BI81</f>
        <v>0</v>
      </c>
      <c r="BL81" s="1028">
        <f>+BM81+BQ81+BR81</f>
        <v>0</v>
      </c>
      <c r="BM81" s="1028">
        <f>+BN81+BO81+BP81</f>
        <v>0</v>
      </c>
      <c r="BT81" s="1028">
        <f>+BU81+BY81+BZ81+CJ81+CK81+CL81</f>
        <v>0</v>
      </c>
      <c r="BU81" s="1028">
        <f>+BV81+BW81+BX81</f>
        <v>0</v>
      </c>
      <c r="BZ81" s="1028">
        <f>+CA81+CB81+CC81+CD81+CE81+CF81+CG81+CH81+CI81</f>
        <v>0</v>
      </c>
      <c r="CN81" s="1028">
        <f>+CO81+CU81</f>
        <v>0</v>
      </c>
      <c r="CO81" s="1028">
        <f>+CP81+CQ81+CS81+CT81</f>
        <v>0</v>
      </c>
      <c r="CU81" s="1028">
        <f>+CV81+CW81+CX81+CY81+CZ81</f>
        <v>0</v>
      </c>
      <c r="DB81" s="1028">
        <f>+DC81+DD81</f>
        <v>0</v>
      </c>
      <c r="DF81" s="1028">
        <f>+DG81+DQ81+DU81+DV81</f>
        <v>34722713.539999999</v>
      </c>
      <c r="DG81" s="1028">
        <f>+DH81+DK81+DN81</f>
        <v>0</v>
      </c>
      <c r="DH81" s="1028">
        <f>+DI81+DK81</f>
        <v>0</v>
      </c>
      <c r="DK81" s="1028">
        <f>+DL81+DN81</f>
        <v>0</v>
      </c>
      <c r="DN81" s="1028">
        <f>+DO81+DP81</f>
        <v>0</v>
      </c>
      <c r="DQ81" s="1028">
        <f>+DR81+DS81</f>
        <v>34722713.539999999</v>
      </c>
      <c r="DR81" s="1028">
        <v>1069894.5572224322</v>
      </c>
      <c r="DS81" s="1028">
        <v>33652818.982777566</v>
      </c>
      <c r="DV81" s="1028">
        <f>+DW81+DY81</f>
        <v>0</v>
      </c>
      <c r="DZ81" s="1028">
        <f>+EA81+ED81+EG81</f>
        <v>0</v>
      </c>
      <c r="EA81" s="1028">
        <f>+EB81+EC81</f>
        <v>0</v>
      </c>
      <c r="ED81" s="1028">
        <f>+EE81+EF81</f>
        <v>0</v>
      </c>
      <c r="EG81" s="1028">
        <f>+EH81+EI81</f>
        <v>0</v>
      </c>
      <c r="EK81" s="1028">
        <f>+EM81+EQ81+EU81</f>
        <v>0</v>
      </c>
      <c r="EM81" s="1028">
        <f>+EN81+EO81+EP81</f>
        <v>0</v>
      </c>
      <c r="EQ81" s="1028">
        <f>+ER81+ES81+ET81</f>
        <v>0</v>
      </c>
      <c r="EU81" s="1028">
        <f>+EV81+EW81+EX81</f>
        <v>0</v>
      </c>
      <c r="EZ81" s="1028">
        <f>+FB81+FF81+FJ81</f>
        <v>0</v>
      </c>
      <c r="FB81" s="1028">
        <f>+FC81+FD81+FE81</f>
        <v>0</v>
      </c>
      <c r="FF81" s="1028">
        <f>+FG81+FH81+FI81</f>
        <v>0</v>
      </c>
      <c r="FJ81" s="1028">
        <f>+FK81+FL81+FM81</f>
        <v>0</v>
      </c>
      <c r="FO81" s="1028">
        <f>+FQ81+FR81+FS81+FT81+FU81</f>
        <v>0</v>
      </c>
      <c r="FW81" s="1028">
        <f>+FX81+FY81+FZ81</f>
        <v>18203772.940000001</v>
      </c>
      <c r="FX81" s="1028">
        <v>18141379.350000001</v>
      </c>
      <c r="FY81" s="1028">
        <v>62393.58999999956</v>
      </c>
      <c r="FZ81" s="1028">
        <v>0</v>
      </c>
      <c r="GB81" s="1028">
        <v>49560268.820834786</v>
      </c>
      <c r="GF81" s="1028">
        <f>+C81+E81+J81+U81+AG81+AL81+AQ81+AY81+BL81+BT81+CN81+DB81+DF81+DZ81+EK81+EZ81+FO81+FW81+GB81</f>
        <v>114587261.54083478</v>
      </c>
    </row>
    <row r="82" spans="2:188" ht="15.6">
      <c r="B82" s="1408">
        <v>44075</v>
      </c>
      <c r="C82" s="1028">
        <v>0</v>
      </c>
      <c r="E82" s="1028">
        <v>48463</v>
      </c>
      <c r="G82" s="1028">
        <v>48463</v>
      </c>
      <c r="J82" s="1028">
        <v>12043188</v>
      </c>
      <c r="K82" s="1028">
        <v>12043188</v>
      </c>
      <c r="L82" s="1028">
        <v>12043188</v>
      </c>
      <c r="N82" s="1028">
        <v>0</v>
      </c>
      <c r="Q82" s="1028">
        <v>0</v>
      </c>
      <c r="U82" s="1028">
        <v>0</v>
      </c>
      <c r="V82" s="1028">
        <v>0</v>
      </c>
      <c r="W82" s="1028">
        <v>0</v>
      </c>
      <c r="Z82" s="1028">
        <v>0</v>
      </c>
      <c r="AC82" s="1028">
        <v>0</v>
      </c>
      <c r="AG82" s="1028">
        <v>0</v>
      </c>
      <c r="AL82" s="1028">
        <v>0</v>
      </c>
      <c r="AQ82" s="1028">
        <v>0</v>
      </c>
      <c r="AR82" s="1028">
        <v>0</v>
      </c>
      <c r="AS82" s="1028">
        <v>0</v>
      </c>
      <c r="AT82" s="1028">
        <v>0</v>
      </c>
      <c r="AY82" s="1028">
        <v>479114</v>
      </c>
      <c r="AZ82" s="1028">
        <v>0</v>
      </c>
      <c r="BA82" s="1028">
        <v>0</v>
      </c>
      <c r="BC82" s="1028">
        <v>0</v>
      </c>
      <c r="BD82" s="1028">
        <v>479114</v>
      </c>
      <c r="BE82" s="1028">
        <v>0</v>
      </c>
      <c r="BL82" s="1028">
        <v>0</v>
      </c>
      <c r="BM82" s="1028">
        <v>0</v>
      </c>
      <c r="BT82" s="1028">
        <v>0</v>
      </c>
      <c r="BU82" s="1028">
        <v>0</v>
      </c>
      <c r="BZ82" s="1028">
        <v>0</v>
      </c>
      <c r="CN82" s="1028">
        <v>0</v>
      </c>
      <c r="CO82" s="1028">
        <v>0</v>
      </c>
      <c r="CU82" s="1028">
        <v>0</v>
      </c>
      <c r="DB82" s="1028">
        <v>0</v>
      </c>
      <c r="DF82" s="1028">
        <v>34972713.540000007</v>
      </c>
      <c r="DG82" s="1028">
        <v>0</v>
      </c>
      <c r="DH82" s="1028">
        <v>0</v>
      </c>
      <c r="DK82" s="1028">
        <v>0</v>
      </c>
      <c r="DN82" s="1028">
        <v>0</v>
      </c>
      <c r="DQ82" s="1028">
        <v>34972713.540000007</v>
      </c>
      <c r="DR82" s="1028">
        <v>1077597.6890354885</v>
      </c>
      <c r="DS82" s="1028">
        <v>33895115.850964516</v>
      </c>
      <c r="DV82" s="1028">
        <v>0</v>
      </c>
      <c r="DZ82" s="1028">
        <v>0</v>
      </c>
      <c r="EA82" s="1028">
        <v>0</v>
      </c>
      <c r="ED82" s="1028">
        <v>0</v>
      </c>
      <c r="EG82" s="1028">
        <v>0</v>
      </c>
      <c r="EK82" s="1028">
        <v>0</v>
      </c>
      <c r="EM82" s="1028">
        <v>0</v>
      </c>
      <c r="EQ82" s="1028">
        <v>0</v>
      </c>
      <c r="EU82" s="1028">
        <v>0</v>
      </c>
      <c r="EZ82" s="1028">
        <v>0</v>
      </c>
      <c r="FB82" s="1028">
        <v>0</v>
      </c>
      <c r="FF82" s="1028">
        <v>0</v>
      </c>
      <c r="FJ82" s="1028">
        <v>0</v>
      </c>
      <c r="FO82" s="1028">
        <v>0</v>
      </c>
      <c r="FW82" s="1028">
        <v>874592532.95000005</v>
      </c>
      <c r="FX82" s="1028">
        <v>874530133.33000004</v>
      </c>
      <c r="FY82" s="1028">
        <v>62399.620000000112</v>
      </c>
      <c r="FZ82" s="1028">
        <v>0</v>
      </c>
      <c r="GB82" s="1028">
        <v>47985367.049999997</v>
      </c>
      <c r="GF82" s="1028">
        <v>970121378.53999996</v>
      </c>
    </row>
    <row r="83" spans="2:188" ht="15.6">
      <c r="B83" s="1408">
        <v>44105</v>
      </c>
      <c r="C83" s="1028">
        <v>0</v>
      </c>
      <c r="E83" s="1028">
        <v>48463</v>
      </c>
      <c r="G83" s="1028">
        <v>48463</v>
      </c>
      <c r="J83" s="1028">
        <v>12043188</v>
      </c>
      <c r="K83" s="1028">
        <v>12043188</v>
      </c>
      <c r="L83" s="1028">
        <v>12043188</v>
      </c>
      <c r="N83" s="1028">
        <v>0</v>
      </c>
      <c r="Q83" s="1028">
        <v>0</v>
      </c>
      <c r="U83" s="1028">
        <v>0</v>
      </c>
      <c r="V83" s="1028">
        <v>0</v>
      </c>
      <c r="W83" s="1028">
        <v>0</v>
      </c>
      <c r="Z83" s="1028">
        <v>0</v>
      </c>
      <c r="AC83" s="1028">
        <v>0</v>
      </c>
      <c r="AG83" s="1028">
        <v>0</v>
      </c>
      <c r="AL83" s="1028">
        <v>0</v>
      </c>
      <c r="AQ83" s="1028">
        <v>0</v>
      </c>
      <c r="AR83" s="1028">
        <v>0</v>
      </c>
      <c r="AS83" s="1028">
        <v>0</v>
      </c>
      <c r="AT83" s="1028">
        <v>0</v>
      </c>
      <c r="AY83" s="1028">
        <v>479114</v>
      </c>
      <c r="AZ83" s="1028">
        <v>0</v>
      </c>
      <c r="BA83" s="1028">
        <v>0</v>
      </c>
      <c r="BC83" s="1028">
        <v>0</v>
      </c>
      <c r="BD83" s="1028">
        <v>479114</v>
      </c>
      <c r="BE83" s="1028">
        <v>0</v>
      </c>
      <c r="BL83" s="1028">
        <v>0</v>
      </c>
      <c r="BM83" s="1028">
        <v>0</v>
      </c>
      <c r="BT83" s="1028">
        <v>0</v>
      </c>
      <c r="BU83" s="1028">
        <v>0</v>
      </c>
      <c r="BZ83" s="1028">
        <v>0</v>
      </c>
      <c r="CN83" s="1028">
        <v>0</v>
      </c>
      <c r="CO83" s="1028">
        <v>0</v>
      </c>
      <c r="CU83" s="1028">
        <v>0</v>
      </c>
      <c r="DB83" s="1028">
        <v>0</v>
      </c>
      <c r="DF83" s="1028">
        <v>34972713.540000007</v>
      </c>
      <c r="DG83" s="1028">
        <v>0</v>
      </c>
      <c r="DH83" s="1028">
        <v>0</v>
      </c>
      <c r="DK83" s="1028">
        <v>0</v>
      </c>
      <c r="DN83" s="1028">
        <v>0</v>
      </c>
      <c r="DQ83" s="1028">
        <v>34972713.540000007</v>
      </c>
      <c r="DR83" s="1028">
        <v>1077597.6890354885</v>
      </c>
      <c r="DS83" s="1028">
        <v>33895115.850964516</v>
      </c>
      <c r="DV83" s="1028">
        <v>0</v>
      </c>
      <c r="DZ83" s="1028">
        <v>0</v>
      </c>
      <c r="EA83" s="1028">
        <v>0</v>
      </c>
      <c r="ED83" s="1028">
        <v>0</v>
      </c>
      <c r="EG83" s="1028">
        <v>0</v>
      </c>
      <c r="EK83" s="1028">
        <v>0</v>
      </c>
      <c r="EM83" s="1028">
        <v>0</v>
      </c>
      <c r="EQ83" s="1028">
        <v>0</v>
      </c>
      <c r="EU83" s="1028">
        <v>0</v>
      </c>
      <c r="EZ83" s="1028">
        <v>0</v>
      </c>
      <c r="FB83" s="1028">
        <v>0</v>
      </c>
      <c r="FF83" s="1028">
        <v>0</v>
      </c>
      <c r="FJ83" s="1028">
        <v>0</v>
      </c>
      <c r="FO83" s="1028">
        <v>0</v>
      </c>
      <c r="FW83" s="1028">
        <v>874592532.95000005</v>
      </c>
      <c r="FX83" s="1028">
        <v>874530133.33000004</v>
      </c>
      <c r="FY83" s="1028">
        <v>62399.620000000112</v>
      </c>
      <c r="FZ83" s="1028">
        <v>0</v>
      </c>
      <c r="GB83" s="1028">
        <v>47985367.049999997</v>
      </c>
      <c r="GF83" s="1028">
        <v>970121378.53999996</v>
      </c>
    </row>
    <row r="84" spans="2:188" ht="15.6">
      <c r="B84" s="1408">
        <v>44136</v>
      </c>
      <c r="C84" s="1028">
        <v>0</v>
      </c>
      <c r="E84" s="1028">
        <v>445513.81</v>
      </c>
      <c r="G84" s="1028">
        <v>445513.81</v>
      </c>
      <c r="J84" s="1028">
        <v>15505947.720000001</v>
      </c>
      <c r="K84" s="1028">
        <v>15505947.720000001</v>
      </c>
      <c r="L84" s="1028">
        <v>15505947.720000001</v>
      </c>
      <c r="N84" s="1028">
        <v>0</v>
      </c>
      <c r="Q84" s="1028">
        <v>0</v>
      </c>
      <c r="U84" s="1028">
        <v>0</v>
      </c>
      <c r="V84" s="1028">
        <v>0</v>
      </c>
      <c r="W84" s="1028">
        <v>0</v>
      </c>
      <c r="Z84" s="1028">
        <v>0</v>
      </c>
      <c r="AC84" s="1028">
        <v>0</v>
      </c>
      <c r="AG84" s="1028">
        <v>0</v>
      </c>
      <c r="AL84" s="1028">
        <v>0</v>
      </c>
      <c r="AQ84" s="1028">
        <v>0</v>
      </c>
      <c r="AR84" s="1028">
        <v>0</v>
      </c>
      <c r="AS84" s="1028">
        <v>0</v>
      </c>
      <c r="AT84" s="1028">
        <v>0</v>
      </c>
      <c r="AY84" s="1028">
        <v>479114</v>
      </c>
      <c r="AZ84" s="1028">
        <v>0</v>
      </c>
      <c r="BA84" s="1028">
        <v>0</v>
      </c>
      <c r="BC84" s="1028">
        <v>0</v>
      </c>
      <c r="BD84" s="1028">
        <v>479114</v>
      </c>
      <c r="BE84" s="1028">
        <v>0</v>
      </c>
      <c r="BL84" s="1028">
        <v>0</v>
      </c>
      <c r="BM84" s="1028">
        <v>0</v>
      </c>
      <c r="BT84" s="1028">
        <v>0</v>
      </c>
      <c r="BU84" s="1028">
        <v>0</v>
      </c>
      <c r="BZ84" s="1028">
        <v>0</v>
      </c>
      <c r="CN84" s="1028">
        <v>0</v>
      </c>
      <c r="CO84" s="1028">
        <v>0</v>
      </c>
      <c r="CU84" s="1028">
        <v>0</v>
      </c>
      <c r="DB84" s="1028">
        <v>0</v>
      </c>
      <c r="DF84" s="1028">
        <v>34472713.539999999</v>
      </c>
      <c r="DG84" s="1028">
        <v>0</v>
      </c>
      <c r="DH84" s="1028">
        <v>0</v>
      </c>
      <c r="DK84" s="1028">
        <v>0</v>
      </c>
      <c r="DN84" s="1028">
        <v>0</v>
      </c>
      <c r="DQ84" s="1028">
        <v>34472713.539999999</v>
      </c>
      <c r="DR84" s="1028">
        <v>1062191.4254093764</v>
      </c>
      <c r="DS84" s="1028">
        <v>33410522.114590626</v>
      </c>
      <c r="DV84" s="1028">
        <v>0</v>
      </c>
      <c r="DZ84" s="1028">
        <v>0</v>
      </c>
      <c r="EA84" s="1028">
        <v>0</v>
      </c>
      <c r="ED84" s="1028">
        <v>0</v>
      </c>
      <c r="EG84" s="1028">
        <v>0</v>
      </c>
      <c r="EK84" s="1028">
        <v>0</v>
      </c>
      <c r="EM84" s="1028">
        <v>0</v>
      </c>
      <c r="EQ84" s="1028">
        <v>0</v>
      </c>
      <c r="EU84" s="1028">
        <v>0</v>
      </c>
      <c r="EZ84" s="1028">
        <v>0</v>
      </c>
      <c r="FB84" s="1028">
        <v>0</v>
      </c>
      <c r="FF84" s="1028">
        <v>0</v>
      </c>
      <c r="FJ84" s="1028">
        <v>0</v>
      </c>
      <c r="FO84" s="1028">
        <v>0</v>
      </c>
      <c r="FW84" s="1028">
        <v>874592532.95000005</v>
      </c>
      <c r="FX84" s="1028">
        <v>874530133.33000004</v>
      </c>
      <c r="FY84" s="1028">
        <v>62399.620000000112</v>
      </c>
      <c r="FZ84" s="1028">
        <v>0</v>
      </c>
      <c r="GB84" s="1028">
        <v>47673367.049999997</v>
      </c>
      <c r="GF84" s="1028">
        <v>973169189.07000005</v>
      </c>
    </row>
    <row r="85" spans="2:188" ht="15.6">
      <c r="B85" s="1408">
        <v>44166</v>
      </c>
      <c r="C85" s="1028">
        <v>0</v>
      </c>
      <c r="E85" s="1028">
        <v>171693.62999999998</v>
      </c>
      <c r="G85" s="1028">
        <v>171693.62999999998</v>
      </c>
      <c r="J85" s="1028">
        <v>12946666.940000001</v>
      </c>
      <c r="K85" s="1028">
        <v>12946666.940000001</v>
      </c>
      <c r="L85" s="1028">
        <v>12946666.940000001</v>
      </c>
      <c r="N85" s="1028">
        <v>0</v>
      </c>
      <c r="Q85" s="1028">
        <v>0</v>
      </c>
      <c r="U85" s="1028">
        <v>0</v>
      </c>
      <c r="V85" s="1028">
        <v>0</v>
      </c>
      <c r="W85" s="1028">
        <v>0</v>
      </c>
      <c r="Z85" s="1028">
        <v>0</v>
      </c>
      <c r="AC85" s="1028">
        <v>0</v>
      </c>
      <c r="AG85" s="1028">
        <v>0</v>
      </c>
      <c r="AL85" s="1028">
        <v>0</v>
      </c>
      <c r="AQ85" s="1028">
        <v>0</v>
      </c>
      <c r="AR85" s="1028">
        <v>0</v>
      </c>
      <c r="AS85" s="1028">
        <v>0</v>
      </c>
      <c r="AT85" s="1028">
        <v>0</v>
      </c>
      <c r="AY85" s="1028">
        <v>1022793.2200000002</v>
      </c>
      <c r="AZ85" s="1028">
        <v>0</v>
      </c>
      <c r="BA85" s="1028">
        <v>0</v>
      </c>
      <c r="BC85" s="1028">
        <v>0</v>
      </c>
      <c r="BD85" s="1028">
        <v>1022793.2200000002</v>
      </c>
      <c r="BE85" s="1028">
        <v>0</v>
      </c>
      <c r="BL85" s="1028">
        <v>0</v>
      </c>
      <c r="BM85" s="1028">
        <v>0</v>
      </c>
      <c r="BT85" s="1028">
        <v>0</v>
      </c>
      <c r="BU85" s="1028">
        <v>0</v>
      </c>
      <c r="BZ85" s="1028">
        <v>0</v>
      </c>
      <c r="CN85" s="1028">
        <v>0</v>
      </c>
      <c r="CO85" s="1028">
        <v>0</v>
      </c>
      <c r="CU85" s="1028">
        <v>0</v>
      </c>
      <c r="DB85" s="1028">
        <v>0</v>
      </c>
      <c r="DF85" s="1028">
        <v>32007078.229999989</v>
      </c>
      <c r="DG85" s="1028">
        <v>0</v>
      </c>
      <c r="DH85" s="1028">
        <v>0</v>
      </c>
      <c r="DK85" s="1028">
        <v>0</v>
      </c>
      <c r="DN85" s="1028">
        <v>0</v>
      </c>
      <c r="DQ85" s="1028">
        <v>32007078.229999989</v>
      </c>
      <c r="DR85" s="1028">
        <v>986218.97022595408</v>
      </c>
      <c r="DS85" s="1028">
        <v>31020859.259774037</v>
      </c>
      <c r="DV85" s="1028">
        <v>0</v>
      </c>
      <c r="DZ85" s="1028">
        <v>0</v>
      </c>
      <c r="EA85" s="1028">
        <v>0</v>
      </c>
      <c r="ED85" s="1028">
        <v>0</v>
      </c>
      <c r="EG85" s="1028">
        <v>0</v>
      </c>
      <c r="EK85" s="1028">
        <v>0</v>
      </c>
      <c r="EM85" s="1028">
        <v>0</v>
      </c>
      <c r="EQ85" s="1028">
        <v>0</v>
      </c>
      <c r="EU85" s="1028">
        <v>0</v>
      </c>
      <c r="EZ85" s="1028">
        <v>0</v>
      </c>
      <c r="FB85" s="1028">
        <v>0</v>
      </c>
      <c r="FF85" s="1028">
        <v>0</v>
      </c>
      <c r="FJ85" s="1028">
        <v>0</v>
      </c>
      <c r="FO85" s="1028">
        <v>0</v>
      </c>
      <c r="FW85" s="1028">
        <v>874911297.93999994</v>
      </c>
      <c r="FX85" s="1028">
        <v>867641439.3499999</v>
      </c>
      <c r="FY85" s="1028">
        <v>7269858.5899999989</v>
      </c>
      <c r="FZ85" s="1028">
        <v>0</v>
      </c>
      <c r="GB85" s="1028">
        <v>65332324.219999999</v>
      </c>
      <c r="GF85" s="1028">
        <v>986391854.17999995</v>
      </c>
    </row>
    <row r="86" spans="2:188" ht="15.6">
      <c r="B86" s="1408">
        <v>44197</v>
      </c>
      <c r="C86" s="1028">
        <v>0</v>
      </c>
      <c r="E86" s="1028">
        <v>3858341.7277999991</v>
      </c>
      <c r="G86" s="1028">
        <v>3858341.7277999991</v>
      </c>
      <c r="J86" s="1028">
        <v>13867625.435999999</v>
      </c>
      <c r="K86" s="1028">
        <v>13867625.435999999</v>
      </c>
      <c r="L86" s="1028">
        <v>13867625.435999999</v>
      </c>
      <c r="N86" s="1028">
        <v>0</v>
      </c>
      <c r="Q86" s="1028">
        <v>0</v>
      </c>
      <c r="U86" s="1028">
        <v>0</v>
      </c>
      <c r="V86" s="1028">
        <v>0</v>
      </c>
      <c r="W86" s="1028">
        <v>0</v>
      </c>
      <c r="Z86" s="1028">
        <v>0</v>
      </c>
      <c r="AC86" s="1028">
        <v>0</v>
      </c>
      <c r="AG86" s="1028">
        <v>0</v>
      </c>
      <c r="AL86" s="1028">
        <v>0</v>
      </c>
      <c r="AQ86" s="1028">
        <v>0</v>
      </c>
      <c r="AR86" s="1028">
        <v>0</v>
      </c>
      <c r="AS86" s="1028">
        <v>0</v>
      </c>
      <c r="AT86" s="1028">
        <v>0</v>
      </c>
      <c r="AY86" s="1028">
        <v>479113.73</v>
      </c>
      <c r="AZ86" s="1028">
        <v>0</v>
      </c>
      <c r="BA86" s="1028">
        <v>0</v>
      </c>
      <c r="BC86" s="1028">
        <v>0</v>
      </c>
      <c r="BD86" s="1028">
        <v>479113.73</v>
      </c>
      <c r="BE86" s="1028">
        <v>0</v>
      </c>
      <c r="BL86" s="1028">
        <v>0</v>
      </c>
      <c r="BM86" s="1028">
        <v>0</v>
      </c>
      <c r="BT86" s="1028">
        <v>0</v>
      </c>
      <c r="BU86" s="1028">
        <v>0</v>
      </c>
      <c r="BZ86" s="1028">
        <v>0</v>
      </c>
      <c r="CN86" s="1028">
        <v>0</v>
      </c>
      <c r="CO86" s="1028">
        <v>0</v>
      </c>
      <c r="CU86" s="1028">
        <v>0</v>
      </c>
      <c r="DB86" s="1028">
        <v>0</v>
      </c>
      <c r="DF86" s="1028">
        <v>28332682.229999993</v>
      </c>
      <c r="DG86" s="1028">
        <v>0</v>
      </c>
      <c r="DH86" s="1028">
        <v>0</v>
      </c>
      <c r="DK86" s="1028">
        <v>0</v>
      </c>
      <c r="DN86" s="1028">
        <v>0</v>
      </c>
      <c r="DQ86" s="1028">
        <v>28332682.229999993</v>
      </c>
      <c r="DR86" s="1028">
        <v>873001.54334048973</v>
      </c>
      <c r="DS86" s="1028">
        <v>27459680.686659504</v>
      </c>
      <c r="DV86" s="1028">
        <v>0</v>
      </c>
      <c r="DZ86" s="1028">
        <v>0</v>
      </c>
      <c r="EA86" s="1028">
        <v>0</v>
      </c>
      <c r="ED86" s="1028">
        <v>0</v>
      </c>
      <c r="EG86" s="1028">
        <v>0</v>
      </c>
      <c r="EK86" s="1028">
        <v>0</v>
      </c>
      <c r="EM86" s="1028">
        <v>0</v>
      </c>
      <c r="EQ86" s="1028">
        <v>0</v>
      </c>
      <c r="EU86" s="1028">
        <v>0</v>
      </c>
      <c r="EZ86" s="1028">
        <v>0</v>
      </c>
      <c r="FB86" s="1028">
        <v>0</v>
      </c>
      <c r="FF86" s="1028">
        <v>0</v>
      </c>
      <c r="FJ86" s="1028">
        <v>0</v>
      </c>
      <c r="FO86" s="1028">
        <v>0</v>
      </c>
      <c r="FW86" s="1028">
        <v>875374157.13999987</v>
      </c>
      <c r="FX86" s="1028">
        <v>867641439.3499999</v>
      </c>
      <c r="FY86" s="1028">
        <v>7732717.7899999991</v>
      </c>
      <c r="FZ86" s="1028">
        <v>0</v>
      </c>
      <c r="GB86" s="1028">
        <v>79935424.977800012</v>
      </c>
      <c r="GF86" s="1028">
        <v>1001847345.2415999</v>
      </c>
    </row>
    <row r="87" spans="2:188" ht="15.6">
      <c r="B87" s="1408">
        <v>44228</v>
      </c>
      <c r="C87" s="1028">
        <v>0</v>
      </c>
      <c r="E87" s="1028">
        <v>272169.02</v>
      </c>
      <c r="G87" s="1028">
        <v>272169.02</v>
      </c>
      <c r="J87" s="1028">
        <v>11364563.436000001</v>
      </c>
      <c r="K87" s="1028">
        <v>11364563.436000001</v>
      </c>
      <c r="L87" s="1028">
        <v>11364563.436000001</v>
      </c>
      <c r="N87" s="1028">
        <v>0</v>
      </c>
      <c r="Q87" s="1028">
        <v>0</v>
      </c>
      <c r="U87" s="1028">
        <v>0</v>
      </c>
      <c r="V87" s="1028">
        <v>0</v>
      </c>
      <c r="W87" s="1028">
        <v>0</v>
      </c>
      <c r="Z87" s="1028">
        <v>0</v>
      </c>
      <c r="AC87" s="1028">
        <v>0</v>
      </c>
      <c r="AG87" s="1028">
        <v>0</v>
      </c>
      <c r="AL87" s="1028">
        <v>0</v>
      </c>
      <c r="AQ87" s="1028">
        <v>0</v>
      </c>
      <c r="AR87" s="1028">
        <v>0</v>
      </c>
      <c r="AS87" s="1028">
        <v>0</v>
      </c>
      <c r="AT87" s="1028">
        <v>0</v>
      </c>
      <c r="AY87" s="1028">
        <v>479113.73</v>
      </c>
      <c r="AZ87" s="1028">
        <v>0</v>
      </c>
      <c r="BA87" s="1028">
        <v>0</v>
      </c>
      <c r="BC87" s="1028">
        <v>0</v>
      </c>
      <c r="BD87" s="1028">
        <v>479113.73</v>
      </c>
      <c r="BE87" s="1028">
        <v>0</v>
      </c>
      <c r="BL87" s="1028">
        <v>0</v>
      </c>
      <c r="BM87" s="1028">
        <v>0</v>
      </c>
      <c r="BT87" s="1028">
        <v>0</v>
      </c>
      <c r="BU87" s="1028">
        <v>0</v>
      </c>
      <c r="BZ87" s="1028">
        <v>0</v>
      </c>
      <c r="CN87" s="1028">
        <v>0</v>
      </c>
      <c r="CO87" s="1028">
        <v>0</v>
      </c>
      <c r="CU87" s="1028">
        <v>0</v>
      </c>
      <c r="DB87" s="1028">
        <v>0</v>
      </c>
      <c r="DF87" s="1028">
        <v>29398855.229999997</v>
      </c>
      <c r="DG87" s="1028">
        <v>0</v>
      </c>
      <c r="DH87" s="1028">
        <v>0</v>
      </c>
      <c r="DK87" s="1028">
        <v>0</v>
      </c>
      <c r="DN87" s="1028">
        <v>0</v>
      </c>
      <c r="DQ87" s="1028">
        <v>29398855.229999997</v>
      </c>
      <c r="DR87" s="1028">
        <v>905853.02795857575</v>
      </c>
      <c r="DS87" s="1028">
        <v>28493002.202041421</v>
      </c>
      <c r="DV87" s="1028">
        <v>0</v>
      </c>
      <c r="DZ87" s="1028">
        <v>0</v>
      </c>
      <c r="EA87" s="1028">
        <v>0</v>
      </c>
      <c r="ED87" s="1028">
        <v>0</v>
      </c>
      <c r="EG87" s="1028">
        <v>0</v>
      </c>
      <c r="EK87" s="1028">
        <v>0</v>
      </c>
      <c r="EM87" s="1028">
        <v>0</v>
      </c>
      <c r="EQ87" s="1028">
        <v>0</v>
      </c>
      <c r="EU87" s="1028">
        <v>0</v>
      </c>
      <c r="EZ87" s="1028">
        <v>0</v>
      </c>
      <c r="FB87" s="1028">
        <v>0</v>
      </c>
      <c r="FF87" s="1028">
        <v>0</v>
      </c>
      <c r="FJ87" s="1028">
        <v>0</v>
      </c>
      <c r="FO87" s="1028">
        <v>0</v>
      </c>
      <c r="FW87" s="1028">
        <v>875374157.13999987</v>
      </c>
      <c r="FX87" s="1028">
        <v>867641439.3499999</v>
      </c>
      <c r="FY87" s="1028">
        <v>7732717.7899999991</v>
      </c>
      <c r="FZ87" s="1028">
        <v>0</v>
      </c>
      <c r="GB87" s="1028">
        <v>95191069.977800012</v>
      </c>
      <c r="GF87" s="1028">
        <v>1012079928.5337999</v>
      </c>
    </row>
    <row r="88" spans="2:188" ht="15.6">
      <c r="B88" s="1408">
        <v>44256</v>
      </c>
      <c r="C88" s="1028">
        <v>0</v>
      </c>
      <c r="E88" s="1028">
        <v>156671.22</v>
      </c>
      <c r="G88" s="1028">
        <v>156671.22</v>
      </c>
      <c r="J88" s="1028">
        <v>10381580.436000001</v>
      </c>
      <c r="K88" s="1028">
        <v>10381580.436000001</v>
      </c>
      <c r="L88" s="1028">
        <v>10381580.436000001</v>
      </c>
      <c r="N88" s="1028">
        <v>0</v>
      </c>
      <c r="Q88" s="1028">
        <v>0</v>
      </c>
      <c r="U88" s="1028">
        <v>0</v>
      </c>
      <c r="V88" s="1028">
        <v>0</v>
      </c>
      <c r="W88" s="1028">
        <v>0</v>
      </c>
      <c r="Z88" s="1028">
        <v>0</v>
      </c>
      <c r="AC88" s="1028">
        <v>0</v>
      </c>
      <c r="AG88" s="1028">
        <v>0</v>
      </c>
      <c r="AL88" s="1028">
        <v>0</v>
      </c>
      <c r="AQ88" s="1028">
        <v>0</v>
      </c>
      <c r="AR88" s="1028">
        <v>0</v>
      </c>
      <c r="AS88" s="1028">
        <v>0</v>
      </c>
      <c r="AT88" s="1028">
        <v>0</v>
      </c>
      <c r="AY88" s="1028">
        <v>479113.73</v>
      </c>
      <c r="AZ88" s="1028">
        <v>0</v>
      </c>
      <c r="BA88" s="1028">
        <v>0</v>
      </c>
      <c r="BC88" s="1028">
        <v>0</v>
      </c>
      <c r="BD88" s="1028">
        <v>479113.73</v>
      </c>
      <c r="BE88" s="1028">
        <v>0</v>
      </c>
      <c r="BL88" s="1028">
        <v>0</v>
      </c>
      <c r="BM88" s="1028">
        <v>0</v>
      </c>
      <c r="BT88" s="1028">
        <v>0</v>
      </c>
      <c r="BU88" s="1028">
        <v>0</v>
      </c>
      <c r="BZ88" s="1028">
        <v>0</v>
      </c>
      <c r="CN88" s="1028">
        <v>0</v>
      </c>
      <c r="CO88" s="1028">
        <v>0</v>
      </c>
      <c r="CU88" s="1028">
        <v>0</v>
      </c>
      <c r="DB88" s="1028">
        <v>0</v>
      </c>
      <c r="DF88" s="1028">
        <v>28332682.229999993</v>
      </c>
      <c r="DG88" s="1028">
        <v>0</v>
      </c>
      <c r="DH88" s="1028">
        <v>0</v>
      </c>
      <c r="DK88" s="1028">
        <v>0</v>
      </c>
      <c r="DN88" s="1028">
        <v>0</v>
      </c>
      <c r="DQ88" s="1028">
        <v>28332682.229999993</v>
      </c>
      <c r="DR88" s="1028">
        <v>873001.54334048973</v>
      </c>
      <c r="DS88" s="1028">
        <v>27459680.686659504</v>
      </c>
      <c r="DV88" s="1028">
        <v>0</v>
      </c>
      <c r="DZ88" s="1028">
        <v>0</v>
      </c>
      <c r="EA88" s="1028">
        <v>0</v>
      </c>
      <c r="ED88" s="1028">
        <v>0</v>
      </c>
      <c r="EG88" s="1028">
        <v>0</v>
      </c>
      <c r="EK88" s="1028">
        <v>0</v>
      </c>
      <c r="EM88" s="1028">
        <v>0</v>
      </c>
      <c r="EQ88" s="1028">
        <v>0</v>
      </c>
      <c r="EU88" s="1028">
        <v>0</v>
      </c>
      <c r="EZ88" s="1028">
        <v>0</v>
      </c>
      <c r="FB88" s="1028">
        <v>0</v>
      </c>
      <c r="FF88" s="1028">
        <v>0</v>
      </c>
      <c r="FJ88" s="1028">
        <v>0</v>
      </c>
      <c r="FO88" s="1028">
        <v>0</v>
      </c>
      <c r="FW88" s="1028">
        <v>875374157.13999987</v>
      </c>
      <c r="FX88" s="1028">
        <v>867641439.3499999</v>
      </c>
      <c r="FY88" s="1028">
        <v>7732717.7899999991</v>
      </c>
      <c r="FZ88" s="1028">
        <v>0</v>
      </c>
      <c r="GB88" s="1028">
        <v>83179032.777800009</v>
      </c>
      <c r="GF88" s="1028">
        <v>997903237.53379977</v>
      </c>
    </row>
    <row r="89" spans="2:188" ht="15.6">
      <c r="B89" s="1408">
        <v>44287</v>
      </c>
      <c r="C89" s="1028">
        <v>0</v>
      </c>
      <c r="E89" s="1028">
        <v>194454.19</v>
      </c>
      <c r="G89" s="1028">
        <v>194454.19</v>
      </c>
      <c r="J89" s="1028">
        <v>13663924.640000001</v>
      </c>
      <c r="K89" s="1028">
        <v>13663924.640000001</v>
      </c>
      <c r="L89" s="1028">
        <v>13663924.640000001</v>
      </c>
      <c r="N89" s="1028">
        <v>0</v>
      </c>
      <c r="Q89" s="1028">
        <v>0</v>
      </c>
      <c r="U89" s="1028">
        <v>0</v>
      </c>
      <c r="V89" s="1028">
        <v>0</v>
      </c>
      <c r="W89" s="1028">
        <v>0</v>
      </c>
      <c r="Z89" s="1028">
        <v>0</v>
      </c>
      <c r="AC89" s="1028">
        <v>0</v>
      </c>
      <c r="AG89" s="1028">
        <v>0</v>
      </c>
      <c r="AL89" s="1028">
        <v>0</v>
      </c>
      <c r="AQ89" s="1028">
        <v>0</v>
      </c>
      <c r="AR89" s="1028">
        <v>0</v>
      </c>
      <c r="AS89" s="1028">
        <v>0</v>
      </c>
      <c r="AT89" s="1028">
        <v>0</v>
      </c>
      <c r="AY89" s="1028">
        <v>479113.73</v>
      </c>
      <c r="AZ89" s="1028">
        <v>0</v>
      </c>
      <c r="BA89" s="1028">
        <v>0</v>
      </c>
      <c r="BC89" s="1028">
        <v>0</v>
      </c>
      <c r="BD89" s="1028">
        <v>479113.73</v>
      </c>
      <c r="BE89" s="1028">
        <v>0</v>
      </c>
      <c r="BL89" s="1028">
        <v>0</v>
      </c>
      <c r="BM89" s="1028">
        <v>0</v>
      </c>
      <c r="BT89" s="1028">
        <v>0</v>
      </c>
      <c r="BU89" s="1028">
        <v>0</v>
      </c>
      <c r="BZ89" s="1028">
        <v>0</v>
      </c>
      <c r="CN89" s="1028">
        <v>0</v>
      </c>
      <c r="CO89" s="1028">
        <v>0</v>
      </c>
      <c r="CU89" s="1028">
        <v>0</v>
      </c>
      <c r="DB89" s="1028">
        <v>0</v>
      </c>
      <c r="DF89" s="1028">
        <v>27886682.229999997</v>
      </c>
      <c r="DG89" s="1028">
        <v>0</v>
      </c>
      <c r="DH89" s="1028">
        <v>0</v>
      </c>
      <c r="DK89" s="1028">
        <v>0</v>
      </c>
      <c r="DN89" s="1028">
        <v>0</v>
      </c>
      <c r="DQ89" s="1028">
        <v>27886682.229999997</v>
      </c>
      <c r="DR89" s="1028">
        <v>859259.15618599765</v>
      </c>
      <c r="DS89" s="1028">
        <v>27027423.073813997</v>
      </c>
      <c r="DV89" s="1028">
        <v>0</v>
      </c>
      <c r="DZ89" s="1028">
        <v>0</v>
      </c>
      <c r="EA89" s="1028">
        <v>0</v>
      </c>
      <c r="ED89" s="1028">
        <v>0</v>
      </c>
      <c r="EG89" s="1028">
        <v>0</v>
      </c>
      <c r="EK89" s="1028">
        <v>0</v>
      </c>
      <c r="EM89" s="1028">
        <v>0</v>
      </c>
      <c r="EQ89" s="1028">
        <v>0</v>
      </c>
      <c r="EU89" s="1028">
        <v>0</v>
      </c>
      <c r="EZ89" s="1028">
        <v>0</v>
      </c>
      <c r="FB89" s="1028">
        <v>0</v>
      </c>
      <c r="FF89" s="1028">
        <v>0</v>
      </c>
      <c r="FJ89" s="1028">
        <v>0</v>
      </c>
      <c r="FO89" s="1028">
        <v>0</v>
      </c>
      <c r="FW89" s="1028">
        <v>875569965.13999987</v>
      </c>
      <c r="FX89" s="1028">
        <v>867641439.3499999</v>
      </c>
      <c r="FY89" s="1028">
        <v>7928525.7899999991</v>
      </c>
      <c r="FZ89" s="1028">
        <v>0</v>
      </c>
      <c r="GB89" s="1028">
        <v>82805556.993600011</v>
      </c>
      <c r="GF89" s="1028">
        <v>1000599696.9235998</v>
      </c>
    </row>
    <row r="90" spans="2:188" ht="15.6">
      <c r="B90" s="1408">
        <v>44317</v>
      </c>
      <c r="C90" s="1028">
        <v>0</v>
      </c>
      <c r="E90" s="1028">
        <v>110399.73</v>
      </c>
      <c r="G90" s="1028">
        <v>110399.73</v>
      </c>
      <c r="J90" s="1028">
        <v>13363924.640000001</v>
      </c>
      <c r="K90" s="1028">
        <v>13363924.640000001</v>
      </c>
      <c r="L90" s="1028">
        <v>13363924.640000001</v>
      </c>
      <c r="N90" s="1028">
        <v>0</v>
      </c>
      <c r="Q90" s="1028">
        <v>0</v>
      </c>
      <c r="U90" s="1028">
        <v>0</v>
      </c>
      <c r="V90" s="1028">
        <v>0</v>
      </c>
      <c r="W90" s="1028">
        <v>0</v>
      </c>
      <c r="Z90" s="1028">
        <v>0</v>
      </c>
      <c r="AC90" s="1028">
        <v>0</v>
      </c>
      <c r="AG90" s="1028">
        <v>0</v>
      </c>
      <c r="AL90" s="1028">
        <v>0</v>
      </c>
      <c r="AQ90" s="1028">
        <v>0</v>
      </c>
      <c r="AR90" s="1028">
        <v>0</v>
      </c>
      <c r="AS90" s="1028">
        <v>0</v>
      </c>
      <c r="AT90" s="1028">
        <v>0</v>
      </c>
      <c r="AY90" s="1028">
        <v>479113.73</v>
      </c>
      <c r="AZ90" s="1028">
        <v>0</v>
      </c>
      <c r="BA90" s="1028">
        <v>0</v>
      </c>
      <c r="BC90" s="1028">
        <v>0</v>
      </c>
      <c r="BD90" s="1028">
        <v>479113.73</v>
      </c>
      <c r="BE90" s="1028">
        <v>0</v>
      </c>
      <c r="BL90" s="1028">
        <v>0</v>
      </c>
      <c r="BM90" s="1028">
        <v>0</v>
      </c>
      <c r="BT90" s="1028">
        <v>0</v>
      </c>
      <c r="BU90" s="1028">
        <v>0</v>
      </c>
      <c r="BZ90" s="1028">
        <v>0</v>
      </c>
      <c r="CN90" s="1028">
        <v>0</v>
      </c>
      <c r="CO90" s="1028">
        <v>0</v>
      </c>
      <c r="CU90" s="1028">
        <v>0</v>
      </c>
      <c r="DB90" s="1028">
        <v>0</v>
      </c>
      <c r="DF90" s="1028">
        <v>27886682.229999997</v>
      </c>
      <c r="DG90" s="1028">
        <v>0</v>
      </c>
      <c r="DH90" s="1028">
        <v>0</v>
      </c>
      <c r="DK90" s="1028">
        <v>0</v>
      </c>
      <c r="DN90" s="1028">
        <v>0</v>
      </c>
      <c r="DQ90" s="1028">
        <v>27886682.229999997</v>
      </c>
      <c r="DR90" s="1028">
        <v>859259.15618599765</v>
      </c>
      <c r="DS90" s="1028">
        <v>27027423.073813997</v>
      </c>
      <c r="DV90" s="1028">
        <v>0</v>
      </c>
      <c r="DZ90" s="1028">
        <v>0</v>
      </c>
      <c r="EA90" s="1028">
        <v>0</v>
      </c>
      <c r="ED90" s="1028">
        <v>0</v>
      </c>
      <c r="EG90" s="1028">
        <v>0</v>
      </c>
      <c r="EK90" s="1028">
        <v>0</v>
      </c>
      <c r="EM90" s="1028">
        <v>0</v>
      </c>
      <c r="EQ90" s="1028">
        <v>0</v>
      </c>
      <c r="EU90" s="1028">
        <v>0</v>
      </c>
      <c r="EZ90" s="1028">
        <v>0</v>
      </c>
      <c r="FB90" s="1028">
        <v>0</v>
      </c>
      <c r="FF90" s="1028">
        <v>0</v>
      </c>
      <c r="FJ90" s="1028">
        <v>0</v>
      </c>
      <c r="FO90" s="1028">
        <v>0</v>
      </c>
      <c r="FW90" s="1028">
        <v>875569965.13999987</v>
      </c>
      <c r="FX90" s="1028">
        <v>867641439.3499999</v>
      </c>
      <c r="FY90" s="1028">
        <v>7928525.7899999991</v>
      </c>
      <c r="FZ90" s="1028">
        <v>0</v>
      </c>
      <c r="GB90" s="1028">
        <v>82805556.993600011</v>
      </c>
      <c r="GF90" s="1028">
        <v>1000215642.4635999</v>
      </c>
    </row>
    <row r="91" spans="2:188" ht="15.6">
      <c r="B91" s="1408">
        <v>44348</v>
      </c>
      <c r="C91" s="1028">
        <v>0</v>
      </c>
      <c r="E91" s="1028">
        <v>1399541.26</v>
      </c>
      <c r="G91" s="1028">
        <v>1399541.26</v>
      </c>
      <c r="J91" s="1028">
        <v>13549618.74443</v>
      </c>
      <c r="K91" s="1028">
        <v>13549618.74443</v>
      </c>
      <c r="L91" s="1028">
        <v>13549618.74443</v>
      </c>
      <c r="N91" s="1028">
        <v>0</v>
      </c>
      <c r="Q91" s="1028">
        <v>0</v>
      </c>
      <c r="U91" s="1028">
        <v>0</v>
      </c>
      <c r="V91" s="1028">
        <v>0</v>
      </c>
      <c r="W91" s="1028">
        <v>0</v>
      </c>
      <c r="Z91" s="1028">
        <v>0</v>
      </c>
      <c r="AC91" s="1028">
        <v>0</v>
      </c>
      <c r="AG91" s="1028">
        <v>0</v>
      </c>
      <c r="AL91" s="1028">
        <v>0</v>
      </c>
      <c r="AQ91" s="1028">
        <v>0</v>
      </c>
      <c r="AR91" s="1028">
        <v>0</v>
      </c>
      <c r="AS91" s="1028">
        <v>0</v>
      </c>
      <c r="AT91" s="1028">
        <v>0</v>
      </c>
      <c r="AY91" s="1028">
        <v>479113.73</v>
      </c>
      <c r="AZ91" s="1028">
        <v>0</v>
      </c>
      <c r="BA91" s="1028">
        <v>0</v>
      </c>
      <c r="BC91" s="1028">
        <v>0</v>
      </c>
      <c r="BD91" s="1028">
        <v>479113.73</v>
      </c>
      <c r="BE91" s="1028">
        <v>0</v>
      </c>
      <c r="BL91" s="1028">
        <v>0</v>
      </c>
      <c r="BM91" s="1028">
        <v>0</v>
      </c>
      <c r="BT91" s="1028">
        <v>0</v>
      </c>
      <c r="BU91" s="1028">
        <v>0</v>
      </c>
      <c r="BZ91" s="1028">
        <v>0</v>
      </c>
      <c r="CN91" s="1028">
        <v>0</v>
      </c>
      <c r="CO91" s="1028">
        <v>0</v>
      </c>
      <c r="CU91" s="1028">
        <v>0</v>
      </c>
      <c r="DB91" s="1028">
        <v>0</v>
      </c>
      <c r="DF91" s="1028">
        <v>27886682.229999997</v>
      </c>
      <c r="DG91" s="1028">
        <v>0</v>
      </c>
      <c r="DH91" s="1028">
        <v>0</v>
      </c>
      <c r="DK91" s="1028">
        <v>0</v>
      </c>
      <c r="DN91" s="1028">
        <v>0</v>
      </c>
      <c r="DQ91" s="1028">
        <v>27886682.229999997</v>
      </c>
      <c r="DR91" s="1028">
        <v>859259.15618599765</v>
      </c>
      <c r="DS91" s="1028">
        <v>27027423.073813997</v>
      </c>
      <c r="DV91" s="1028">
        <v>0</v>
      </c>
      <c r="DZ91" s="1028">
        <v>0</v>
      </c>
      <c r="EA91" s="1028">
        <v>0</v>
      </c>
      <c r="ED91" s="1028">
        <v>0</v>
      </c>
      <c r="EG91" s="1028">
        <v>0</v>
      </c>
      <c r="EK91" s="1028">
        <v>0</v>
      </c>
      <c r="EM91" s="1028">
        <v>0</v>
      </c>
      <c r="EQ91" s="1028">
        <v>0</v>
      </c>
      <c r="EU91" s="1028">
        <v>0</v>
      </c>
      <c r="EZ91" s="1028">
        <v>0</v>
      </c>
      <c r="FB91" s="1028">
        <v>0</v>
      </c>
      <c r="FF91" s="1028">
        <v>0</v>
      </c>
      <c r="FJ91" s="1028">
        <v>0</v>
      </c>
      <c r="FO91" s="1028">
        <v>0</v>
      </c>
      <c r="FW91" s="1028">
        <v>875569965.13999987</v>
      </c>
      <c r="FX91" s="1028">
        <v>867641439.3499999</v>
      </c>
      <c r="FY91" s="1028">
        <v>7928525.7899999991</v>
      </c>
      <c r="FZ91" s="1028">
        <v>0</v>
      </c>
      <c r="GB91" s="1028">
        <v>82805556.993600011</v>
      </c>
      <c r="GF91" s="1028">
        <v>1001690478.0980299</v>
      </c>
    </row>
    <row r="92" spans="2:188" ht="15.6">
      <c r="B92" s="1408">
        <v>44378</v>
      </c>
      <c r="C92" s="1028">
        <v>0</v>
      </c>
      <c r="E92" s="1028">
        <v>1150510.4599999981</v>
      </c>
      <c r="G92" s="1028">
        <v>1150510.4599999981</v>
      </c>
      <c r="J92" s="1028">
        <v>13051812.2325</v>
      </c>
      <c r="K92" s="1028">
        <v>13051812.2325</v>
      </c>
      <c r="L92" s="1028">
        <v>13051812.2325</v>
      </c>
      <c r="N92" s="1028">
        <v>0</v>
      </c>
      <c r="Q92" s="1028">
        <v>0</v>
      </c>
      <c r="U92" s="1028">
        <v>0</v>
      </c>
      <c r="V92" s="1028">
        <v>0</v>
      </c>
      <c r="W92" s="1028">
        <v>0</v>
      </c>
      <c r="Z92" s="1028">
        <v>0</v>
      </c>
      <c r="AC92" s="1028">
        <v>0</v>
      </c>
      <c r="AG92" s="1028">
        <v>0</v>
      </c>
      <c r="AL92" s="1028">
        <v>0</v>
      </c>
      <c r="AQ92" s="1028">
        <v>0</v>
      </c>
      <c r="AR92" s="1028">
        <v>0</v>
      </c>
      <c r="AS92" s="1028">
        <v>0</v>
      </c>
      <c r="AT92" s="1028">
        <v>0</v>
      </c>
      <c r="AY92" s="1028">
        <v>479113.73</v>
      </c>
      <c r="AZ92" s="1028">
        <v>0</v>
      </c>
      <c r="BA92" s="1028">
        <v>0</v>
      </c>
      <c r="BC92" s="1028">
        <v>0</v>
      </c>
      <c r="BD92" s="1028">
        <v>479113.73</v>
      </c>
      <c r="BE92" s="1028">
        <v>0</v>
      </c>
      <c r="BL92" s="1028">
        <v>0</v>
      </c>
      <c r="BM92" s="1028">
        <v>0</v>
      </c>
      <c r="BT92" s="1028">
        <v>0</v>
      </c>
      <c r="BU92" s="1028">
        <v>0</v>
      </c>
      <c r="BZ92" s="1028">
        <v>0</v>
      </c>
      <c r="CN92" s="1028">
        <v>0</v>
      </c>
      <c r="CO92" s="1028">
        <v>0</v>
      </c>
      <c r="CU92" s="1028">
        <v>0</v>
      </c>
      <c r="DB92" s="1028">
        <v>0</v>
      </c>
      <c r="DF92" s="1028">
        <v>27886682.229999997</v>
      </c>
      <c r="DG92" s="1028">
        <v>0</v>
      </c>
      <c r="DH92" s="1028">
        <v>0</v>
      </c>
      <c r="DK92" s="1028">
        <v>0</v>
      </c>
      <c r="DN92" s="1028">
        <v>0</v>
      </c>
      <c r="DQ92" s="1028">
        <v>27886682.229999997</v>
      </c>
      <c r="DR92" s="1028">
        <v>859259.15618599765</v>
      </c>
      <c r="DS92" s="1028">
        <v>27027423.073813997</v>
      </c>
      <c r="DV92" s="1028">
        <v>0</v>
      </c>
      <c r="DZ92" s="1028">
        <v>0</v>
      </c>
      <c r="EA92" s="1028">
        <v>0</v>
      </c>
      <c r="ED92" s="1028">
        <v>0</v>
      </c>
      <c r="EG92" s="1028">
        <v>0</v>
      </c>
      <c r="EK92" s="1028">
        <v>0</v>
      </c>
      <c r="EM92" s="1028">
        <v>0</v>
      </c>
      <c r="EQ92" s="1028">
        <v>0</v>
      </c>
      <c r="EU92" s="1028">
        <v>0</v>
      </c>
      <c r="EZ92" s="1028">
        <v>0</v>
      </c>
      <c r="FB92" s="1028">
        <v>0</v>
      </c>
      <c r="FF92" s="1028">
        <v>0</v>
      </c>
      <c r="FJ92" s="1028">
        <v>0</v>
      </c>
      <c r="FO92" s="1028">
        <v>0</v>
      </c>
      <c r="FW92" s="1028">
        <v>875670788.96099985</v>
      </c>
      <c r="FX92" s="1028">
        <v>867641439.3499999</v>
      </c>
      <c r="FY92" s="1028">
        <v>8029349.6109999996</v>
      </c>
      <c r="FZ92" s="1028">
        <v>0</v>
      </c>
      <c r="GB92" s="1028">
        <v>104595848.97198801</v>
      </c>
      <c r="GF92" s="1028">
        <v>1022834756.5854878</v>
      </c>
    </row>
    <row r="93" spans="2:188" ht="15.6">
      <c r="B93" s="1408">
        <v>44409</v>
      </c>
      <c r="C93" s="1028">
        <v>0</v>
      </c>
      <c r="E93" s="1028">
        <v>1442033.85</v>
      </c>
      <c r="G93" s="1028">
        <v>1442033.85</v>
      </c>
      <c r="J93" s="1028">
        <v>13352003.913847499</v>
      </c>
      <c r="K93" s="1028">
        <v>13352003.913847499</v>
      </c>
      <c r="L93" s="1028">
        <v>13352003.913847499</v>
      </c>
      <c r="N93" s="1028">
        <v>0</v>
      </c>
      <c r="Q93" s="1028">
        <v>0</v>
      </c>
      <c r="U93" s="1028">
        <v>0</v>
      </c>
      <c r="V93" s="1028">
        <v>0</v>
      </c>
      <c r="W93" s="1028">
        <v>0</v>
      </c>
      <c r="Z93" s="1028">
        <v>0</v>
      </c>
      <c r="AC93" s="1028">
        <v>0</v>
      </c>
      <c r="AG93" s="1028">
        <v>0</v>
      </c>
      <c r="AL93" s="1028">
        <v>0</v>
      </c>
      <c r="AQ93" s="1028">
        <v>0</v>
      </c>
      <c r="AR93" s="1028">
        <v>0</v>
      </c>
      <c r="AS93" s="1028">
        <v>0</v>
      </c>
      <c r="AT93" s="1028">
        <v>0</v>
      </c>
      <c r="AY93" s="1028">
        <v>479113.73</v>
      </c>
      <c r="AZ93" s="1028">
        <v>0</v>
      </c>
      <c r="BA93" s="1028">
        <v>0</v>
      </c>
      <c r="BC93" s="1028">
        <v>0</v>
      </c>
      <c r="BD93" s="1028">
        <v>479113.73</v>
      </c>
      <c r="BE93" s="1028">
        <v>0</v>
      </c>
      <c r="BL93" s="1028">
        <v>0</v>
      </c>
      <c r="BM93" s="1028">
        <v>0</v>
      </c>
      <c r="BT93" s="1028">
        <v>0</v>
      </c>
      <c r="BU93" s="1028">
        <v>0</v>
      </c>
      <c r="BZ93" s="1028">
        <v>0</v>
      </c>
      <c r="CN93" s="1028">
        <v>0</v>
      </c>
      <c r="CO93" s="1028">
        <v>0</v>
      </c>
      <c r="CU93" s="1028">
        <v>0</v>
      </c>
      <c r="DB93" s="1028">
        <v>0</v>
      </c>
      <c r="DF93" s="1028">
        <v>27886682.229999997</v>
      </c>
      <c r="DG93" s="1028">
        <v>0</v>
      </c>
      <c r="DH93" s="1028">
        <v>0</v>
      </c>
      <c r="DK93" s="1028">
        <v>0</v>
      </c>
      <c r="DN93" s="1028">
        <v>0</v>
      </c>
      <c r="DQ93" s="1028">
        <v>27886682.229999997</v>
      </c>
      <c r="DR93" s="1028">
        <v>859259.15618599765</v>
      </c>
      <c r="DS93" s="1028">
        <v>27027423.073813997</v>
      </c>
      <c r="DV93" s="1028">
        <v>0</v>
      </c>
      <c r="DZ93" s="1028">
        <v>0</v>
      </c>
      <c r="EA93" s="1028">
        <v>0</v>
      </c>
      <c r="ED93" s="1028">
        <v>0</v>
      </c>
      <c r="EG93" s="1028">
        <v>0</v>
      </c>
      <c r="EK93" s="1028">
        <v>0</v>
      </c>
      <c r="EM93" s="1028">
        <v>0</v>
      </c>
      <c r="EQ93" s="1028">
        <v>0</v>
      </c>
      <c r="EU93" s="1028">
        <v>0</v>
      </c>
      <c r="EZ93" s="1028">
        <v>0</v>
      </c>
      <c r="FB93" s="1028">
        <v>0</v>
      </c>
      <c r="FF93" s="1028">
        <v>0</v>
      </c>
      <c r="FJ93" s="1028">
        <v>0</v>
      </c>
      <c r="FO93" s="1028">
        <v>0</v>
      </c>
      <c r="FW93" s="1028">
        <v>875670788.96099985</v>
      </c>
      <c r="FX93" s="1028">
        <v>867641439.3499999</v>
      </c>
      <c r="FY93" s="1028">
        <v>8029349.6109999996</v>
      </c>
      <c r="FZ93" s="1028">
        <v>0</v>
      </c>
      <c r="GB93" s="1028">
        <v>146602422.97198796</v>
      </c>
      <c r="GF93" s="1028">
        <v>1065433045.6568353</v>
      </c>
    </row>
    <row r="94" spans="2:188" ht="15.6">
      <c r="B94" s="1408">
        <v>44440</v>
      </c>
      <c r="C94" s="1028">
        <v>0</v>
      </c>
      <c r="E94" s="1028">
        <v>1716908.8400000003</v>
      </c>
      <c r="G94" s="1028">
        <v>1716908.8400000003</v>
      </c>
      <c r="J94" s="1028">
        <v>16149413.433699997</v>
      </c>
      <c r="K94" s="1028">
        <v>16149413.433699997</v>
      </c>
      <c r="L94" s="1028">
        <v>16149413.433699997</v>
      </c>
      <c r="N94" s="1028">
        <v>0</v>
      </c>
      <c r="Q94" s="1028">
        <v>0</v>
      </c>
      <c r="U94" s="1028">
        <v>0</v>
      </c>
      <c r="V94" s="1028">
        <v>0</v>
      </c>
      <c r="W94" s="1028">
        <v>0</v>
      </c>
      <c r="Z94" s="1028">
        <v>0</v>
      </c>
      <c r="AC94" s="1028">
        <v>0</v>
      </c>
      <c r="AG94" s="1028">
        <v>0</v>
      </c>
      <c r="AL94" s="1028">
        <v>0</v>
      </c>
      <c r="AQ94" s="1028">
        <v>0</v>
      </c>
      <c r="AR94" s="1028">
        <v>0</v>
      </c>
      <c r="AS94" s="1028">
        <v>0</v>
      </c>
      <c r="AT94" s="1028">
        <v>0</v>
      </c>
      <c r="AY94" s="1028">
        <v>479113.73</v>
      </c>
      <c r="AZ94" s="1028">
        <v>0</v>
      </c>
      <c r="BA94" s="1028">
        <v>0</v>
      </c>
      <c r="BC94" s="1028">
        <v>0</v>
      </c>
      <c r="BD94" s="1028">
        <v>479113.73</v>
      </c>
      <c r="BE94" s="1028">
        <v>0</v>
      </c>
      <c r="BL94" s="1028">
        <v>0</v>
      </c>
      <c r="BM94" s="1028">
        <v>0</v>
      </c>
      <c r="BT94" s="1028">
        <v>0</v>
      </c>
      <c r="BU94" s="1028">
        <v>0</v>
      </c>
      <c r="BZ94" s="1028">
        <v>0</v>
      </c>
      <c r="CN94" s="1028">
        <v>0</v>
      </c>
      <c r="CO94" s="1028">
        <v>0</v>
      </c>
      <c r="CU94" s="1028">
        <v>0</v>
      </c>
      <c r="DB94" s="1028">
        <v>0</v>
      </c>
      <c r="DF94" s="1028">
        <v>27886682.229999997</v>
      </c>
      <c r="DG94" s="1028">
        <v>0</v>
      </c>
      <c r="DH94" s="1028">
        <v>0</v>
      </c>
      <c r="DK94" s="1028">
        <v>0</v>
      </c>
      <c r="DN94" s="1028">
        <v>0</v>
      </c>
      <c r="DQ94" s="1028">
        <v>27886682.229999997</v>
      </c>
      <c r="DR94" s="1028">
        <v>859259.15618599765</v>
      </c>
      <c r="DS94" s="1028">
        <v>27027423.073813997</v>
      </c>
      <c r="DV94" s="1028">
        <v>0</v>
      </c>
      <c r="DZ94" s="1028">
        <v>0</v>
      </c>
      <c r="EA94" s="1028">
        <v>0</v>
      </c>
      <c r="ED94" s="1028">
        <v>0</v>
      </c>
      <c r="EG94" s="1028">
        <v>0</v>
      </c>
      <c r="EK94" s="1028">
        <v>0</v>
      </c>
      <c r="EM94" s="1028">
        <v>0</v>
      </c>
      <c r="EQ94" s="1028">
        <v>0</v>
      </c>
      <c r="EU94" s="1028">
        <v>0</v>
      </c>
      <c r="EZ94" s="1028">
        <v>0</v>
      </c>
      <c r="FB94" s="1028">
        <v>0</v>
      </c>
      <c r="FF94" s="1028">
        <v>0</v>
      </c>
      <c r="FJ94" s="1028">
        <v>0</v>
      </c>
      <c r="FO94" s="1028">
        <v>0</v>
      </c>
      <c r="FW94" s="1028">
        <v>875670788.96099985</v>
      </c>
      <c r="FX94" s="1028">
        <v>867641439.3499999</v>
      </c>
      <c r="FY94" s="1028">
        <v>8029349.6109999996</v>
      </c>
      <c r="FZ94" s="1028">
        <v>0</v>
      </c>
      <c r="GB94" s="1028">
        <v>191346517.00928798</v>
      </c>
      <c r="GF94" s="1028">
        <v>1113249424.2039878</v>
      </c>
    </row>
    <row r="95" spans="2:188" ht="15.6">
      <c r="B95" s="1408">
        <v>44470</v>
      </c>
      <c r="C95" s="1028">
        <v>0</v>
      </c>
      <c r="E95" s="1028">
        <v>1229285.44</v>
      </c>
      <c r="G95" s="1028">
        <v>1229285.44</v>
      </c>
      <c r="J95" s="1028">
        <v>15899617.8837</v>
      </c>
      <c r="K95" s="1028">
        <v>15899617.8837</v>
      </c>
      <c r="L95" s="1028">
        <v>15899617.8837</v>
      </c>
      <c r="N95" s="1028">
        <v>0</v>
      </c>
      <c r="Q95" s="1028">
        <v>0</v>
      </c>
      <c r="U95" s="1028">
        <v>0</v>
      </c>
      <c r="V95" s="1028">
        <v>0</v>
      </c>
      <c r="W95" s="1028">
        <v>0</v>
      </c>
      <c r="Z95" s="1028">
        <v>0</v>
      </c>
      <c r="AC95" s="1028">
        <v>0</v>
      </c>
      <c r="AG95" s="1028">
        <v>0</v>
      </c>
      <c r="AL95" s="1028">
        <v>0</v>
      </c>
      <c r="AQ95" s="1028">
        <v>0</v>
      </c>
      <c r="AR95" s="1028">
        <v>0</v>
      </c>
      <c r="AS95" s="1028">
        <v>0</v>
      </c>
      <c r="AT95" s="1028">
        <v>0</v>
      </c>
      <c r="AY95" s="1028">
        <v>479113.73</v>
      </c>
      <c r="AZ95" s="1028">
        <v>0</v>
      </c>
      <c r="BA95" s="1028">
        <v>0</v>
      </c>
      <c r="BC95" s="1028">
        <v>0</v>
      </c>
      <c r="BD95" s="1028">
        <v>479113.73</v>
      </c>
      <c r="BE95" s="1028">
        <v>0</v>
      </c>
      <c r="BL95" s="1028">
        <v>0</v>
      </c>
      <c r="BM95" s="1028">
        <v>0</v>
      </c>
      <c r="BT95" s="1028">
        <v>0</v>
      </c>
      <c r="BU95" s="1028">
        <v>0</v>
      </c>
      <c r="BZ95" s="1028">
        <v>0</v>
      </c>
      <c r="CN95" s="1028">
        <v>0</v>
      </c>
      <c r="CO95" s="1028">
        <v>0</v>
      </c>
      <c r="CU95" s="1028">
        <v>0</v>
      </c>
      <c r="DB95" s="1028">
        <v>0</v>
      </c>
      <c r="DF95" s="1028">
        <v>27886682.229999997</v>
      </c>
      <c r="DG95" s="1028">
        <v>0</v>
      </c>
      <c r="DH95" s="1028">
        <v>0</v>
      </c>
      <c r="DK95" s="1028">
        <v>0</v>
      </c>
      <c r="DN95" s="1028">
        <v>0</v>
      </c>
      <c r="DQ95" s="1028">
        <v>27886682.229999997</v>
      </c>
      <c r="DR95" s="1028">
        <v>859259.15618599765</v>
      </c>
      <c r="DS95" s="1028">
        <v>27027423.073813997</v>
      </c>
      <c r="DV95" s="1028">
        <v>0</v>
      </c>
      <c r="DZ95" s="1028">
        <v>0</v>
      </c>
      <c r="EA95" s="1028">
        <v>0</v>
      </c>
      <c r="ED95" s="1028">
        <v>0</v>
      </c>
      <c r="EG95" s="1028">
        <v>0</v>
      </c>
      <c r="EK95" s="1028">
        <v>0</v>
      </c>
      <c r="EM95" s="1028">
        <v>0</v>
      </c>
      <c r="EQ95" s="1028">
        <v>0</v>
      </c>
      <c r="EU95" s="1028">
        <v>0</v>
      </c>
      <c r="EZ95" s="1028">
        <v>0</v>
      </c>
      <c r="FB95" s="1028">
        <v>0</v>
      </c>
      <c r="FF95" s="1028">
        <v>0</v>
      </c>
      <c r="FJ95" s="1028">
        <v>0</v>
      </c>
      <c r="FO95" s="1028">
        <v>0</v>
      </c>
      <c r="FW95" s="1028">
        <v>875670788.96099985</v>
      </c>
      <c r="FX95" s="1028">
        <v>867641439.3499999</v>
      </c>
      <c r="FY95" s="1028">
        <v>8029349.6109999996</v>
      </c>
      <c r="FZ95" s="1028">
        <v>0</v>
      </c>
      <c r="GB95" s="1028">
        <v>203602586.39928797</v>
      </c>
      <c r="GF95" s="1028">
        <v>1124768074.6439879</v>
      </c>
    </row>
    <row r="96" spans="2:188" ht="15.6">
      <c r="B96" s="1408">
        <v>44501</v>
      </c>
      <c r="C96" s="1028">
        <v>0</v>
      </c>
      <c r="E96" s="1028">
        <v>192349</v>
      </c>
      <c r="G96" s="1028">
        <v>192349</v>
      </c>
      <c r="J96" s="1028">
        <v>16924791</v>
      </c>
      <c r="K96" s="1028">
        <v>16924791</v>
      </c>
      <c r="L96" s="1028">
        <v>16924791</v>
      </c>
      <c r="N96" s="1028">
        <v>0</v>
      </c>
      <c r="Q96" s="1028">
        <v>0</v>
      </c>
      <c r="U96" s="1028">
        <v>0</v>
      </c>
      <c r="V96" s="1028">
        <v>0</v>
      </c>
      <c r="W96" s="1028">
        <v>0</v>
      </c>
      <c r="Z96" s="1028">
        <v>0</v>
      </c>
      <c r="AC96" s="1028">
        <v>0</v>
      </c>
      <c r="AG96" s="1028">
        <v>0</v>
      </c>
      <c r="AL96" s="1028">
        <v>0</v>
      </c>
      <c r="AQ96" s="1028">
        <v>0</v>
      </c>
      <c r="AR96" s="1028">
        <v>0</v>
      </c>
      <c r="AS96" s="1028">
        <v>0</v>
      </c>
      <c r="AT96" s="1028">
        <v>0</v>
      </c>
      <c r="AY96" s="1028">
        <v>479113.73</v>
      </c>
      <c r="AZ96" s="1028">
        <v>0</v>
      </c>
      <c r="BA96" s="1028">
        <v>0</v>
      </c>
      <c r="BC96" s="1028">
        <v>0</v>
      </c>
      <c r="BD96" s="1028">
        <v>479113.73</v>
      </c>
      <c r="BE96" s="1028">
        <v>0</v>
      </c>
      <c r="BL96" s="1028">
        <v>0</v>
      </c>
      <c r="BM96" s="1028">
        <v>0</v>
      </c>
      <c r="BT96" s="1028">
        <v>0</v>
      </c>
      <c r="BU96" s="1028">
        <v>0</v>
      </c>
      <c r="BZ96" s="1028">
        <v>0</v>
      </c>
      <c r="CN96" s="1028">
        <v>0</v>
      </c>
      <c r="CO96" s="1028">
        <v>0</v>
      </c>
      <c r="CU96" s="1028">
        <v>0</v>
      </c>
      <c r="DB96" s="1028">
        <v>0</v>
      </c>
      <c r="DF96" s="1028">
        <v>27886682.229999997</v>
      </c>
      <c r="DG96" s="1028">
        <v>0</v>
      </c>
      <c r="DH96" s="1028">
        <v>0</v>
      </c>
      <c r="DK96" s="1028">
        <v>0</v>
      </c>
      <c r="DN96" s="1028">
        <v>0</v>
      </c>
      <c r="DQ96" s="1028">
        <v>27886682.229999997</v>
      </c>
      <c r="DR96" s="1028">
        <v>859259.15618599765</v>
      </c>
      <c r="DS96" s="1028">
        <v>27027423.073813997</v>
      </c>
      <c r="DV96" s="1028">
        <v>0</v>
      </c>
      <c r="DZ96" s="1028">
        <v>0</v>
      </c>
      <c r="EA96" s="1028">
        <v>0</v>
      </c>
      <c r="ED96" s="1028">
        <v>0</v>
      </c>
      <c r="EG96" s="1028">
        <v>0</v>
      </c>
      <c r="EK96" s="1028">
        <v>0</v>
      </c>
      <c r="EM96" s="1028">
        <v>0</v>
      </c>
      <c r="EQ96" s="1028">
        <v>0</v>
      </c>
      <c r="EU96" s="1028">
        <v>0</v>
      </c>
      <c r="EZ96" s="1028">
        <v>0</v>
      </c>
      <c r="FB96" s="1028">
        <v>0</v>
      </c>
      <c r="FF96" s="1028">
        <v>0</v>
      </c>
      <c r="FJ96" s="1028">
        <v>0</v>
      </c>
      <c r="FO96" s="1028">
        <v>0</v>
      </c>
      <c r="FW96" s="1028">
        <v>875670788.96099985</v>
      </c>
      <c r="FX96" s="1028">
        <v>867641439.3499999</v>
      </c>
      <c r="FY96" s="1028">
        <v>8029349.6109999996</v>
      </c>
      <c r="FZ96" s="1028">
        <v>0</v>
      </c>
      <c r="GB96" s="1028">
        <v>237415618</v>
      </c>
      <c r="GF96" s="1028">
        <v>1158569342.921</v>
      </c>
    </row>
    <row r="97" spans="2:188" ht="15.6">
      <c r="B97" s="1408">
        <v>44531</v>
      </c>
      <c r="C97" s="1028">
        <v>0</v>
      </c>
      <c r="E97" s="1028">
        <v>1053709.02</v>
      </c>
      <c r="G97" s="1028">
        <v>1053709.02</v>
      </c>
      <c r="J97" s="1028">
        <v>17432016.7337</v>
      </c>
      <c r="K97" s="1028">
        <v>17432016.7337</v>
      </c>
      <c r="L97" s="1028">
        <v>17432016.7337</v>
      </c>
      <c r="N97" s="1028">
        <v>0</v>
      </c>
      <c r="Q97" s="1028">
        <v>0</v>
      </c>
      <c r="U97" s="1028">
        <v>0</v>
      </c>
      <c r="V97" s="1028">
        <v>0</v>
      </c>
      <c r="W97" s="1028">
        <v>0</v>
      </c>
      <c r="Z97" s="1028">
        <v>0</v>
      </c>
      <c r="AC97" s="1028">
        <v>0</v>
      </c>
      <c r="AG97" s="1028">
        <v>0</v>
      </c>
      <c r="AL97" s="1028">
        <v>0</v>
      </c>
      <c r="AQ97" s="1028">
        <v>0</v>
      </c>
      <c r="AR97" s="1028">
        <v>0</v>
      </c>
      <c r="AS97" s="1028">
        <v>0</v>
      </c>
      <c r="AT97" s="1028">
        <v>0</v>
      </c>
      <c r="AY97" s="1028">
        <v>479113.73</v>
      </c>
      <c r="AZ97" s="1028">
        <v>0</v>
      </c>
      <c r="BA97" s="1028">
        <v>0</v>
      </c>
      <c r="BC97" s="1028">
        <v>0</v>
      </c>
      <c r="BD97" s="1028">
        <v>479113.73</v>
      </c>
      <c r="BE97" s="1028">
        <v>0</v>
      </c>
      <c r="BL97" s="1028">
        <v>0</v>
      </c>
      <c r="BM97" s="1028">
        <v>0</v>
      </c>
      <c r="BT97" s="1028">
        <v>0</v>
      </c>
      <c r="BU97" s="1028">
        <v>0</v>
      </c>
      <c r="BZ97" s="1028">
        <v>0</v>
      </c>
      <c r="CN97" s="1028">
        <v>0</v>
      </c>
      <c r="CO97" s="1028">
        <v>0</v>
      </c>
      <c r="CU97" s="1028">
        <v>0</v>
      </c>
      <c r="DB97" s="1028">
        <v>0</v>
      </c>
      <c r="DF97" s="1028">
        <v>26518097.23</v>
      </c>
      <c r="DG97" s="1028">
        <v>0</v>
      </c>
      <c r="DH97" s="1028">
        <v>0</v>
      </c>
      <c r="DK97" s="1028">
        <v>0</v>
      </c>
      <c r="DN97" s="1028">
        <v>0</v>
      </c>
      <c r="DQ97" s="1028">
        <v>26518097.23</v>
      </c>
      <c r="DR97" s="1028">
        <v>817089.59357651218</v>
      </c>
      <c r="DS97" s="1028">
        <v>25701007.636423487</v>
      </c>
      <c r="DV97" s="1028">
        <v>0</v>
      </c>
      <c r="DZ97" s="1028">
        <v>0</v>
      </c>
      <c r="EA97" s="1028">
        <v>0</v>
      </c>
      <c r="ED97" s="1028">
        <v>0</v>
      </c>
      <c r="EG97" s="1028">
        <v>0</v>
      </c>
      <c r="EK97" s="1028">
        <v>0</v>
      </c>
      <c r="EM97" s="1028">
        <v>0</v>
      </c>
      <c r="EQ97" s="1028">
        <v>0</v>
      </c>
      <c r="EU97" s="1028">
        <v>0</v>
      </c>
      <c r="EZ97" s="1028">
        <v>0</v>
      </c>
      <c r="FB97" s="1028">
        <v>0</v>
      </c>
      <c r="FF97" s="1028">
        <v>0</v>
      </c>
      <c r="FJ97" s="1028">
        <v>0</v>
      </c>
      <c r="FO97" s="1028">
        <v>0</v>
      </c>
      <c r="FW97" s="1028">
        <v>875670788.96099985</v>
      </c>
      <c r="FX97" s="1028">
        <v>867641439.3499999</v>
      </c>
      <c r="FY97" s="1028">
        <v>8029349.6109999996</v>
      </c>
      <c r="FZ97" s="1028">
        <v>0</v>
      </c>
      <c r="GB97" s="1028">
        <v>225155968.934288</v>
      </c>
      <c r="GF97" s="1028">
        <v>1146309694.6089878</v>
      </c>
    </row>
    <row r="98" spans="2:188" ht="15.6">
      <c r="B98" s="1408">
        <v>44562</v>
      </c>
      <c r="C98" s="1028">
        <v>0</v>
      </c>
      <c r="E98" s="1028">
        <v>3558.89</v>
      </c>
      <c r="G98" s="1028">
        <v>3558.89</v>
      </c>
      <c r="J98" s="1028">
        <v>21090510.7337</v>
      </c>
      <c r="K98" s="1028">
        <v>21090510.7337</v>
      </c>
      <c r="L98" s="1028">
        <v>21090510.7337</v>
      </c>
      <c r="N98" s="1028">
        <v>0</v>
      </c>
      <c r="Q98" s="1028">
        <v>0</v>
      </c>
      <c r="U98" s="1028">
        <v>0</v>
      </c>
      <c r="V98" s="1028">
        <v>0</v>
      </c>
      <c r="W98" s="1028">
        <v>0</v>
      </c>
      <c r="Z98" s="1028">
        <v>0</v>
      </c>
      <c r="AC98" s="1028">
        <v>0</v>
      </c>
      <c r="AG98" s="1028">
        <v>0</v>
      </c>
      <c r="AL98" s="1028">
        <v>0</v>
      </c>
      <c r="AQ98" s="1028">
        <v>0</v>
      </c>
      <c r="AR98" s="1028">
        <v>0</v>
      </c>
      <c r="AS98" s="1028">
        <v>0</v>
      </c>
      <c r="AT98" s="1028">
        <v>0</v>
      </c>
      <c r="AY98" s="1028">
        <v>479113.73</v>
      </c>
      <c r="AZ98" s="1028">
        <v>0</v>
      </c>
      <c r="BA98" s="1028">
        <v>0</v>
      </c>
      <c r="BC98" s="1028">
        <v>0</v>
      </c>
      <c r="BD98" s="1028">
        <v>479113.73</v>
      </c>
      <c r="BE98" s="1028">
        <v>0</v>
      </c>
      <c r="BL98" s="1028">
        <v>0</v>
      </c>
      <c r="BM98" s="1028">
        <v>0</v>
      </c>
      <c r="BT98" s="1028">
        <v>0</v>
      </c>
      <c r="BU98" s="1028">
        <v>0</v>
      </c>
      <c r="BZ98" s="1028">
        <v>0</v>
      </c>
      <c r="CN98" s="1028">
        <v>0</v>
      </c>
      <c r="CO98" s="1028">
        <v>0</v>
      </c>
      <c r="CU98" s="1028">
        <v>0</v>
      </c>
      <c r="DB98" s="1028">
        <v>0</v>
      </c>
      <c r="DF98" s="1028">
        <v>26518097.23</v>
      </c>
      <c r="DG98" s="1028">
        <v>0</v>
      </c>
      <c r="DH98" s="1028">
        <v>0</v>
      </c>
      <c r="DK98" s="1028">
        <v>0</v>
      </c>
      <c r="DN98" s="1028">
        <v>0</v>
      </c>
      <c r="DQ98" s="1028">
        <v>26518097.23</v>
      </c>
      <c r="DR98" s="1028">
        <v>817089.59357651218</v>
      </c>
      <c r="DS98" s="1028">
        <v>25701007.636423487</v>
      </c>
      <c r="DV98" s="1028">
        <v>0</v>
      </c>
      <c r="DZ98" s="1028">
        <v>0</v>
      </c>
      <c r="EA98" s="1028">
        <v>0</v>
      </c>
      <c r="ED98" s="1028">
        <v>0</v>
      </c>
      <c r="EG98" s="1028">
        <v>0</v>
      </c>
      <c r="EK98" s="1028">
        <v>0</v>
      </c>
      <c r="EM98" s="1028">
        <v>0</v>
      </c>
      <c r="EQ98" s="1028">
        <v>0</v>
      </c>
      <c r="EU98" s="1028">
        <v>0</v>
      </c>
      <c r="EZ98" s="1028">
        <v>0</v>
      </c>
      <c r="FB98" s="1028">
        <v>0</v>
      </c>
      <c r="FF98" s="1028">
        <v>0</v>
      </c>
      <c r="FJ98" s="1028">
        <v>0</v>
      </c>
      <c r="FO98" s="1028">
        <v>0</v>
      </c>
      <c r="FW98" s="1028">
        <v>875670788.96099985</v>
      </c>
      <c r="FX98" s="1028">
        <v>867641439.3499999</v>
      </c>
      <c r="FY98" s="1028">
        <v>8029349.6109999996</v>
      </c>
      <c r="FZ98" s="1028">
        <v>0</v>
      </c>
      <c r="GB98" s="1028">
        <v>205371218.13428798</v>
      </c>
      <c r="GF98" s="1028">
        <v>1129133287.678988</v>
      </c>
    </row>
    <row r="99" spans="2:188" ht="15.6">
      <c r="B99" s="1408">
        <v>44593</v>
      </c>
      <c r="C99" s="1028">
        <v>0</v>
      </c>
      <c r="E99" s="1028">
        <v>8032644.0300000003</v>
      </c>
      <c r="G99" s="1028">
        <v>8032644.0300000003</v>
      </c>
      <c r="J99" s="1028">
        <v>19166510.7337</v>
      </c>
      <c r="K99" s="1028">
        <v>19166510.7337</v>
      </c>
      <c r="L99" s="1028">
        <v>19166510.7337</v>
      </c>
      <c r="N99" s="1028">
        <v>0</v>
      </c>
      <c r="Q99" s="1028">
        <v>0</v>
      </c>
      <c r="U99" s="1028">
        <v>0</v>
      </c>
      <c r="V99" s="1028">
        <v>0</v>
      </c>
      <c r="W99" s="1028">
        <v>0</v>
      </c>
      <c r="Z99" s="1028">
        <v>0</v>
      </c>
      <c r="AC99" s="1028">
        <v>0</v>
      </c>
      <c r="AG99" s="1028">
        <v>0</v>
      </c>
      <c r="AL99" s="1028">
        <v>0</v>
      </c>
      <c r="AQ99" s="1028">
        <v>0</v>
      </c>
      <c r="AR99" s="1028">
        <v>0</v>
      </c>
      <c r="AS99" s="1028">
        <v>0</v>
      </c>
      <c r="AT99" s="1028">
        <v>0</v>
      </c>
      <c r="AY99" s="1028">
        <v>479113.73</v>
      </c>
      <c r="AZ99" s="1028">
        <v>0</v>
      </c>
      <c r="BA99" s="1028">
        <v>0</v>
      </c>
      <c r="BC99" s="1028">
        <v>0</v>
      </c>
      <c r="BD99" s="1028">
        <v>479113.73</v>
      </c>
      <c r="BE99" s="1028">
        <v>0</v>
      </c>
      <c r="BL99" s="1028">
        <v>0</v>
      </c>
      <c r="BM99" s="1028">
        <v>0</v>
      </c>
      <c r="BT99" s="1028">
        <v>0</v>
      </c>
      <c r="BU99" s="1028">
        <v>0</v>
      </c>
      <c r="BZ99" s="1028">
        <v>0</v>
      </c>
      <c r="CN99" s="1028">
        <v>0</v>
      </c>
      <c r="CO99" s="1028">
        <v>0</v>
      </c>
      <c r="CU99" s="1028">
        <v>0</v>
      </c>
      <c r="DB99" s="1028">
        <v>0</v>
      </c>
      <c r="DF99" s="1028">
        <v>26518097.23</v>
      </c>
      <c r="DG99" s="1028">
        <v>0</v>
      </c>
      <c r="DH99" s="1028">
        <v>0</v>
      </c>
      <c r="DK99" s="1028">
        <v>0</v>
      </c>
      <c r="DN99" s="1028">
        <v>0</v>
      </c>
      <c r="DQ99" s="1028">
        <v>26518097.23</v>
      </c>
      <c r="DR99" s="1028">
        <v>817089.59357651218</v>
      </c>
      <c r="DS99" s="1028">
        <v>25701007.636423487</v>
      </c>
      <c r="DV99" s="1028">
        <v>0</v>
      </c>
      <c r="DZ99" s="1028">
        <v>0</v>
      </c>
      <c r="EA99" s="1028">
        <v>0</v>
      </c>
      <c r="ED99" s="1028">
        <v>0</v>
      </c>
      <c r="EG99" s="1028">
        <v>0</v>
      </c>
      <c r="EK99" s="1028">
        <v>0</v>
      </c>
      <c r="EM99" s="1028">
        <v>0</v>
      </c>
      <c r="EQ99" s="1028">
        <v>0</v>
      </c>
      <c r="EU99" s="1028">
        <v>0</v>
      </c>
      <c r="EZ99" s="1028">
        <v>0</v>
      </c>
      <c r="FB99" s="1028">
        <v>0</v>
      </c>
      <c r="FF99" s="1028">
        <v>0</v>
      </c>
      <c r="FJ99" s="1028">
        <v>0</v>
      </c>
      <c r="FO99" s="1028">
        <v>0</v>
      </c>
      <c r="FW99" s="1028">
        <v>875670788.96099985</v>
      </c>
      <c r="FX99" s="1028">
        <v>867641439.3499999</v>
      </c>
      <c r="FY99" s="1028">
        <v>8029349.6109999996</v>
      </c>
      <c r="FZ99" s="1028">
        <v>0</v>
      </c>
      <c r="GB99" s="1028">
        <v>191229611.13428798</v>
      </c>
      <c r="GF99" s="1028">
        <v>1121096765.8189878</v>
      </c>
    </row>
    <row r="100" spans="2:188" ht="15.6">
      <c r="B100" s="1408">
        <v>44621</v>
      </c>
      <c r="C100" s="1028">
        <v>0</v>
      </c>
      <c r="E100" s="1028">
        <v>3380618.01</v>
      </c>
      <c r="G100" s="1028">
        <v>3380618.01</v>
      </c>
      <c r="J100" s="1028">
        <v>20021398.7337</v>
      </c>
      <c r="K100" s="1028">
        <v>20021398.7337</v>
      </c>
      <c r="L100" s="1028">
        <v>20021398.7337</v>
      </c>
      <c r="N100" s="1028">
        <v>0</v>
      </c>
      <c r="Q100" s="1028">
        <v>0</v>
      </c>
      <c r="U100" s="1028">
        <v>0</v>
      </c>
      <c r="V100" s="1028">
        <v>0</v>
      </c>
      <c r="W100" s="1028">
        <v>0</v>
      </c>
      <c r="Z100" s="1028">
        <v>0</v>
      </c>
      <c r="AC100" s="1028">
        <v>0</v>
      </c>
      <c r="AG100" s="1028">
        <v>0</v>
      </c>
      <c r="AL100" s="1028">
        <v>0</v>
      </c>
      <c r="AQ100" s="1028">
        <v>0</v>
      </c>
      <c r="AR100" s="1028">
        <v>0</v>
      </c>
      <c r="AS100" s="1028">
        <v>0</v>
      </c>
      <c r="AT100" s="1028">
        <v>0</v>
      </c>
      <c r="AY100" s="1028">
        <v>479113.73</v>
      </c>
      <c r="AZ100" s="1028">
        <v>0</v>
      </c>
      <c r="BA100" s="1028">
        <v>0</v>
      </c>
      <c r="BC100" s="1028">
        <v>0</v>
      </c>
      <c r="BD100" s="1028">
        <v>479113.73</v>
      </c>
      <c r="BE100" s="1028">
        <v>0</v>
      </c>
      <c r="BL100" s="1028">
        <v>0</v>
      </c>
      <c r="BM100" s="1028">
        <v>0</v>
      </c>
      <c r="BT100" s="1028">
        <v>0</v>
      </c>
      <c r="BU100" s="1028">
        <v>0</v>
      </c>
      <c r="BZ100" s="1028">
        <v>0</v>
      </c>
      <c r="CN100" s="1028">
        <v>0</v>
      </c>
      <c r="CO100" s="1028">
        <v>0</v>
      </c>
      <c r="CU100" s="1028">
        <v>0</v>
      </c>
      <c r="DB100" s="1028">
        <v>0</v>
      </c>
      <c r="DF100" s="1028">
        <v>26518097.23</v>
      </c>
      <c r="DG100" s="1028">
        <v>0</v>
      </c>
      <c r="DH100" s="1028">
        <v>0</v>
      </c>
      <c r="DK100" s="1028">
        <v>0</v>
      </c>
      <c r="DN100" s="1028">
        <v>0</v>
      </c>
      <c r="DQ100" s="1028">
        <v>26518097.23</v>
      </c>
      <c r="DR100" s="1028">
        <v>817089.59357651218</v>
      </c>
      <c r="DS100" s="1028">
        <v>25701007.636423487</v>
      </c>
      <c r="DV100" s="1028">
        <v>0</v>
      </c>
      <c r="DZ100" s="1028">
        <v>0</v>
      </c>
      <c r="EA100" s="1028">
        <v>0</v>
      </c>
      <c r="ED100" s="1028">
        <v>0</v>
      </c>
      <c r="EG100" s="1028">
        <v>0</v>
      </c>
      <c r="EK100" s="1028">
        <v>0</v>
      </c>
      <c r="EM100" s="1028">
        <v>0</v>
      </c>
      <c r="EQ100" s="1028">
        <v>0</v>
      </c>
      <c r="EU100" s="1028">
        <v>0</v>
      </c>
      <c r="EZ100" s="1028">
        <v>0</v>
      </c>
      <c r="FB100" s="1028">
        <v>0</v>
      </c>
      <c r="FF100" s="1028">
        <v>0</v>
      </c>
      <c r="FJ100" s="1028">
        <v>0</v>
      </c>
      <c r="FO100" s="1028">
        <v>0</v>
      </c>
      <c r="FW100" s="1028">
        <v>875670788.96099985</v>
      </c>
      <c r="FX100" s="1028">
        <v>867641439.3499999</v>
      </c>
      <c r="FY100" s="1028">
        <v>8029349.6109999996</v>
      </c>
      <c r="FZ100" s="1028">
        <v>0</v>
      </c>
      <c r="GB100" s="1028">
        <v>188805741.69448796</v>
      </c>
      <c r="GF100" s="1028">
        <v>1114875758.3591878</v>
      </c>
    </row>
    <row r="101" spans="2:188" ht="15.6">
      <c r="B101" s="1408">
        <v>44652</v>
      </c>
      <c r="C101" s="1028">
        <v>0</v>
      </c>
      <c r="E101" s="1028">
        <v>5756675.1900000004</v>
      </c>
      <c r="G101" s="1028">
        <v>5756675.1900000004</v>
      </c>
      <c r="J101" s="1028">
        <v>18471591.7337</v>
      </c>
      <c r="K101" s="1028">
        <v>18471591.7337</v>
      </c>
      <c r="L101" s="1028">
        <v>18471591.7337</v>
      </c>
      <c r="N101" s="1028">
        <v>0</v>
      </c>
      <c r="Q101" s="1028">
        <v>0</v>
      </c>
      <c r="U101" s="1028">
        <v>0</v>
      </c>
      <c r="V101" s="1028">
        <v>0</v>
      </c>
      <c r="W101" s="1028">
        <v>0</v>
      </c>
      <c r="Z101" s="1028">
        <v>0</v>
      </c>
      <c r="AC101" s="1028">
        <v>0</v>
      </c>
      <c r="AG101" s="1028">
        <v>0</v>
      </c>
      <c r="AL101" s="1028">
        <v>0</v>
      </c>
      <c r="AQ101" s="1028">
        <v>0</v>
      </c>
      <c r="AR101" s="1028">
        <v>0</v>
      </c>
      <c r="AS101" s="1028">
        <v>0</v>
      </c>
      <c r="AT101" s="1028">
        <v>0</v>
      </c>
      <c r="AY101" s="1028">
        <v>479113.73</v>
      </c>
      <c r="AZ101" s="1028">
        <v>0</v>
      </c>
      <c r="BA101" s="1028">
        <v>0</v>
      </c>
      <c r="BC101" s="1028">
        <v>0</v>
      </c>
      <c r="BD101" s="1028">
        <v>479113.73</v>
      </c>
      <c r="BE101" s="1028">
        <v>0</v>
      </c>
      <c r="BL101" s="1028">
        <v>0</v>
      </c>
      <c r="BM101" s="1028">
        <v>0</v>
      </c>
      <c r="BT101" s="1028">
        <v>0</v>
      </c>
      <c r="BU101" s="1028">
        <v>0</v>
      </c>
      <c r="BZ101" s="1028">
        <v>0</v>
      </c>
      <c r="CN101" s="1028">
        <v>0</v>
      </c>
      <c r="CO101" s="1028">
        <v>0</v>
      </c>
      <c r="CU101" s="1028">
        <v>0</v>
      </c>
      <c r="DB101" s="1028">
        <v>0</v>
      </c>
      <c r="DF101" s="1028">
        <v>26518097.23</v>
      </c>
      <c r="DG101" s="1028">
        <v>0</v>
      </c>
      <c r="DH101" s="1028">
        <v>0</v>
      </c>
      <c r="DK101" s="1028">
        <v>0</v>
      </c>
      <c r="DN101" s="1028">
        <v>0</v>
      </c>
      <c r="DQ101" s="1028">
        <v>26518097.23</v>
      </c>
      <c r="DR101" s="1028">
        <v>817089.59357651218</v>
      </c>
      <c r="DS101" s="1028">
        <v>25701007.636423487</v>
      </c>
      <c r="DV101" s="1028">
        <v>0</v>
      </c>
      <c r="DZ101" s="1028">
        <v>0</v>
      </c>
      <c r="EA101" s="1028">
        <v>0</v>
      </c>
      <c r="ED101" s="1028">
        <v>0</v>
      </c>
      <c r="EG101" s="1028">
        <v>0</v>
      </c>
      <c r="EK101" s="1028">
        <v>0</v>
      </c>
      <c r="EM101" s="1028">
        <v>0</v>
      </c>
      <c r="EQ101" s="1028">
        <v>0</v>
      </c>
      <c r="EU101" s="1028">
        <v>0</v>
      </c>
      <c r="EZ101" s="1028">
        <v>0</v>
      </c>
      <c r="FB101" s="1028">
        <v>0</v>
      </c>
      <c r="FF101" s="1028">
        <v>0</v>
      </c>
      <c r="FJ101" s="1028">
        <v>0</v>
      </c>
      <c r="FO101" s="1028">
        <v>0</v>
      </c>
      <c r="FW101" s="1028">
        <v>875670788.96099985</v>
      </c>
      <c r="FX101" s="1028">
        <v>867641439.3499999</v>
      </c>
      <c r="FY101" s="1028">
        <v>8029349.6109999996</v>
      </c>
      <c r="FZ101" s="1028">
        <v>0</v>
      </c>
      <c r="GB101" s="1028">
        <v>233654432.69448799</v>
      </c>
      <c r="GF101" s="1028">
        <v>1160550699.5391879</v>
      </c>
    </row>
    <row r="102" spans="2:188" ht="15.6">
      <c r="B102" s="1408">
        <v>44682</v>
      </c>
      <c r="C102" s="1028">
        <v>0</v>
      </c>
      <c r="E102" s="1028">
        <v>3379018.0099999928</v>
      </c>
      <c r="G102" s="1028">
        <v>3379018.0099999928</v>
      </c>
      <c r="J102" s="1028">
        <v>20933657.766800001</v>
      </c>
      <c r="K102" s="1028">
        <v>20933657.766800001</v>
      </c>
      <c r="L102" s="1028">
        <v>20933657.766800001</v>
      </c>
      <c r="N102" s="1028">
        <v>0</v>
      </c>
      <c r="Q102" s="1028">
        <v>0</v>
      </c>
      <c r="U102" s="1028">
        <v>0</v>
      </c>
      <c r="V102" s="1028">
        <v>0</v>
      </c>
      <c r="W102" s="1028">
        <v>0</v>
      </c>
      <c r="Z102" s="1028">
        <v>0</v>
      </c>
      <c r="AC102" s="1028">
        <v>0</v>
      </c>
      <c r="AG102" s="1028">
        <v>0</v>
      </c>
      <c r="AL102" s="1028">
        <v>0</v>
      </c>
      <c r="AQ102" s="1028">
        <v>0</v>
      </c>
      <c r="AR102" s="1028">
        <v>0</v>
      </c>
      <c r="AS102" s="1028">
        <v>0</v>
      </c>
      <c r="AT102" s="1028">
        <v>0</v>
      </c>
      <c r="AY102" s="1028">
        <v>479113.73</v>
      </c>
      <c r="AZ102" s="1028">
        <v>0</v>
      </c>
      <c r="BA102" s="1028">
        <v>0</v>
      </c>
      <c r="BC102" s="1028">
        <v>0</v>
      </c>
      <c r="BD102" s="1028">
        <v>479113.73</v>
      </c>
      <c r="BE102" s="1028">
        <v>0</v>
      </c>
      <c r="BL102" s="1028">
        <v>0</v>
      </c>
      <c r="BM102" s="1028">
        <v>0</v>
      </c>
      <c r="BT102" s="1028">
        <v>0</v>
      </c>
      <c r="BU102" s="1028">
        <v>0</v>
      </c>
      <c r="BZ102" s="1028">
        <v>0</v>
      </c>
      <c r="CN102" s="1028">
        <v>0</v>
      </c>
      <c r="CO102" s="1028">
        <v>0</v>
      </c>
      <c r="CU102" s="1028">
        <v>0</v>
      </c>
      <c r="DB102" s="1028">
        <v>0</v>
      </c>
      <c r="DF102" s="1028">
        <v>26818421.77</v>
      </c>
      <c r="DG102" s="1028">
        <v>0</v>
      </c>
      <c r="DH102" s="1028">
        <v>0</v>
      </c>
      <c r="DK102" s="1028">
        <v>0</v>
      </c>
      <c r="DN102" s="1028">
        <v>0</v>
      </c>
      <c r="DQ102" s="1028">
        <v>26818421.77</v>
      </c>
      <c r="DR102" s="1028">
        <v>826343.35164977412</v>
      </c>
      <c r="DS102" s="1028">
        <v>25992078.418350227</v>
      </c>
      <c r="DV102" s="1028">
        <v>0</v>
      </c>
      <c r="DZ102" s="1028">
        <v>0</v>
      </c>
      <c r="EA102" s="1028">
        <v>0</v>
      </c>
      <c r="ED102" s="1028">
        <v>0</v>
      </c>
      <c r="EG102" s="1028">
        <v>0</v>
      </c>
      <c r="EK102" s="1028">
        <v>0</v>
      </c>
      <c r="EM102" s="1028">
        <v>0</v>
      </c>
      <c r="EQ102" s="1028">
        <v>0</v>
      </c>
      <c r="EU102" s="1028">
        <v>0</v>
      </c>
      <c r="EZ102" s="1028">
        <v>0</v>
      </c>
      <c r="FB102" s="1028">
        <v>0</v>
      </c>
      <c r="FF102" s="1028">
        <v>0</v>
      </c>
      <c r="FJ102" s="1028">
        <v>0</v>
      </c>
      <c r="FO102" s="1028">
        <v>0</v>
      </c>
      <c r="FW102" s="1028">
        <v>875670788.96099985</v>
      </c>
      <c r="FX102" s="1028">
        <v>867641439.3499999</v>
      </c>
      <c r="FY102" s="1028">
        <v>8029349.6109999996</v>
      </c>
      <c r="FZ102" s="1028">
        <v>0</v>
      </c>
      <c r="GB102" s="1028">
        <v>202269185.48049608</v>
      </c>
      <c r="GF102" s="1028">
        <v>1129550185.7182961</v>
      </c>
    </row>
    <row r="103" spans="2:188" ht="15.6">
      <c r="B103" s="1408">
        <v>44713</v>
      </c>
      <c r="C103" s="1028">
        <v>0</v>
      </c>
      <c r="E103" s="1028">
        <v>178.46</v>
      </c>
      <c r="G103" s="1028">
        <v>178.46</v>
      </c>
      <c r="J103" s="1028">
        <v>23933657.766800001</v>
      </c>
      <c r="K103" s="1028">
        <v>23933657.766800001</v>
      </c>
      <c r="L103" s="1028">
        <v>23933657.766800001</v>
      </c>
      <c r="N103" s="1028">
        <v>0</v>
      </c>
      <c r="Q103" s="1028">
        <v>0</v>
      </c>
      <c r="U103" s="1028">
        <v>0</v>
      </c>
      <c r="V103" s="1028">
        <v>0</v>
      </c>
      <c r="W103" s="1028">
        <v>0</v>
      </c>
      <c r="Z103" s="1028">
        <v>0</v>
      </c>
      <c r="AC103" s="1028">
        <v>0</v>
      </c>
      <c r="AG103" s="1028">
        <v>0</v>
      </c>
      <c r="AL103" s="1028">
        <v>0</v>
      </c>
      <c r="AQ103" s="1028">
        <v>0</v>
      </c>
      <c r="AR103" s="1028">
        <v>0</v>
      </c>
      <c r="AS103" s="1028">
        <v>0</v>
      </c>
      <c r="AT103" s="1028">
        <v>0</v>
      </c>
      <c r="AY103" s="1028">
        <v>479113.73</v>
      </c>
      <c r="AZ103" s="1028">
        <v>0</v>
      </c>
      <c r="BA103" s="1028">
        <v>0</v>
      </c>
      <c r="BC103" s="1028">
        <v>0</v>
      </c>
      <c r="BD103" s="1028">
        <v>479113.73</v>
      </c>
      <c r="BE103" s="1028">
        <v>0</v>
      </c>
      <c r="BL103" s="1028">
        <v>0</v>
      </c>
      <c r="BM103" s="1028">
        <v>0</v>
      </c>
      <c r="BT103" s="1028">
        <v>0</v>
      </c>
      <c r="BU103" s="1028">
        <v>0</v>
      </c>
      <c r="BZ103" s="1028">
        <v>0</v>
      </c>
      <c r="CN103" s="1028">
        <v>0</v>
      </c>
      <c r="CO103" s="1028">
        <v>0</v>
      </c>
      <c r="CU103" s="1028">
        <v>0</v>
      </c>
      <c r="DB103" s="1028">
        <v>0</v>
      </c>
      <c r="DF103" s="1028">
        <v>26818421.77</v>
      </c>
      <c r="DG103" s="1028">
        <v>0</v>
      </c>
      <c r="DH103" s="1028">
        <v>0</v>
      </c>
      <c r="DK103" s="1028">
        <v>0</v>
      </c>
      <c r="DN103" s="1028">
        <v>0</v>
      </c>
      <c r="DQ103" s="1028">
        <v>26818421.77</v>
      </c>
      <c r="DR103" s="1028">
        <v>826343.35164977412</v>
      </c>
      <c r="DS103" s="1028">
        <v>25992078.418350227</v>
      </c>
      <c r="DV103" s="1028">
        <v>0</v>
      </c>
      <c r="DZ103" s="1028">
        <v>0</v>
      </c>
      <c r="EA103" s="1028">
        <v>0</v>
      </c>
      <c r="ED103" s="1028">
        <v>0</v>
      </c>
      <c r="EG103" s="1028">
        <v>0</v>
      </c>
      <c r="EK103" s="1028">
        <v>0</v>
      </c>
      <c r="EM103" s="1028">
        <v>0</v>
      </c>
      <c r="EQ103" s="1028">
        <v>0</v>
      </c>
      <c r="EU103" s="1028">
        <v>0</v>
      </c>
      <c r="EZ103" s="1028">
        <v>0</v>
      </c>
      <c r="FB103" s="1028">
        <v>0</v>
      </c>
      <c r="FF103" s="1028">
        <v>0</v>
      </c>
      <c r="FJ103" s="1028">
        <v>0</v>
      </c>
      <c r="FO103" s="1028">
        <v>0</v>
      </c>
      <c r="FW103" s="1028">
        <v>875670788.96099985</v>
      </c>
      <c r="FX103" s="1028">
        <v>867641439.3499999</v>
      </c>
      <c r="FY103" s="1028">
        <v>8029349.6109999996</v>
      </c>
      <c r="FZ103" s="1028">
        <v>0</v>
      </c>
      <c r="GB103" s="1028">
        <v>203589079.22549608</v>
      </c>
      <c r="GF103" s="1028">
        <v>1130491239.913296</v>
      </c>
    </row>
    <row r="104" spans="2:188" ht="15.6">
      <c r="B104" s="1408">
        <v>44743</v>
      </c>
      <c r="C104" s="1028">
        <v>0</v>
      </c>
      <c r="E104" s="1028">
        <v>0</v>
      </c>
      <c r="G104" s="1028">
        <v>0</v>
      </c>
      <c r="J104" s="1028">
        <v>28262293.766800001</v>
      </c>
      <c r="K104" s="1028">
        <v>28262293.766800001</v>
      </c>
      <c r="L104" s="1028">
        <v>28262293.766800001</v>
      </c>
      <c r="N104" s="1028">
        <v>0</v>
      </c>
      <c r="Q104" s="1028">
        <v>0</v>
      </c>
      <c r="U104" s="1028">
        <v>0</v>
      </c>
      <c r="V104" s="1028">
        <v>0</v>
      </c>
      <c r="W104" s="1028">
        <v>0</v>
      </c>
      <c r="Z104" s="1028">
        <v>0</v>
      </c>
      <c r="AC104" s="1028">
        <v>0</v>
      </c>
      <c r="AG104" s="1028">
        <v>0</v>
      </c>
      <c r="AL104" s="1028">
        <v>0</v>
      </c>
      <c r="AQ104" s="1028">
        <v>0</v>
      </c>
      <c r="AR104" s="1028">
        <v>0</v>
      </c>
      <c r="AS104" s="1028">
        <v>0</v>
      </c>
      <c r="AT104" s="1028">
        <v>0</v>
      </c>
      <c r="AY104" s="1028">
        <v>479113.73</v>
      </c>
      <c r="AZ104" s="1028">
        <v>0</v>
      </c>
      <c r="BA104" s="1028">
        <v>0</v>
      </c>
      <c r="BC104" s="1028">
        <v>0</v>
      </c>
      <c r="BD104" s="1028">
        <v>479113.73</v>
      </c>
      <c r="BE104" s="1028">
        <v>0</v>
      </c>
      <c r="BL104" s="1028">
        <v>0</v>
      </c>
      <c r="BM104" s="1028">
        <v>0</v>
      </c>
      <c r="BT104" s="1028">
        <v>0</v>
      </c>
      <c r="BU104" s="1028">
        <v>0</v>
      </c>
      <c r="BZ104" s="1028">
        <v>0</v>
      </c>
      <c r="CN104" s="1028">
        <v>0</v>
      </c>
      <c r="CO104" s="1028">
        <v>0</v>
      </c>
      <c r="CU104" s="1028">
        <v>0</v>
      </c>
      <c r="DB104" s="1028">
        <v>0</v>
      </c>
      <c r="DF104" s="1028">
        <v>26818421.77</v>
      </c>
      <c r="DG104" s="1028">
        <v>0</v>
      </c>
      <c r="DH104" s="1028">
        <v>0</v>
      </c>
      <c r="DK104" s="1028">
        <v>0</v>
      </c>
      <c r="DN104" s="1028">
        <v>0</v>
      </c>
      <c r="DQ104" s="1028">
        <v>26818421.77</v>
      </c>
      <c r="DR104" s="1028">
        <v>826343.35164977412</v>
      </c>
      <c r="DS104" s="1028">
        <v>25992078.418350227</v>
      </c>
      <c r="DV104" s="1028">
        <v>0</v>
      </c>
      <c r="DZ104" s="1028">
        <v>0</v>
      </c>
      <c r="EA104" s="1028">
        <v>0</v>
      </c>
      <c r="ED104" s="1028">
        <v>0</v>
      </c>
      <c r="EG104" s="1028">
        <v>0</v>
      </c>
      <c r="EK104" s="1028">
        <v>0</v>
      </c>
      <c r="EM104" s="1028">
        <v>0</v>
      </c>
      <c r="EQ104" s="1028">
        <v>0</v>
      </c>
      <c r="EU104" s="1028">
        <v>0</v>
      </c>
      <c r="EZ104" s="1028">
        <v>0</v>
      </c>
      <c r="FB104" s="1028">
        <v>0</v>
      </c>
      <c r="FF104" s="1028">
        <v>0</v>
      </c>
      <c r="FJ104" s="1028">
        <v>0</v>
      </c>
      <c r="FO104" s="1028">
        <v>0</v>
      </c>
      <c r="FW104" s="1028">
        <v>875670788.96099985</v>
      </c>
      <c r="FX104" s="1028">
        <v>867641439.3499999</v>
      </c>
      <c r="FY104" s="1028">
        <v>8029349.6109999996</v>
      </c>
      <c r="FZ104" s="1028">
        <v>0</v>
      </c>
      <c r="GB104" s="1028">
        <v>183907277.22549608</v>
      </c>
      <c r="GF104" s="1028">
        <v>1115137895.4532959</v>
      </c>
    </row>
    <row r="105" spans="2:188" ht="15.6">
      <c r="B105" s="1408">
        <v>44774</v>
      </c>
      <c r="C105" s="1028">
        <v>0</v>
      </c>
      <c r="E105" s="1028">
        <v>0</v>
      </c>
      <c r="G105" s="1028">
        <v>0</v>
      </c>
      <c r="J105" s="1028">
        <v>33354813.636800002</v>
      </c>
      <c r="K105" s="1028">
        <v>33354813.636800002</v>
      </c>
      <c r="L105" s="1028">
        <v>33354813.636800002</v>
      </c>
      <c r="N105" s="1028">
        <v>0</v>
      </c>
      <c r="Q105" s="1028">
        <v>0</v>
      </c>
      <c r="U105" s="1028">
        <v>0</v>
      </c>
      <c r="V105" s="1028">
        <v>0</v>
      </c>
      <c r="W105" s="1028">
        <v>0</v>
      </c>
      <c r="Z105" s="1028">
        <v>0</v>
      </c>
      <c r="AC105" s="1028">
        <v>0</v>
      </c>
      <c r="AG105" s="1028">
        <v>0</v>
      </c>
      <c r="AL105" s="1028">
        <v>0</v>
      </c>
      <c r="AQ105" s="1028">
        <v>0</v>
      </c>
      <c r="AR105" s="1028">
        <v>0</v>
      </c>
      <c r="AS105" s="1028">
        <v>0</v>
      </c>
      <c r="AT105" s="1028">
        <v>0</v>
      </c>
      <c r="AY105" s="1028">
        <v>479113.73</v>
      </c>
      <c r="AZ105" s="1028">
        <v>0</v>
      </c>
      <c r="BA105" s="1028">
        <v>0</v>
      </c>
      <c r="BC105" s="1028">
        <v>0</v>
      </c>
      <c r="BD105" s="1028">
        <v>479113.73</v>
      </c>
      <c r="BE105" s="1028">
        <v>0</v>
      </c>
      <c r="BL105" s="1028">
        <v>0</v>
      </c>
      <c r="BM105" s="1028">
        <v>0</v>
      </c>
      <c r="BT105" s="1028">
        <v>0</v>
      </c>
      <c r="BU105" s="1028">
        <v>0</v>
      </c>
      <c r="BZ105" s="1028">
        <v>0</v>
      </c>
      <c r="CN105" s="1028">
        <v>0</v>
      </c>
      <c r="CO105" s="1028">
        <v>0</v>
      </c>
      <c r="CU105" s="1028">
        <v>0</v>
      </c>
      <c r="DB105" s="1028">
        <v>0</v>
      </c>
      <c r="DF105" s="1028">
        <v>26818421.77</v>
      </c>
      <c r="DG105" s="1028">
        <v>0</v>
      </c>
      <c r="DH105" s="1028">
        <v>0</v>
      </c>
      <c r="DK105" s="1028">
        <v>0</v>
      </c>
      <c r="DN105" s="1028">
        <v>0</v>
      </c>
      <c r="DQ105" s="1028">
        <v>26818421.77</v>
      </c>
      <c r="DR105" s="1028">
        <v>826343.35164977412</v>
      </c>
      <c r="DS105" s="1028">
        <v>25992078.418350227</v>
      </c>
      <c r="DV105" s="1028">
        <v>0</v>
      </c>
      <c r="DZ105" s="1028">
        <v>0</v>
      </c>
      <c r="EA105" s="1028">
        <v>0</v>
      </c>
      <c r="ED105" s="1028">
        <v>0</v>
      </c>
      <c r="EG105" s="1028">
        <v>0</v>
      </c>
      <c r="EK105" s="1028">
        <v>0</v>
      </c>
      <c r="EM105" s="1028">
        <v>0</v>
      </c>
      <c r="EQ105" s="1028">
        <v>0</v>
      </c>
      <c r="EU105" s="1028">
        <v>0</v>
      </c>
      <c r="EZ105" s="1028">
        <v>0</v>
      </c>
      <c r="FB105" s="1028">
        <v>0</v>
      </c>
      <c r="FF105" s="1028">
        <v>0</v>
      </c>
      <c r="FJ105" s="1028">
        <v>0</v>
      </c>
      <c r="FO105" s="1028">
        <v>0</v>
      </c>
      <c r="FW105" s="1028">
        <v>875670788.96099985</v>
      </c>
      <c r="FX105" s="1028">
        <v>867641439.3499999</v>
      </c>
      <c r="FY105" s="1028">
        <v>8029349.6109999996</v>
      </c>
      <c r="FZ105" s="1028">
        <v>0</v>
      </c>
      <c r="GB105" s="1028">
        <v>163860414.22549608</v>
      </c>
      <c r="GF105" s="1028">
        <v>1100183552.3232961</v>
      </c>
    </row>
    <row r="106" spans="2:188" ht="15.6">
      <c r="B106" s="1408">
        <v>44805</v>
      </c>
      <c r="C106" s="1028">
        <v>0</v>
      </c>
      <c r="E106" s="1028">
        <v>0</v>
      </c>
      <c r="G106" s="1028">
        <v>0</v>
      </c>
      <c r="J106" s="1028">
        <v>26744606.366800003</v>
      </c>
      <c r="K106" s="1028">
        <v>26744606.366800003</v>
      </c>
      <c r="L106" s="1028">
        <v>26744606.366800003</v>
      </c>
      <c r="N106" s="1028">
        <v>0</v>
      </c>
      <c r="Q106" s="1028">
        <v>0</v>
      </c>
      <c r="U106" s="1028">
        <v>0</v>
      </c>
      <c r="V106" s="1028">
        <v>0</v>
      </c>
      <c r="W106" s="1028">
        <v>0</v>
      </c>
      <c r="Z106" s="1028">
        <v>0</v>
      </c>
      <c r="AC106" s="1028">
        <v>0</v>
      </c>
      <c r="AG106" s="1028">
        <v>0</v>
      </c>
      <c r="AL106" s="1028">
        <v>0</v>
      </c>
      <c r="AQ106" s="1028">
        <v>0</v>
      </c>
      <c r="AR106" s="1028">
        <v>0</v>
      </c>
      <c r="AS106" s="1028">
        <v>0</v>
      </c>
      <c r="AT106" s="1028">
        <v>0</v>
      </c>
      <c r="AY106" s="1028">
        <v>479113.73</v>
      </c>
      <c r="AZ106" s="1028">
        <v>0</v>
      </c>
      <c r="BA106" s="1028">
        <v>0</v>
      </c>
      <c r="BC106" s="1028">
        <v>0</v>
      </c>
      <c r="BD106" s="1028">
        <v>479113.73</v>
      </c>
      <c r="BE106" s="1028">
        <v>0</v>
      </c>
      <c r="BL106" s="1028">
        <v>0</v>
      </c>
      <c r="BM106" s="1028">
        <v>0</v>
      </c>
      <c r="BT106" s="1028">
        <v>0</v>
      </c>
      <c r="BU106" s="1028">
        <v>0</v>
      </c>
      <c r="BZ106" s="1028">
        <v>0</v>
      </c>
      <c r="CN106" s="1028">
        <v>0</v>
      </c>
      <c r="CO106" s="1028">
        <v>0</v>
      </c>
      <c r="CU106" s="1028">
        <v>0</v>
      </c>
      <c r="DB106" s="1028">
        <v>0</v>
      </c>
      <c r="DF106" s="1028">
        <v>26818421.77</v>
      </c>
      <c r="DG106" s="1028">
        <v>0</v>
      </c>
      <c r="DH106" s="1028">
        <v>0</v>
      </c>
      <c r="DK106" s="1028">
        <v>0</v>
      </c>
      <c r="DN106" s="1028">
        <v>0</v>
      </c>
      <c r="DQ106" s="1028">
        <v>26818421.77</v>
      </c>
      <c r="DR106" s="1028">
        <v>826343.35164977412</v>
      </c>
      <c r="DS106" s="1028">
        <v>25992078.418350227</v>
      </c>
      <c r="DV106" s="1028">
        <v>0</v>
      </c>
      <c r="DZ106" s="1028">
        <v>0</v>
      </c>
      <c r="EA106" s="1028">
        <v>0</v>
      </c>
      <c r="ED106" s="1028">
        <v>0</v>
      </c>
      <c r="EG106" s="1028">
        <v>0</v>
      </c>
      <c r="EK106" s="1028">
        <v>0</v>
      </c>
      <c r="EM106" s="1028">
        <v>0</v>
      </c>
      <c r="EQ106" s="1028">
        <v>0</v>
      </c>
      <c r="EU106" s="1028">
        <v>0</v>
      </c>
      <c r="EZ106" s="1028">
        <v>0</v>
      </c>
      <c r="FB106" s="1028">
        <v>0</v>
      </c>
      <c r="FF106" s="1028">
        <v>0</v>
      </c>
      <c r="FJ106" s="1028">
        <v>0</v>
      </c>
      <c r="FO106" s="1028">
        <v>0</v>
      </c>
      <c r="FW106" s="1028">
        <v>875670788.96099985</v>
      </c>
      <c r="FX106" s="1028">
        <v>867641439.3499999</v>
      </c>
      <c r="FY106" s="1028">
        <v>8029349.6109999996</v>
      </c>
      <c r="FZ106" s="1028">
        <v>0</v>
      </c>
      <c r="GB106" s="1028">
        <v>138144363.09549609</v>
      </c>
      <c r="GF106" s="1028">
        <v>1067857293.9232959</v>
      </c>
    </row>
    <row r="107" spans="2:188" ht="15.6">
      <c r="B107" s="1408">
        <v>44835</v>
      </c>
      <c r="C107" s="1028">
        <v>0</v>
      </c>
      <c r="E107" s="1028">
        <v>0</v>
      </c>
      <c r="G107" s="1028">
        <v>0</v>
      </c>
      <c r="J107" s="1028">
        <v>26744606.366800003</v>
      </c>
      <c r="K107" s="1028">
        <v>26744606.366800003</v>
      </c>
      <c r="L107" s="1028">
        <v>26744606.366800003</v>
      </c>
      <c r="N107" s="1028">
        <v>0</v>
      </c>
      <c r="Q107" s="1028">
        <v>0</v>
      </c>
      <c r="U107" s="1028">
        <v>0</v>
      </c>
      <c r="V107" s="1028">
        <v>0</v>
      </c>
      <c r="W107" s="1028">
        <v>0</v>
      </c>
      <c r="Z107" s="1028">
        <v>0</v>
      </c>
      <c r="AC107" s="1028">
        <v>0</v>
      </c>
      <c r="AG107" s="1028">
        <v>0</v>
      </c>
      <c r="AL107" s="1028">
        <v>0</v>
      </c>
      <c r="AQ107" s="1028">
        <v>0</v>
      </c>
      <c r="AR107" s="1028">
        <v>0</v>
      </c>
      <c r="AS107" s="1028">
        <v>0</v>
      </c>
      <c r="AT107" s="1028">
        <v>0</v>
      </c>
      <c r="AY107" s="1028">
        <v>479113.73</v>
      </c>
      <c r="AZ107" s="1028">
        <v>0</v>
      </c>
      <c r="BA107" s="1028">
        <v>0</v>
      </c>
      <c r="BC107" s="1028">
        <v>0</v>
      </c>
      <c r="BD107" s="1028">
        <v>479113.73</v>
      </c>
      <c r="BE107" s="1028">
        <v>0</v>
      </c>
      <c r="BL107" s="1028">
        <v>0</v>
      </c>
      <c r="BM107" s="1028">
        <v>0</v>
      </c>
      <c r="BT107" s="1028">
        <v>0</v>
      </c>
      <c r="BU107" s="1028">
        <v>0</v>
      </c>
      <c r="BZ107" s="1028">
        <v>0</v>
      </c>
      <c r="CN107" s="1028">
        <v>0</v>
      </c>
      <c r="CO107" s="1028">
        <v>0</v>
      </c>
      <c r="CU107" s="1028">
        <v>0</v>
      </c>
      <c r="DB107" s="1028">
        <v>0</v>
      </c>
      <c r="DF107" s="1028">
        <v>26818421.77</v>
      </c>
      <c r="DG107" s="1028">
        <v>0</v>
      </c>
      <c r="DH107" s="1028">
        <v>0</v>
      </c>
      <c r="DK107" s="1028">
        <v>0</v>
      </c>
      <c r="DN107" s="1028">
        <v>0</v>
      </c>
      <c r="DQ107" s="1028">
        <v>26818421.77</v>
      </c>
      <c r="DR107" s="1028">
        <v>826343.35164977412</v>
      </c>
      <c r="DS107" s="1028">
        <v>25992078.418350227</v>
      </c>
      <c r="DV107" s="1028">
        <v>0</v>
      </c>
      <c r="DZ107" s="1028">
        <v>0</v>
      </c>
      <c r="EA107" s="1028">
        <v>0</v>
      </c>
      <c r="ED107" s="1028">
        <v>0</v>
      </c>
      <c r="EG107" s="1028">
        <v>0</v>
      </c>
      <c r="EK107" s="1028">
        <v>0</v>
      </c>
      <c r="EM107" s="1028">
        <v>0</v>
      </c>
      <c r="EQ107" s="1028">
        <v>0</v>
      </c>
      <c r="EU107" s="1028">
        <v>0</v>
      </c>
      <c r="EZ107" s="1028">
        <v>0</v>
      </c>
      <c r="FB107" s="1028">
        <v>0</v>
      </c>
      <c r="FF107" s="1028">
        <v>0</v>
      </c>
      <c r="FJ107" s="1028">
        <v>0</v>
      </c>
      <c r="FO107" s="1028">
        <v>0</v>
      </c>
      <c r="FW107" s="1028">
        <v>875670788.96099985</v>
      </c>
      <c r="FX107" s="1028">
        <v>867641439.3499999</v>
      </c>
      <c r="FY107" s="1028">
        <v>8029349.6109999996</v>
      </c>
      <c r="FZ107" s="1028">
        <v>0</v>
      </c>
      <c r="GB107" s="1028">
        <v>138144363.09549609</v>
      </c>
      <c r="GF107" s="1028">
        <v>1067857293.9232959</v>
      </c>
    </row>
    <row r="108" spans="2:188" ht="15.6">
      <c r="B108" s="1408">
        <v>44866</v>
      </c>
      <c r="C108" s="1028">
        <v>0</v>
      </c>
      <c r="E108" s="1028">
        <v>0</v>
      </c>
      <c r="G108" s="1028">
        <v>0</v>
      </c>
      <c r="J108" s="1028">
        <v>26744606.366800003</v>
      </c>
      <c r="K108" s="1028">
        <v>26744606.366800003</v>
      </c>
      <c r="L108" s="1028">
        <v>26744606.366800003</v>
      </c>
      <c r="N108" s="1028">
        <v>0</v>
      </c>
      <c r="Q108" s="1028">
        <v>0</v>
      </c>
      <c r="U108" s="1028">
        <v>0</v>
      </c>
      <c r="V108" s="1028">
        <v>0</v>
      </c>
      <c r="W108" s="1028">
        <v>0</v>
      </c>
      <c r="Z108" s="1028">
        <v>0</v>
      </c>
      <c r="AC108" s="1028">
        <v>0</v>
      </c>
      <c r="AG108" s="1028">
        <v>0</v>
      </c>
      <c r="AL108" s="1028">
        <v>0</v>
      </c>
      <c r="AQ108" s="1028">
        <v>0</v>
      </c>
      <c r="AR108" s="1028">
        <v>0</v>
      </c>
      <c r="AS108" s="1028">
        <v>0</v>
      </c>
      <c r="AT108" s="1028">
        <v>0</v>
      </c>
      <c r="AY108" s="1028">
        <v>479113.73</v>
      </c>
      <c r="AZ108" s="1028">
        <v>0</v>
      </c>
      <c r="BA108" s="1028">
        <v>0</v>
      </c>
      <c r="BC108" s="1028">
        <v>0</v>
      </c>
      <c r="BD108" s="1028">
        <v>479113.73</v>
      </c>
      <c r="BE108" s="1028">
        <v>0</v>
      </c>
      <c r="BL108" s="1028">
        <v>0</v>
      </c>
      <c r="BM108" s="1028">
        <v>0</v>
      </c>
      <c r="BT108" s="1028">
        <v>0</v>
      </c>
      <c r="BU108" s="1028">
        <v>0</v>
      </c>
      <c r="BZ108" s="1028">
        <v>0</v>
      </c>
      <c r="CN108" s="1028">
        <v>0</v>
      </c>
      <c r="CO108" s="1028">
        <v>0</v>
      </c>
      <c r="CU108" s="1028">
        <v>0</v>
      </c>
      <c r="DB108" s="1028">
        <v>0</v>
      </c>
      <c r="DF108" s="1028">
        <v>26818421.77</v>
      </c>
      <c r="DG108" s="1028">
        <v>0</v>
      </c>
      <c r="DH108" s="1028">
        <v>0</v>
      </c>
      <c r="DK108" s="1028">
        <v>0</v>
      </c>
      <c r="DN108" s="1028">
        <v>0</v>
      </c>
      <c r="DQ108" s="1028">
        <v>26818421.77</v>
      </c>
      <c r="DR108" s="1028">
        <v>826343.35164977412</v>
      </c>
      <c r="DS108" s="1028">
        <v>25992078.418350227</v>
      </c>
      <c r="DV108" s="1028">
        <v>0</v>
      </c>
      <c r="DZ108" s="1028">
        <v>0</v>
      </c>
      <c r="EA108" s="1028">
        <v>0</v>
      </c>
      <c r="ED108" s="1028">
        <v>0</v>
      </c>
      <c r="EG108" s="1028">
        <v>0</v>
      </c>
      <c r="EK108" s="1028">
        <v>0</v>
      </c>
      <c r="EM108" s="1028">
        <v>0</v>
      </c>
      <c r="EQ108" s="1028">
        <v>0</v>
      </c>
      <c r="EU108" s="1028">
        <v>0</v>
      </c>
      <c r="EZ108" s="1028">
        <v>0</v>
      </c>
      <c r="FB108" s="1028">
        <v>0</v>
      </c>
      <c r="FF108" s="1028">
        <v>0</v>
      </c>
      <c r="FJ108" s="1028">
        <v>0</v>
      </c>
      <c r="FO108" s="1028">
        <v>0</v>
      </c>
      <c r="FW108" s="1028">
        <v>875670788.96099985</v>
      </c>
      <c r="FX108" s="1028">
        <v>867641439.3499999</v>
      </c>
      <c r="FY108" s="1028">
        <v>8029349.6109999996</v>
      </c>
      <c r="FZ108" s="1028">
        <v>0</v>
      </c>
      <c r="GB108" s="1028">
        <v>138144363.09549609</v>
      </c>
      <c r="GF108" s="1028">
        <v>1067857293.9232959</v>
      </c>
    </row>
    <row r="109" spans="2:188" ht="15.6">
      <c r="B109" s="1408">
        <v>44896</v>
      </c>
      <c r="C109" s="1028">
        <v>0</v>
      </c>
      <c r="E109" s="1028">
        <v>0</v>
      </c>
      <c r="G109" s="1028">
        <v>0</v>
      </c>
      <c r="J109" s="1028">
        <v>27739799.366799999</v>
      </c>
      <c r="K109" s="1028">
        <v>27739799.366799999</v>
      </c>
      <c r="L109" s="1028">
        <v>27739799.366799999</v>
      </c>
      <c r="N109" s="1028">
        <v>0</v>
      </c>
      <c r="Q109" s="1028">
        <v>0</v>
      </c>
      <c r="U109" s="1028">
        <v>0</v>
      </c>
      <c r="V109" s="1028">
        <v>0</v>
      </c>
      <c r="W109" s="1028">
        <v>0</v>
      </c>
      <c r="Z109" s="1028">
        <v>0</v>
      </c>
      <c r="AC109" s="1028">
        <v>0</v>
      </c>
      <c r="AG109" s="1028">
        <v>0</v>
      </c>
      <c r="AL109" s="1028">
        <v>0</v>
      </c>
      <c r="AQ109" s="1028">
        <v>0</v>
      </c>
      <c r="AR109" s="1028">
        <v>0</v>
      </c>
      <c r="AS109" s="1028">
        <v>0</v>
      </c>
      <c r="AT109" s="1028">
        <v>0</v>
      </c>
      <c r="AY109" s="1028">
        <v>479113.73</v>
      </c>
      <c r="AZ109" s="1028">
        <v>0</v>
      </c>
      <c r="BA109" s="1028">
        <v>0</v>
      </c>
      <c r="BC109" s="1028">
        <v>0</v>
      </c>
      <c r="BD109" s="1028">
        <v>479113.73</v>
      </c>
      <c r="BE109" s="1028">
        <v>0</v>
      </c>
      <c r="BL109" s="1028">
        <v>0</v>
      </c>
      <c r="BM109" s="1028">
        <v>0</v>
      </c>
      <c r="BT109" s="1028">
        <v>0</v>
      </c>
      <c r="BU109" s="1028">
        <v>0</v>
      </c>
      <c r="BZ109" s="1028">
        <v>0</v>
      </c>
      <c r="CN109" s="1028">
        <v>0</v>
      </c>
      <c r="CO109" s="1028">
        <v>0</v>
      </c>
      <c r="CU109" s="1028">
        <v>0</v>
      </c>
      <c r="DB109" s="1028">
        <v>0</v>
      </c>
      <c r="DF109" s="1028">
        <v>26818421.77</v>
      </c>
      <c r="DG109" s="1028">
        <v>0</v>
      </c>
      <c r="DH109" s="1028">
        <v>0</v>
      </c>
      <c r="DK109" s="1028">
        <v>0</v>
      </c>
      <c r="DN109" s="1028">
        <v>0</v>
      </c>
      <c r="DQ109" s="1028">
        <v>26818421.77</v>
      </c>
      <c r="DR109" s="1028">
        <v>826343.35164977412</v>
      </c>
      <c r="DS109" s="1028">
        <v>25992078.418350227</v>
      </c>
      <c r="DV109" s="1028">
        <v>0</v>
      </c>
      <c r="DZ109" s="1028">
        <v>0</v>
      </c>
      <c r="EA109" s="1028">
        <v>0</v>
      </c>
      <c r="ED109" s="1028">
        <v>0</v>
      </c>
      <c r="EG109" s="1028">
        <v>0</v>
      </c>
      <c r="EK109" s="1028">
        <v>0</v>
      </c>
      <c r="EM109" s="1028">
        <v>0</v>
      </c>
      <c r="EQ109" s="1028">
        <v>0</v>
      </c>
      <c r="EU109" s="1028">
        <v>0</v>
      </c>
      <c r="EZ109" s="1028">
        <v>0</v>
      </c>
      <c r="FB109" s="1028">
        <v>0</v>
      </c>
      <c r="FF109" s="1028">
        <v>0</v>
      </c>
      <c r="FJ109" s="1028">
        <v>0</v>
      </c>
      <c r="FO109" s="1028">
        <v>0</v>
      </c>
      <c r="FW109" s="1028">
        <v>875670788.96099985</v>
      </c>
      <c r="FX109" s="1028">
        <v>867641439.3499999</v>
      </c>
      <c r="FY109" s="1028">
        <v>8029349.6109999996</v>
      </c>
      <c r="FZ109" s="1028">
        <v>0</v>
      </c>
      <c r="GB109" s="1028">
        <v>154762497.56549609</v>
      </c>
      <c r="GF109" s="1028">
        <v>1085470621.3932958</v>
      </c>
    </row>
    <row r="111" spans="2:188" ht="15.6">
      <c r="B111" s="1408">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8"/>
    <col min="2" max="2" width="9" style="1028" bestFit="1" customWidth="1"/>
    <col min="3" max="6" width="11.54296875" style="1028" bestFit="1" customWidth="1"/>
    <col min="7" max="16" width="8.90625" style="1028"/>
    <col min="17" max="19" width="9.08984375" style="1028" bestFit="1" customWidth="1"/>
    <col min="20" max="22" width="8.90625" style="1028"/>
    <col min="23" max="23" width="9.08984375" style="1028" bestFit="1" customWidth="1"/>
    <col min="24" max="26" width="8.90625" style="1028"/>
    <col min="27" max="27" width="9.08984375" style="1028" bestFit="1" customWidth="1"/>
    <col min="28" max="30" width="8.90625" style="1028"/>
    <col min="31" max="31" width="9.08984375" style="1028" bestFit="1" customWidth="1"/>
    <col min="32" max="34" width="8.90625" style="1028"/>
    <col min="35" max="35" width="9.08984375" style="1028" bestFit="1" customWidth="1"/>
    <col min="36" max="38" width="8.90625" style="1028"/>
    <col min="39" max="39" width="9.08984375" style="1028" bestFit="1" customWidth="1"/>
    <col min="40" max="42" width="8.90625" style="1028"/>
    <col min="43" max="43" width="14.1796875" style="1028" customWidth="1"/>
    <col min="44" max="46" width="8.90625" style="1028"/>
    <col min="47" max="47" width="9.08984375" style="1028" bestFit="1" customWidth="1"/>
    <col min="48" max="50" width="8.90625" style="1028"/>
    <col min="51" max="51" width="9.08984375" style="1028" bestFit="1" customWidth="1"/>
    <col min="52" max="54" width="8.90625" style="1028"/>
    <col min="55" max="55" width="9.08984375" style="1028" bestFit="1" customWidth="1"/>
    <col min="56" max="58" width="8.90625" style="1028"/>
    <col min="59" max="59" width="9.08984375" style="1028" bestFit="1" customWidth="1"/>
    <col min="60" max="63" width="8.90625" style="1028"/>
    <col min="64" max="65" width="9.08984375" style="1028" bestFit="1" customWidth="1"/>
    <col min="66" max="66" width="8.90625" style="1028"/>
    <col min="67" max="67" width="9.08984375" style="1028" bestFit="1" customWidth="1"/>
    <col min="68" max="71" width="8.90625" style="1028"/>
    <col min="72" max="72" width="9.08984375" style="1028" bestFit="1" customWidth="1"/>
    <col min="73" max="73" width="8.90625" style="1028"/>
    <col min="74" max="74" width="9.08984375" style="1028" bestFit="1" customWidth="1"/>
    <col min="75" max="78" width="8.90625" style="1028"/>
    <col min="79" max="79" width="9.08984375" style="1028" bestFit="1" customWidth="1"/>
    <col min="80" max="80" width="8.90625" style="1028"/>
    <col min="81" max="81" width="9.08984375" style="1028" bestFit="1" customWidth="1"/>
    <col min="82" max="86" width="8.90625" style="1028"/>
    <col min="87" max="87" width="23.54296875" style="1028" customWidth="1"/>
    <col min="88" max="92" width="8.90625" style="1028"/>
    <col min="93" max="93" width="19.90625" style="1028" customWidth="1"/>
    <col min="94" max="97" width="8.90625" style="1028"/>
    <col min="98" max="98" width="13" style="1028" customWidth="1"/>
    <col min="99" max="99" width="9.08984375" style="1028" bestFit="1" customWidth="1"/>
    <col min="100" max="101" width="8.90625" style="1028"/>
    <col min="102" max="102" width="9.08984375" style="1028" bestFit="1" customWidth="1"/>
    <col min="103" max="104" width="8.90625" style="1028"/>
    <col min="105" max="105" width="9.08984375" style="1028" bestFit="1" customWidth="1"/>
    <col min="106" max="108" width="8.90625" style="1028"/>
    <col min="109" max="109" width="17.453125" style="1028" customWidth="1"/>
    <col min="110" max="110" width="9.08984375" style="1028" bestFit="1" customWidth="1"/>
    <col min="111" max="112" width="8.90625" style="1028"/>
    <col min="113" max="113" width="9.08984375" style="1028" bestFit="1" customWidth="1"/>
    <col min="114" max="115" width="8.90625" style="1028"/>
    <col min="116" max="116" width="9.08984375" style="1028" bestFit="1" customWidth="1"/>
    <col min="117" max="121" width="8.90625" style="1028"/>
    <col min="122" max="122" width="9.08984375" style="1028" bestFit="1" customWidth="1"/>
    <col min="123" max="123" width="8.90625" style="1028"/>
    <col min="124" max="124" width="9.08984375" style="1028" bestFit="1" customWidth="1"/>
    <col min="125" max="126" width="8.90625" style="1028"/>
    <col min="127" max="127" width="9.08984375" style="1028" bestFit="1" customWidth="1"/>
    <col min="128" max="131" width="8.90625" style="1028"/>
    <col min="132" max="132" width="9.08984375" style="1028" bestFit="1" customWidth="1"/>
    <col min="133" max="135" width="8.90625" style="1028"/>
    <col min="136" max="137" width="9.08984375" style="1028" bestFit="1" customWidth="1"/>
    <col min="138" max="139" width="8.90625" style="1028"/>
    <col min="140" max="140" width="9.08984375" style="1028" bestFit="1" customWidth="1"/>
    <col min="141" max="142" width="8.90625" style="1028"/>
    <col min="143" max="143" width="9.08984375" style="1028" bestFit="1" customWidth="1"/>
    <col min="144" max="148" width="8.90625" style="1028"/>
    <col min="149" max="149" width="12.08984375" style="1028" bestFit="1" customWidth="1"/>
    <col min="150" max="150" width="11.54296875" style="1028" bestFit="1" customWidth="1"/>
    <col min="151" max="151" width="10.54296875" style="1028" bestFit="1" customWidth="1"/>
    <col min="152" max="152" width="11.54296875" style="1028" bestFit="1" customWidth="1"/>
    <col min="153" max="153" width="9.08984375" style="1028" bestFit="1" customWidth="1"/>
    <col min="154" max="155" width="8.90625" style="1028"/>
    <col min="156" max="156" width="12.08984375" style="1028" bestFit="1" customWidth="1"/>
    <col min="157" max="158" width="8.90625" style="1028"/>
    <col min="159" max="159" width="12.08984375" style="1028" bestFit="1" customWidth="1"/>
    <col min="160" max="160" width="11.08984375" style="1028" bestFit="1" customWidth="1"/>
    <col min="161" max="161" width="8.90625" style="1028"/>
    <col min="162" max="162" width="13.90625" style="1028" customWidth="1"/>
    <col min="163" max="167" width="8.90625" style="1028"/>
    <col min="168" max="168" width="11.453125" style="1028" bestFit="1" customWidth="1"/>
    <col min="169" max="169" width="9" style="1028" bestFit="1" customWidth="1"/>
    <col min="170" max="16384" width="8.90625" style="1028"/>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0">
        <v>39049663</v>
      </c>
      <c r="D5" s="1410">
        <v>38986232</v>
      </c>
      <c r="E5" s="1410">
        <v>12404128</v>
      </c>
      <c r="F5" s="1410">
        <v>26582104</v>
      </c>
      <c r="G5" s="1410"/>
      <c r="H5" s="1410"/>
      <c r="I5" s="1410"/>
      <c r="J5" s="1410"/>
      <c r="K5" s="1410">
        <v>133</v>
      </c>
      <c r="L5" s="1410"/>
      <c r="M5" s="1410"/>
      <c r="N5" s="1410">
        <v>63298</v>
      </c>
      <c r="O5" s="1410"/>
      <c r="P5" s="1410"/>
      <c r="Q5" s="1410">
        <v>40928157</v>
      </c>
      <c r="R5" s="1410">
        <v>29044629</v>
      </c>
      <c r="S5" s="1410">
        <v>9726204</v>
      </c>
      <c r="T5" s="1410">
        <v>9726204</v>
      </c>
      <c r="U5" s="1410"/>
      <c r="V5" s="1410"/>
      <c r="W5" s="1410">
        <v>19318425</v>
      </c>
      <c r="X5" s="1410">
        <v>19318425</v>
      </c>
      <c r="Y5" s="1410"/>
      <c r="Z5" s="1410"/>
      <c r="AA5" s="1410">
        <v>0</v>
      </c>
      <c r="AB5" s="1410"/>
      <c r="AC5" s="1410"/>
      <c r="AD5" s="1410"/>
      <c r="AE5" s="1410">
        <v>0</v>
      </c>
      <c r="AF5" s="1410"/>
      <c r="AG5" s="1410"/>
      <c r="AH5" s="1410"/>
      <c r="AI5" s="1410">
        <v>0</v>
      </c>
      <c r="AJ5" s="1410"/>
      <c r="AK5" s="1410"/>
      <c r="AL5" s="1410"/>
      <c r="AM5" s="1410">
        <v>0</v>
      </c>
      <c r="AN5" s="1410"/>
      <c r="AO5" s="1410"/>
      <c r="AP5" s="1410"/>
      <c r="AQ5" s="1410">
        <v>11883528</v>
      </c>
      <c r="AR5" s="1410">
        <v>11883528</v>
      </c>
      <c r="AS5" s="1410"/>
      <c r="AT5" s="1410"/>
      <c r="AU5" s="1410">
        <v>0</v>
      </c>
      <c r="AV5" s="1410"/>
      <c r="AW5" s="1410"/>
      <c r="AX5" s="1410"/>
      <c r="AY5" s="1410">
        <v>0</v>
      </c>
      <c r="AZ5" s="1410"/>
      <c r="BA5" s="1410"/>
      <c r="BB5" s="1410"/>
      <c r="BC5" s="1410">
        <v>0</v>
      </c>
      <c r="BD5" s="1410"/>
      <c r="BE5" s="1410"/>
      <c r="BF5" s="1410"/>
      <c r="BG5" s="1410">
        <v>0</v>
      </c>
      <c r="BH5" s="1410"/>
      <c r="BI5" s="1410"/>
      <c r="BJ5" s="1410"/>
      <c r="BK5" s="1410"/>
      <c r="BL5" s="1410">
        <v>0</v>
      </c>
      <c r="BM5" s="1410">
        <v>0</v>
      </c>
      <c r="BN5" s="1410"/>
      <c r="BO5" s="1410">
        <v>0</v>
      </c>
      <c r="BP5" s="1410"/>
      <c r="BQ5" s="1410"/>
      <c r="BR5" s="1410"/>
      <c r="BS5" s="1410"/>
      <c r="BT5" s="1410">
        <v>0</v>
      </c>
      <c r="BU5" s="1410"/>
      <c r="BV5" s="1410">
        <v>0</v>
      </c>
      <c r="BW5" s="1410"/>
      <c r="BX5" s="1410"/>
      <c r="BY5" s="1410"/>
      <c r="BZ5" s="1410"/>
      <c r="CA5" s="1410">
        <v>0</v>
      </c>
      <c r="CB5" s="1410"/>
      <c r="CC5" s="1410">
        <v>0</v>
      </c>
      <c r="CD5" s="1410"/>
      <c r="CE5" s="1410"/>
      <c r="CF5" s="1410"/>
      <c r="CG5" s="1410"/>
      <c r="CH5" s="1410"/>
      <c r="CI5" s="1410">
        <v>0</v>
      </c>
      <c r="CJ5" s="1410"/>
      <c r="CK5" s="1410"/>
      <c r="CL5" s="1410"/>
      <c r="CM5" s="1410"/>
      <c r="CN5" s="1410"/>
      <c r="CO5" s="1410">
        <v>0</v>
      </c>
      <c r="CP5" s="1410"/>
      <c r="CQ5" s="1410"/>
      <c r="CR5" s="1410"/>
      <c r="CS5" s="1410"/>
      <c r="CT5" s="1410">
        <v>0</v>
      </c>
      <c r="CU5" s="1410">
        <v>0</v>
      </c>
      <c r="CV5" s="1410"/>
      <c r="CW5" s="1410"/>
      <c r="CX5" s="1410">
        <v>0</v>
      </c>
      <c r="CY5" s="1410"/>
      <c r="CZ5" s="1410"/>
      <c r="DA5" s="1410">
        <v>0</v>
      </c>
      <c r="DB5" s="1410"/>
      <c r="DC5" s="1410"/>
      <c r="DD5" s="1410"/>
      <c r="DE5" s="1410">
        <v>0</v>
      </c>
      <c r="DF5" s="1410">
        <v>0</v>
      </c>
      <c r="DG5" s="1410"/>
      <c r="DH5" s="1410"/>
      <c r="DI5" s="1410">
        <v>0</v>
      </c>
      <c r="DJ5" s="1410"/>
      <c r="DK5" s="1410"/>
      <c r="DL5" s="1410">
        <v>0</v>
      </c>
      <c r="DM5" s="1410"/>
      <c r="DN5" s="1410"/>
      <c r="DO5" s="1410"/>
      <c r="DP5" s="1410"/>
      <c r="DQ5" s="1410"/>
      <c r="DR5" s="1410">
        <v>11698987</v>
      </c>
      <c r="DS5" s="1410"/>
      <c r="DT5" s="1410">
        <v>0</v>
      </c>
      <c r="DU5" s="1410"/>
      <c r="DV5" s="1410"/>
      <c r="DW5" s="1410">
        <v>0</v>
      </c>
      <c r="DX5" s="1410"/>
      <c r="DY5" s="1410"/>
      <c r="DZ5" s="1410"/>
      <c r="EA5" s="1410"/>
      <c r="EB5" s="1410">
        <v>11698987</v>
      </c>
      <c r="EC5" s="1410"/>
      <c r="ED5" s="1410">
        <v>11698987</v>
      </c>
      <c r="EE5" s="1410"/>
      <c r="EF5" s="1410">
        <v>8344350</v>
      </c>
      <c r="EG5" s="1410">
        <v>0</v>
      </c>
      <c r="EH5" s="1410"/>
      <c r="EI5" s="1410"/>
      <c r="EJ5" s="1410">
        <v>0</v>
      </c>
      <c r="EK5" s="1410"/>
      <c r="EL5" s="1410"/>
      <c r="EM5" s="1410">
        <v>8344350</v>
      </c>
      <c r="EN5" s="1410"/>
      <c r="EO5" s="1410">
        <v>8344350</v>
      </c>
      <c r="EP5" s="1410"/>
      <c r="EQ5" s="1410"/>
      <c r="ER5" s="1410"/>
      <c r="ES5" s="1410">
        <v>-46995024</v>
      </c>
      <c r="ET5" s="1410">
        <v>43574907</v>
      </c>
      <c r="EU5" s="1410">
        <v>6529670</v>
      </c>
      <c r="EV5" s="1410">
        <v>37045237</v>
      </c>
      <c r="EW5" s="1410">
        <v>32801755</v>
      </c>
      <c r="EX5" s="1410"/>
      <c r="EY5" s="1410">
        <v>32801755</v>
      </c>
      <c r="EZ5" s="1410">
        <v>-123371686</v>
      </c>
      <c r="FA5" s="1410"/>
      <c r="FB5" s="1410"/>
      <c r="FC5" s="1410">
        <v>-123371686</v>
      </c>
      <c r="FD5" s="1410">
        <v>0</v>
      </c>
      <c r="FE5" s="1410"/>
      <c r="FF5" s="1410">
        <v>70722080</v>
      </c>
      <c r="FG5" s="1410"/>
      <c r="FH5" s="1410"/>
      <c r="FI5" s="1410"/>
      <c r="FJ5" s="1410"/>
      <c r="FK5" s="1410"/>
      <c r="FL5" s="1410">
        <v>123748213</v>
      </c>
      <c r="FM5" s="1206">
        <v>0</v>
      </c>
    </row>
    <row r="6" spans="1:169">
      <c r="A6" s="1206"/>
      <c r="B6" s="1208">
        <v>42036</v>
      </c>
      <c r="C6" s="1410">
        <v>38382454</v>
      </c>
      <c r="D6" s="1410">
        <v>38310027</v>
      </c>
      <c r="E6" s="1410">
        <v>12166279</v>
      </c>
      <c r="F6" s="1410">
        <v>26143748</v>
      </c>
      <c r="G6" s="1410"/>
      <c r="H6" s="1410"/>
      <c r="I6" s="1410"/>
      <c r="J6" s="1410"/>
      <c r="K6" s="1410">
        <v>103</v>
      </c>
      <c r="L6" s="1410"/>
      <c r="M6" s="1410"/>
      <c r="N6" s="1410">
        <v>72324</v>
      </c>
      <c r="O6" s="1410"/>
      <c r="P6" s="1410"/>
      <c r="Q6" s="1410">
        <v>40362222</v>
      </c>
      <c r="R6" s="1410">
        <v>28468203</v>
      </c>
      <c r="S6" s="1410">
        <v>9533018</v>
      </c>
      <c r="T6" s="1410">
        <v>9533018</v>
      </c>
      <c r="U6" s="1410"/>
      <c r="V6" s="1410"/>
      <c r="W6" s="1410">
        <v>18935185</v>
      </c>
      <c r="X6" s="1410">
        <v>18935185</v>
      </c>
      <c r="Y6" s="1410"/>
      <c r="Z6" s="1410"/>
      <c r="AA6" s="1410">
        <v>0</v>
      </c>
      <c r="AB6" s="1410"/>
      <c r="AC6" s="1410"/>
      <c r="AD6" s="1410"/>
      <c r="AE6" s="1410">
        <v>0</v>
      </c>
      <c r="AF6" s="1410"/>
      <c r="AG6" s="1410"/>
      <c r="AH6" s="1410"/>
      <c r="AI6" s="1410">
        <v>0</v>
      </c>
      <c r="AJ6" s="1410"/>
      <c r="AK6" s="1410"/>
      <c r="AL6" s="1410"/>
      <c r="AM6" s="1410">
        <v>0</v>
      </c>
      <c r="AN6" s="1410"/>
      <c r="AO6" s="1410"/>
      <c r="AP6" s="1410"/>
      <c r="AQ6" s="1410">
        <v>11894019</v>
      </c>
      <c r="AR6" s="1410">
        <v>11894019</v>
      </c>
      <c r="AS6" s="1410"/>
      <c r="AT6" s="1410"/>
      <c r="AU6" s="1410">
        <v>0</v>
      </c>
      <c r="AV6" s="1410"/>
      <c r="AW6" s="1410"/>
      <c r="AX6" s="1410"/>
      <c r="AY6" s="1410">
        <v>0</v>
      </c>
      <c r="AZ6" s="1410"/>
      <c r="BA6" s="1410"/>
      <c r="BB6" s="1410"/>
      <c r="BC6" s="1410">
        <v>0</v>
      </c>
      <c r="BD6" s="1410"/>
      <c r="BE6" s="1410"/>
      <c r="BF6" s="1410"/>
      <c r="BG6" s="1410">
        <v>0</v>
      </c>
      <c r="BH6" s="1410"/>
      <c r="BI6" s="1410"/>
      <c r="BJ6" s="1410"/>
      <c r="BK6" s="1410"/>
      <c r="BL6" s="1410">
        <v>0</v>
      </c>
      <c r="BM6" s="1410">
        <v>0</v>
      </c>
      <c r="BN6" s="1410"/>
      <c r="BO6" s="1410">
        <v>0</v>
      </c>
      <c r="BP6" s="1410"/>
      <c r="BQ6" s="1410"/>
      <c r="BR6" s="1410"/>
      <c r="BS6" s="1410"/>
      <c r="BT6" s="1410">
        <v>0</v>
      </c>
      <c r="BU6" s="1410"/>
      <c r="BV6" s="1410">
        <v>0</v>
      </c>
      <c r="BW6" s="1410"/>
      <c r="BX6" s="1410"/>
      <c r="BY6" s="1410"/>
      <c r="BZ6" s="1410"/>
      <c r="CA6" s="1410">
        <v>0</v>
      </c>
      <c r="CB6" s="1410"/>
      <c r="CC6" s="1410">
        <v>0</v>
      </c>
      <c r="CD6" s="1410"/>
      <c r="CE6" s="1410"/>
      <c r="CF6" s="1410"/>
      <c r="CG6" s="1410"/>
      <c r="CH6" s="1410"/>
      <c r="CI6" s="1410">
        <v>0</v>
      </c>
      <c r="CJ6" s="1410"/>
      <c r="CK6" s="1410"/>
      <c r="CL6" s="1410"/>
      <c r="CM6" s="1410"/>
      <c r="CN6" s="1410"/>
      <c r="CO6" s="1410">
        <v>0</v>
      </c>
      <c r="CP6" s="1410"/>
      <c r="CQ6" s="1410"/>
      <c r="CR6" s="1410"/>
      <c r="CS6" s="1410"/>
      <c r="CT6" s="1410">
        <v>0</v>
      </c>
      <c r="CU6" s="1410">
        <v>0</v>
      </c>
      <c r="CV6" s="1410"/>
      <c r="CW6" s="1410"/>
      <c r="CX6" s="1410">
        <v>0</v>
      </c>
      <c r="CY6" s="1410"/>
      <c r="CZ6" s="1410"/>
      <c r="DA6" s="1410">
        <v>0</v>
      </c>
      <c r="DB6" s="1410"/>
      <c r="DC6" s="1410"/>
      <c r="DD6" s="1410"/>
      <c r="DE6" s="1410">
        <v>0</v>
      </c>
      <c r="DF6" s="1410">
        <v>0</v>
      </c>
      <c r="DG6" s="1410"/>
      <c r="DH6" s="1410"/>
      <c r="DI6" s="1410">
        <v>0</v>
      </c>
      <c r="DJ6" s="1410"/>
      <c r="DK6" s="1410"/>
      <c r="DL6" s="1410">
        <v>0</v>
      </c>
      <c r="DM6" s="1410"/>
      <c r="DN6" s="1410"/>
      <c r="DO6" s="1410"/>
      <c r="DP6" s="1410"/>
      <c r="DQ6" s="1410"/>
      <c r="DR6" s="1410">
        <v>11698987</v>
      </c>
      <c r="DS6" s="1410"/>
      <c r="DT6" s="1410">
        <v>0</v>
      </c>
      <c r="DU6" s="1410"/>
      <c r="DV6" s="1410"/>
      <c r="DW6" s="1410">
        <v>0</v>
      </c>
      <c r="DX6" s="1410"/>
      <c r="DY6" s="1410"/>
      <c r="DZ6" s="1410"/>
      <c r="EA6" s="1410"/>
      <c r="EB6" s="1410">
        <v>11698987</v>
      </c>
      <c r="EC6" s="1410"/>
      <c r="ED6" s="1410">
        <v>11698987</v>
      </c>
      <c r="EE6" s="1410"/>
      <c r="EF6" s="1410">
        <v>8346700</v>
      </c>
      <c r="EG6" s="1410">
        <v>0</v>
      </c>
      <c r="EH6" s="1410"/>
      <c r="EI6" s="1410"/>
      <c r="EJ6" s="1410">
        <v>0</v>
      </c>
      <c r="EK6" s="1410"/>
      <c r="EL6" s="1410"/>
      <c r="EM6" s="1410">
        <v>8346700</v>
      </c>
      <c r="EN6" s="1410"/>
      <c r="EO6" s="1410">
        <v>8346700</v>
      </c>
      <c r="EP6" s="1410"/>
      <c r="EQ6" s="1410"/>
      <c r="ER6" s="1410"/>
      <c r="ES6" s="1410">
        <v>-48678825</v>
      </c>
      <c r="ET6" s="1410">
        <v>43574907</v>
      </c>
      <c r="EU6" s="1410">
        <v>6529670</v>
      </c>
      <c r="EV6" s="1410">
        <v>37045237</v>
      </c>
      <c r="EW6" s="1410">
        <v>32801755</v>
      </c>
      <c r="EX6" s="1410"/>
      <c r="EY6" s="1410">
        <v>32801755</v>
      </c>
      <c r="EZ6" s="1410">
        <v>-125055487</v>
      </c>
      <c r="FA6" s="1410"/>
      <c r="FB6" s="1410"/>
      <c r="FC6" s="1410">
        <v>-125055487</v>
      </c>
      <c r="FD6" s="1410">
        <v>0</v>
      </c>
      <c r="FE6" s="1410"/>
      <c r="FF6" s="1410">
        <v>75550647</v>
      </c>
      <c r="FG6" s="1410"/>
      <c r="FH6" s="1410"/>
      <c r="FI6" s="1410"/>
      <c r="FJ6" s="1410"/>
      <c r="FK6" s="1410"/>
      <c r="FL6" s="1410">
        <v>125662185</v>
      </c>
      <c r="FM6" s="1206">
        <v>0</v>
      </c>
    </row>
    <row r="7" spans="1:169">
      <c r="A7" s="1206"/>
      <c r="B7" s="1208">
        <v>42064</v>
      </c>
      <c r="C7" s="1410">
        <v>68617290</v>
      </c>
      <c r="D7" s="1410">
        <v>68563165</v>
      </c>
      <c r="E7" s="1410">
        <v>25840116</v>
      </c>
      <c r="F7" s="1410">
        <v>42723049</v>
      </c>
      <c r="G7" s="1410"/>
      <c r="H7" s="1410"/>
      <c r="I7" s="1410"/>
      <c r="J7" s="1410">
        <v>6227</v>
      </c>
      <c r="K7" s="1410">
        <v>103</v>
      </c>
      <c r="L7" s="1410"/>
      <c r="M7" s="1410"/>
      <c r="N7" s="1410">
        <v>47795</v>
      </c>
      <c r="O7" s="1410"/>
      <c r="P7" s="1410"/>
      <c r="Q7" s="1410">
        <v>12132368</v>
      </c>
      <c r="R7" s="1410">
        <v>108620</v>
      </c>
      <c r="S7" s="1410">
        <v>5584</v>
      </c>
      <c r="T7" s="1410">
        <v>5584</v>
      </c>
      <c r="U7" s="1410"/>
      <c r="V7" s="1410"/>
      <c r="W7" s="1410">
        <v>103036</v>
      </c>
      <c r="X7" s="1410">
        <v>103036</v>
      </c>
      <c r="Y7" s="1410"/>
      <c r="Z7" s="1410"/>
      <c r="AA7" s="1410">
        <v>0</v>
      </c>
      <c r="AB7" s="1410"/>
      <c r="AC7" s="1410"/>
      <c r="AD7" s="1410"/>
      <c r="AE7" s="1410">
        <v>0</v>
      </c>
      <c r="AF7" s="1410"/>
      <c r="AG7" s="1410"/>
      <c r="AH7" s="1410"/>
      <c r="AI7" s="1410">
        <v>0</v>
      </c>
      <c r="AJ7" s="1410"/>
      <c r="AK7" s="1410"/>
      <c r="AL7" s="1410"/>
      <c r="AM7" s="1410">
        <v>0</v>
      </c>
      <c r="AN7" s="1410"/>
      <c r="AO7" s="1410"/>
      <c r="AP7" s="1410"/>
      <c r="AQ7" s="1410">
        <v>12023748</v>
      </c>
      <c r="AR7" s="1410">
        <v>12023748</v>
      </c>
      <c r="AS7" s="1410"/>
      <c r="AT7" s="1410"/>
      <c r="AU7" s="1410">
        <v>0</v>
      </c>
      <c r="AV7" s="1410"/>
      <c r="AW7" s="1410"/>
      <c r="AX7" s="1410"/>
      <c r="AY7" s="1410">
        <v>0</v>
      </c>
      <c r="AZ7" s="1410"/>
      <c r="BA7" s="1410"/>
      <c r="BB7" s="1410"/>
      <c r="BC7" s="1410">
        <v>0</v>
      </c>
      <c r="BD7" s="1410"/>
      <c r="BE7" s="1410"/>
      <c r="BF7" s="1410"/>
      <c r="BG7" s="1410">
        <v>0</v>
      </c>
      <c r="BH7" s="1410"/>
      <c r="BI7" s="1410"/>
      <c r="BJ7" s="1410"/>
      <c r="BK7" s="1410"/>
      <c r="BL7" s="1410">
        <v>0</v>
      </c>
      <c r="BM7" s="1410">
        <v>0</v>
      </c>
      <c r="BN7" s="1410"/>
      <c r="BO7" s="1410">
        <v>0</v>
      </c>
      <c r="BP7" s="1410"/>
      <c r="BQ7" s="1410"/>
      <c r="BR7" s="1410"/>
      <c r="BS7" s="1410"/>
      <c r="BT7" s="1410">
        <v>0</v>
      </c>
      <c r="BU7" s="1410"/>
      <c r="BV7" s="1410">
        <v>0</v>
      </c>
      <c r="BW7" s="1410"/>
      <c r="BX7" s="1410"/>
      <c r="BY7" s="1410"/>
      <c r="BZ7" s="1410"/>
      <c r="CA7" s="1410">
        <v>0</v>
      </c>
      <c r="CB7" s="1410"/>
      <c r="CC7" s="1410">
        <v>0</v>
      </c>
      <c r="CD7" s="1410"/>
      <c r="CE7" s="1410"/>
      <c r="CF7" s="1410"/>
      <c r="CG7" s="1410"/>
      <c r="CH7" s="1410"/>
      <c r="CI7" s="1410">
        <v>0</v>
      </c>
      <c r="CJ7" s="1410"/>
      <c r="CK7" s="1410"/>
      <c r="CL7" s="1410"/>
      <c r="CM7" s="1410"/>
      <c r="CN7" s="1410"/>
      <c r="CO7" s="1410">
        <v>0</v>
      </c>
      <c r="CP7" s="1410"/>
      <c r="CQ7" s="1410"/>
      <c r="CR7" s="1410"/>
      <c r="CS7" s="1410"/>
      <c r="CT7" s="1410">
        <v>0</v>
      </c>
      <c r="CU7" s="1410">
        <v>0</v>
      </c>
      <c r="CV7" s="1410"/>
      <c r="CW7" s="1410"/>
      <c r="CX7" s="1410">
        <v>0</v>
      </c>
      <c r="CY7" s="1410"/>
      <c r="CZ7" s="1410"/>
      <c r="DA7" s="1410">
        <v>0</v>
      </c>
      <c r="DB7" s="1410"/>
      <c r="DC7" s="1410"/>
      <c r="DD7" s="1410"/>
      <c r="DE7" s="1410">
        <v>0</v>
      </c>
      <c r="DF7" s="1410">
        <v>0</v>
      </c>
      <c r="DG7" s="1410"/>
      <c r="DH7" s="1410"/>
      <c r="DI7" s="1410">
        <v>0</v>
      </c>
      <c r="DJ7" s="1410"/>
      <c r="DK7" s="1410"/>
      <c r="DL7" s="1410">
        <v>0</v>
      </c>
      <c r="DM7" s="1410"/>
      <c r="DN7" s="1410"/>
      <c r="DO7" s="1410"/>
      <c r="DP7" s="1410"/>
      <c r="DQ7" s="1410"/>
      <c r="DR7" s="1410">
        <v>11990998</v>
      </c>
      <c r="DS7" s="1410"/>
      <c r="DT7" s="1410">
        <v>0</v>
      </c>
      <c r="DU7" s="1410"/>
      <c r="DV7" s="1410"/>
      <c r="DW7" s="1410">
        <v>0</v>
      </c>
      <c r="DX7" s="1410"/>
      <c r="DY7" s="1410"/>
      <c r="DZ7" s="1410"/>
      <c r="EA7" s="1410"/>
      <c r="EB7" s="1410">
        <v>11990998</v>
      </c>
      <c r="EC7" s="1410"/>
      <c r="ED7" s="1410">
        <v>11990998</v>
      </c>
      <c r="EE7" s="1410"/>
      <c r="EF7" s="1410">
        <v>8247150</v>
      </c>
      <c r="EG7" s="1410">
        <v>0</v>
      </c>
      <c r="EH7" s="1410"/>
      <c r="EI7" s="1410"/>
      <c r="EJ7" s="1410">
        <v>0</v>
      </c>
      <c r="EK7" s="1410"/>
      <c r="EL7" s="1410"/>
      <c r="EM7" s="1410">
        <v>8247150</v>
      </c>
      <c r="EN7" s="1410"/>
      <c r="EO7" s="1410">
        <v>8247150</v>
      </c>
      <c r="EP7" s="1410"/>
      <c r="EQ7" s="1410"/>
      <c r="ER7" s="1410"/>
      <c r="ES7" s="1410">
        <v>-50685931</v>
      </c>
      <c r="ET7" s="1410">
        <v>43574907</v>
      </c>
      <c r="EU7" s="1410">
        <v>6529670</v>
      </c>
      <c r="EV7" s="1410">
        <v>37045237</v>
      </c>
      <c r="EW7" s="1410">
        <v>32801755</v>
      </c>
      <c r="EX7" s="1410"/>
      <c r="EY7" s="1410">
        <v>32801755</v>
      </c>
      <c r="EZ7" s="1410">
        <v>-127062593</v>
      </c>
      <c r="FA7" s="1410"/>
      <c r="FB7" s="1410"/>
      <c r="FC7" s="1410">
        <v>-127062593</v>
      </c>
      <c r="FD7" s="1410">
        <v>0</v>
      </c>
      <c r="FE7" s="1410"/>
      <c r="FF7" s="1410">
        <v>75204834</v>
      </c>
      <c r="FG7" s="1410"/>
      <c r="FH7" s="1410"/>
      <c r="FI7" s="1410"/>
      <c r="FJ7" s="1410"/>
      <c r="FK7" s="1410"/>
      <c r="FL7" s="1410">
        <v>125506709</v>
      </c>
      <c r="FM7" s="1206">
        <v>0</v>
      </c>
    </row>
    <row r="8" spans="1:169">
      <c r="A8" s="1206"/>
      <c r="B8" s="1208">
        <v>42095</v>
      </c>
      <c r="C8" s="1410">
        <v>63934982.729999997</v>
      </c>
      <c r="D8" s="1410">
        <v>63934982.729999997</v>
      </c>
      <c r="E8" s="1410">
        <v>24866011.579999998</v>
      </c>
      <c r="F8" s="1410">
        <v>39068971.149999999</v>
      </c>
      <c r="G8" s="1410"/>
      <c r="H8" s="1410"/>
      <c r="I8" s="1410"/>
      <c r="J8" s="1410"/>
      <c r="K8" s="1410"/>
      <c r="L8" s="1410"/>
      <c r="M8" s="1410"/>
      <c r="N8" s="1410"/>
      <c r="O8" s="1410"/>
      <c r="P8" s="1410"/>
      <c r="Q8" s="1410">
        <v>0</v>
      </c>
      <c r="R8" s="1410">
        <v>0</v>
      </c>
      <c r="S8" s="1410">
        <v>0</v>
      </c>
      <c r="T8" s="1410"/>
      <c r="U8" s="1410"/>
      <c r="V8" s="1410"/>
      <c r="W8" s="1410">
        <v>0</v>
      </c>
      <c r="X8" s="1410"/>
      <c r="Y8" s="1410"/>
      <c r="Z8" s="1410"/>
      <c r="AA8" s="1410">
        <v>0</v>
      </c>
      <c r="AB8" s="1410"/>
      <c r="AC8" s="1410"/>
      <c r="AD8" s="1410"/>
      <c r="AE8" s="1410">
        <v>0</v>
      </c>
      <c r="AF8" s="1410"/>
      <c r="AG8" s="1410"/>
      <c r="AH8" s="1410"/>
      <c r="AI8" s="1410">
        <v>0</v>
      </c>
      <c r="AJ8" s="1410"/>
      <c r="AK8" s="1410"/>
      <c r="AL8" s="1410"/>
      <c r="AM8" s="1410">
        <v>0</v>
      </c>
      <c r="AN8" s="1410"/>
      <c r="AO8" s="1410"/>
      <c r="AP8" s="1410"/>
      <c r="AQ8" s="1410">
        <v>0</v>
      </c>
      <c r="AR8" s="1410"/>
      <c r="AS8" s="1410"/>
      <c r="AT8" s="1410"/>
      <c r="AU8" s="1410">
        <v>0</v>
      </c>
      <c r="AV8" s="1410"/>
      <c r="AW8" s="1410"/>
      <c r="AX8" s="1410"/>
      <c r="AY8" s="1410">
        <v>0</v>
      </c>
      <c r="AZ8" s="1410"/>
      <c r="BA8" s="1410"/>
      <c r="BB8" s="1410"/>
      <c r="BC8" s="1410">
        <v>0</v>
      </c>
      <c r="BD8" s="1410"/>
      <c r="BE8" s="1410"/>
      <c r="BF8" s="1410"/>
      <c r="BG8" s="1410">
        <v>0</v>
      </c>
      <c r="BH8" s="1410"/>
      <c r="BI8" s="1410"/>
      <c r="BJ8" s="1410"/>
      <c r="BK8" s="1410"/>
      <c r="BL8" s="1410">
        <v>0</v>
      </c>
      <c r="BM8" s="1410">
        <v>0</v>
      </c>
      <c r="BN8" s="1410"/>
      <c r="BO8" s="1410">
        <v>0</v>
      </c>
      <c r="BP8" s="1410"/>
      <c r="BQ8" s="1410"/>
      <c r="BR8" s="1410"/>
      <c r="BS8" s="1410"/>
      <c r="BT8" s="1410">
        <v>0</v>
      </c>
      <c r="BU8" s="1410"/>
      <c r="BV8" s="1410">
        <v>0</v>
      </c>
      <c r="BW8" s="1410"/>
      <c r="BX8" s="1410"/>
      <c r="BY8" s="1410"/>
      <c r="BZ8" s="1410"/>
      <c r="CA8" s="1410">
        <v>0</v>
      </c>
      <c r="CB8" s="1410"/>
      <c r="CC8" s="1410">
        <v>0</v>
      </c>
      <c r="CD8" s="1410"/>
      <c r="CE8" s="1410"/>
      <c r="CF8" s="1410"/>
      <c r="CG8" s="1410"/>
      <c r="CH8" s="1410"/>
      <c r="CI8" s="1410">
        <v>0</v>
      </c>
      <c r="CJ8" s="1410"/>
      <c r="CK8" s="1410"/>
      <c r="CL8" s="1410"/>
      <c r="CM8" s="1410"/>
      <c r="CN8" s="1410"/>
      <c r="CO8" s="1410">
        <v>0</v>
      </c>
      <c r="CP8" s="1410"/>
      <c r="CQ8" s="1410"/>
      <c r="CR8" s="1410"/>
      <c r="CS8" s="1410"/>
      <c r="CT8" s="1410">
        <v>0</v>
      </c>
      <c r="CU8" s="1410">
        <v>0</v>
      </c>
      <c r="CV8" s="1410"/>
      <c r="CW8" s="1410"/>
      <c r="CX8" s="1410">
        <v>0</v>
      </c>
      <c r="CY8" s="1410"/>
      <c r="CZ8" s="1410"/>
      <c r="DA8" s="1410">
        <v>0</v>
      </c>
      <c r="DB8" s="1410"/>
      <c r="DC8" s="1410"/>
      <c r="DD8" s="1410"/>
      <c r="DE8" s="1410">
        <v>0</v>
      </c>
      <c r="DF8" s="1410">
        <v>0</v>
      </c>
      <c r="DG8" s="1410"/>
      <c r="DH8" s="1410"/>
      <c r="DI8" s="1410">
        <v>0</v>
      </c>
      <c r="DJ8" s="1410"/>
      <c r="DK8" s="1410"/>
      <c r="DL8" s="1410">
        <v>0</v>
      </c>
      <c r="DM8" s="1410"/>
      <c r="DN8" s="1410"/>
      <c r="DO8" s="1410"/>
      <c r="DP8" s="1410"/>
      <c r="DQ8" s="1410"/>
      <c r="DR8" s="1410">
        <v>0</v>
      </c>
      <c r="DS8" s="1410"/>
      <c r="DT8" s="1410">
        <v>0</v>
      </c>
      <c r="DU8" s="1410"/>
      <c r="DV8" s="1410"/>
      <c r="DW8" s="1410">
        <v>0</v>
      </c>
      <c r="DX8" s="1410"/>
      <c r="DY8" s="1410"/>
      <c r="DZ8" s="1410"/>
      <c r="EA8" s="1410"/>
      <c r="EB8" s="1410">
        <v>0</v>
      </c>
      <c r="EC8" s="1410"/>
      <c r="ED8" s="1410"/>
      <c r="EE8" s="1410"/>
      <c r="EF8" s="1410">
        <v>0</v>
      </c>
      <c r="EG8" s="1410">
        <v>0</v>
      </c>
      <c r="EH8" s="1410"/>
      <c r="EI8" s="1410"/>
      <c r="EJ8" s="1410">
        <v>0</v>
      </c>
      <c r="EK8" s="1410"/>
      <c r="EL8" s="1410"/>
      <c r="EM8" s="1410">
        <v>0</v>
      </c>
      <c r="EN8" s="1410"/>
      <c r="EO8" s="1410"/>
      <c r="EP8" s="1410"/>
      <c r="EQ8" s="1410"/>
      <c r="ER8" s="1410"/>
      <c r="ES8" s="1410">
        <v>-27484719</v>
      </c>
      <c r="ET8" s="1410">
        <v>37045237</v>
      </c>
      <c r="EU8" s="1410">
        <v>2498362</v>
      </c>
      <c r="EV8" s="1410">
        <v>34546875</v>
      </c>
      <c r="EW8" s="1410">
        <v>0</v>
      </c>
      <c r="EX8" s="1410"/>
      <c r="EY8" s="1410"/>
      <c r="EZ8" s="1410">
        <v>-64529956</v>
      </c>
      <c r="FA8" s="1410"/>
      <c r="FB8" s="1410"/>
      <c r="FC8" s="1410">
        <v>-64529956</v>
      </c>
      <c r="FD8" s="1410"/>
      <c r="FE8" s="1410"/>
      <c r="FF8" s="1410">
        <v>62442950.270000011</v>
      </c>
      <c r="FG8" s="1410"/>
      <c r="FH8" s="1410"/>
      <c r="FI8" s="1410"/>
      <c r="FJ8" s="1410"/>
      <c r="FK8" s="1410"/>
      <c r="FL8" s="1410">
        <v>98893214</v>
      </c>
      <c r="FM8" s="1206">
        <v>0</v>
      </c>
    </row>
    <row r="9" spans="1:169">
      <c r="A9" s="1206"/>
      <c r="B9" s="1208">
        <v>42125</v>
      </c>
      <c r="C9" s="1410">
        <v>63899237.700000003</v>
      </c>
      <c r="D9" s="1410">
        <v>63899237.700000003</v>
      </c>
      <c r="E9" s="1410">
        <v>24852109.379999999</v>
      </c>
      <c r="F9" s="1410">
        <v>39047128.32</v>
      </c>
      <c r="G9" s="1410"/>
      <c r="H9" s="1410"/>
      <c r="I9" s="1410"/>
      <c r="J9" s="1410"/>
      <c r="K9" s="1410"/>
      <c r="L9" s="1410"/>
      <c r="M9" s="1410"/>
      <c r="N9" s="1410"/>
      <c r="O9" s="1410"/>
      <c r="P9" s="1410"/>
      <c r="Q9" s="1410">
        <v>0</v>
      </c>
      <c r="R9" s="1410">
        <v>0</v>
      </c>
      <c r="S9" s="1410">
        <v>0</v>
      </c>
      <c r="T9" s="1410"/>
      <c r="U9" s="1410"/>
      <c r="V9" s="1410"/>
      <c r="W9" s="1410">
        <v>0</v>
      </c>
      <c r="X9" s="1410"/>
      <c r="Y9" s="1410"/>
      <c r="Z9" s="1410"/>
      <c r="AA9" s="1410">
        <v>0</v>
      </c>
      <c r="AB9" s="1410"/>
      <c r="AC9" s="1410"/>
      <c r="AD9" s="1410"/>
      <c r="AE9" s="1410">
        <v>0</v>
      </c>
      <c r="AF9" s="1410"/>
      <c r="AG9" s="1410"/>
      <c r="AH9" s="1410"/>
      <c r="AI9" s="1410">
        <v>0</v>
      </c>
      <c r="AJ9" s="1410"/>
      <c r="AK9" s="1410"/>
      <c r="AL9" s="1410"/>
      <c r="AM9" s="1410">
        <v>0</v>
      </c>
      <c r="AN9" s="1410"/>
      <c r="AO9" s="1410"/>
      <c r="AP9" s="1410"/>
      <c r="AQ9" s="1410">
        <v>0</v>
      </c>
      <c r="AR9" s="1410"/>
      <c r="AS9" s="1410"/>
      <c r="AT9" s="1410"/>
      <c r="AU9" s="1410">
        <v>0</v>
      </c>
      <c r="AV9" s="1410"/>
      <c r="AW9" s="1410"/>
      <c r="AX9" s="1410"/>
      <c r="AY9" s="1410">
        <v>0</v>
      </c>
      <c r="AZ9" s="1410"/>
      <c r="BA9" s="1410"/>
      <c r="BB9" s="1410"/>
      <c r="BC9" s="1410">
        <v>0</v>
      </c>
      <c r="BD9" s="1410"/>
      <c r="BE9" s="1410"/>
      <c r="BF9" s="1410"/>
      <c r="BG9" s="1410">
        <v>0</v>
      </c>
      <c r="BH9" s="1410"/>
      <c r="BI9" s="1410"/>
      <c r="BJ9" s="1410"/>
      <c r="BK9" s="1410"/>
      <c r="BL9" s="1410">
        <v>0</v>
      </c>
      <c r="BM9" s="1410">
        <v>0</v>
      </c>
      <c r="BN9" s="1410"/>
      <c r="BO9" s="1410">
        <v>0</v>
      </c>
      <c r="BP9" s="1410"/>
      <c r="BQ9" s="1410"/>
      <c r="BR9" s="1410"/>
      <c r="BS9" s="1410"/>
      <c r="BT9" s="1410">
        <v>0</v>
      </c>
      <c r="BU9" s="1410"/>
      <c r="BV9" s="1410">
        <v>0</v>
      </c>
      <c r="BW9" s="1410"/>
      <c r="BX9" s="1410"/>
      <c r="BY9" s="1410"/>
      <c r="BZ9" s="1410"/>
      <c r="CA9" s="1410">
        <v>0</v>
      </c>
      <c r="CB9" s="1410"/>
      <c r="CC9" s="1410">
        <v>0</v>
      </c>
      <c r="CD9" s="1410"/>
      <c r="CE9" s="1410"/>
      <c r="CF9" s="1410"/>
      <c r="CG9" s="1410"/>
      <c r="CH9" s="1410"/>
      <c r="CI9" s="1410">
        <v>0</v>
      </c>
      <c r="CJ9" s="1410"/>
      <c r="CK9" s="1410"/>
      <c r="CL9" s="1410"/>
      <c r="CM9" s="1410"/>
      <c r="CN9" s="1410"/>
      <c r="CO9" s="1410">
        <v>0</v>
      </c>
      <c r="CP9" s="1410"/>
      <c r="CQ9" s="1410"/>
      <c r="CR9" s="1410"/>
      <c r="CS9" s="1410"/>
      <c r="CT9" s="1410">
        <v>0</v>
      </c>
      <c r="CU9" s="1410">
        <v>0</v>
      </c>
      <c r="CV9" s="1410"/>
      <c r="CW9" s="1410"/>
      <c r="CX9" s="1410">
        <v>0</v>
      </c>
      <c r="CY9" s="1410"/>
      <c r="CZ9" s="1410"/>
      <c r="DA9" s="1410">
        <v>0</v>
      </c>
      <c r="DB9" s="1410"/>
      <c r="DC9" s="1410"/>
      <c r="DD9" s="1410"/>
      <c r="DE9" s="1410">
        <v>0</v>
      </c>
      <c r="DF9" s="1410">
        <v>0</v>
      </c>
      <c r="DG9" s="1410"/>
      <c r="DH9" s="1410"/>
      <c r="DI9" s="1410">
        <v>0</v>
      </c>
      <c r="DJ9" s="1410"/>
      <c r="DK9" s="1410"/>
      <c r="DL9" s="1410">
        <v>0</v>
      </c>
      <c r="DM9" s="1410"/>
      <c r="DN9" s="1410"/>
      <c r="DO9" s="1410"/>
      <c r="DP9" s="1410"/>
      <c r="DQ9" s="1410"/>
      <c r="DR9" s="1410">
        <v>0</v>
      </c>
      <c r="DS9" s="1410"/>
      <c r="DT9" s="1410">
        <v>0</v>
      </c>
      <c r="DU9" s="1410"/>
      <c r="DV9" s="1410"/>
      <c r="DW9" s="1410">
        <v>0</v>
      </c>
      <c r="DX9" s="1410"/>
      <c r="DY9" s="1410"/>
      <c r="DZ9" s="1410"/>
      <c r="EA9" s="1410"/>
      <c r="EB9" s="1410">
        <v>0</v>
      </c>
      <c r="EC9" s="1410"/>
      <c r="ED9" s="1410"/>
      <c r="EE9" s="1410"/>
      <c r="EF9" s="1410">
        <v>0</v>
      </c>
      <c r="EG9" s="1410">
        <v>0</v>
      </c>
      <c r="EH9" s="1410"/>
      <c r="EI9" s="1410"/>
      <c r="EJ9" s="1410">
        <v>0</v>
      </c>
      <c r="EK9" s="1410"/>
      <c r="EL9" s="1410"/>
      <c r="EM9" s="1410">
        <v>0</v>
      </c>
      <c r="EN9" s="1410"/>
      <c r="EO9" s="1410"/>
      <c r="EP9" s="1410"/>
      <c r="EQ9" s="1410"/>
      <c r="ER9" s="1410"/>
      <c r="ES9" s="1410">
        <v>-28773379</v>
      </c>
      <c r="ET9" s="1410">
        <v>37045237</v>
      </c>
      <c r="EU9" s="1410">
        <v>2498362</v>
      </c>
      <c r="EV9" s="1410">
        <v>34546875</v>
      </c>
      <c r="EW9" s="1410">
        <v>1878565</v>
      </c>
      <c r="EX9" s="1410"/>
      <c r="EY9" s="1410">
        <v>1878565</v>
      </c>
      <c r="EZ9" s="1410">
        <v>-67697181</v>
      </c>
      <c r="FA9" s="1410"/>
      <c r="FB9" s="1410">
        <v>0</v>
      </c>
      <c r="FC9" s="1410">
        <v>-67697181</v>
      </c>
      <c r="FD9" s="1410"/>
      <c r="FE9" s="1410"/>
      <c r="FF9" s="1410">
        <v>64157557.299999997</v>
      </c>
      <c r="FG9" s="1410"/>
      <c r="FH9" s="1410"/>
      <c r="FI9" s="1410"/>
      <c r="FJ9" s="1410"/>
      <c r="FK9" s="1410"/>
      <c r="FL9" s="1410">
        <v>99283416</v>
      </c>
      <c r="FM9" s="1206">
        <v>0</v>
      </c>
    </row>
    <row r="10" spans="1:169">
      <c r="A10" s="1206"/>
      <c r="B10" s="1208">
        <v>42156</v>
      </c>
      <c r="C10" s="1410">
        <v>62949856.870000012</v>
      </c>
      <c r="D10" s="1410">
        <v>62949856.870000012</v>
      </c>
      <c r="E10" s="1410">
        <v>24482869.983765736</v>
      </c>
      <c r="F10" s="1410">
        <v>38466986.886234276</v>
      </c>
      <c r="G10" s="1410"/>
      <c r="H10" s="1410"/>
      <c r="I10" s="1410"/>
      <c r="J10" s="1410"/>
      <c r="K10" s="1410"/>
      <c r="L10" s="1410"/>
      <c r="M10" s="1410"/>
      <c r="N10" s="1410"/>
      <c r="O10" s="1410"/>
      <c r="P10" s="1410"/>
      <c r="Q10" s="1410">
        <v>0</v>
      </c>
      <c r="R10" s="1410">
        <v>0</v>
      </c>
      <c r="S10" s="1410">
        <v>0</v>
      </c>
      <c r="T10" s="1410"/>
      <c r="U10" s="1410"/>
      <c r="V10" s="1410"/>
      <c r="W10" s="1410">
        <v>0</v>
      </c>
      <c r="X10" s="1410"/>
      <c r="Y10" s="1410"/>
      <c r="Z10" s="1410"/>
      <c r="AA10" s="1410">
        <v>0</v>
      </c>
      <c r="AB10" s="1410"/>
      <c r="AC10" s="1410"/>
      <c r="AD10" s="1410"/>
      <c r="AE10" s="1410">
        <v>0</v>
      </c>
      <c r="AF10" s="1410"/>
      <c r="AG10" s="1410"/>
      <c r="AH10" s="1410"/>
      <c r="AI10" s="1410">
        <v>0</v>
      </c>
      <c r="AJ10" s="1410"/>
      <c r="AK10" s="1410"/>
      <c r="AL10" s="1410"/>
      <c r="AM10" s="1410">
        <v>0</v>
      </c>
      <c r="AN10" s="1410"/>
      <c r="AO10" s="1410"/>
      <c r="AP10" s="1410"/>
      <c r="AQ10" s="1410">
        <v>0</v>
      </c>
      <c r="AR10" s="1410"/>
      <c r="AS10" s="1410"/>
      <c r="AT10" s="1410"/>
      <c r="AU10" s="1410">
        <v>0</v>
      </c>
      <c r="AV10" s="1410"/>
      <c r="AW10" s="1410"/>
      <c r="AX10" s="1410"/>
      <c r="AY10" s="1410">
        <v>0</v>
      </c>
      <c r="AZ10" s="1410"/>
      <c r="BA10" s="1410"/>
      <c r="BB10" s="1410"/>
      <c r="BC10" s="1410">
        <v>0</v>
      </c>
      <c r="BD10" s="1410"/>
      <c r="BE10" s="1410"/>
      <c r="BF10" s="1410"/>
      <c r="BG10" s="1410">
        <v>0</v>
      </c>
      <c r="BH10" s="1410"/>
      <c r="BI10" s="1410"/>
      <c r="BJ10" s="1410"/>
      <c r="BK10" s="1410"/>
      <c r="BL10" s="1410">
        <v>0</v>
      </c>
      <c r="BM10" s="1410">
        <v>0</v>
      </c>
      <c r="BN10" s="1410"/>
      <c r="BO10" s="1410">
        <v>0</v>
      </c>
      <c r="BP10" s="1410"/>
      <c r="BQ10" s="1410"/>
      <c r="BR10" s="1410"/>
      <c r="BS10" s="1410"/>
      <c r="BT10" s="1410">
        <v>0</v>
      </c>
      <c r="BU10" s="1410"/>
      <c r="BV10" s="1410">
        <v>0</v>
      </c>
      <c r="BW10" s="1410"/>
      <c r="BX10" s="1410"/>
      <c r="BY10" s="1410"/>
      <c r="BZ10" s="1410"/>
      <c r="CA10" s="1410">
        <v>0</v>
      </c>
      <c r="CB10" s="1410"/>
      <c r="CC10" s="1410">
        <v>0</v>
      </c>
      <c r="CD10" s="1410"/>
      <c r="CE10" s="1410"/>
      <c r="CF10" s="1410"/>
      <c r="CG10" s="1410"/>
      <c r="CH10" s="1410"/>
      <c r="CI10" s="1410">
        <v>0</v>
      </c>
      <c r="CJ10" s="1410"/>
      <c r="CK10" s="1410"/>
      <c r="CL10" s="1410"/>
      <c r="CM10" s="1410"/>
      <c r="CN10" s="1410"/>
      <c r="CO10" s="1410">
        <v>0</v>
      </c>
      <c r="CP10" s="1410"/>
      <c r="CQ10" s="1410"/>
      <c r="CR10" s="1410"/>
      <c r="CS10" s="1410"/>
      <c r="CT10" s="1410">
        <v>0</v>
      </c>
      <c r="CU10" s="1410">
        <v>0</v>
      </c>
      <c r="CV10" s="1410"/>
      <c r="CW10" s="1410"/>
      <c r="CX10" s="1410">
        <v>0</v>
      </c>
      <c r="CY10" s="1410"/>
      <c r="CZ10" s="1410"/>
      <c r="DA10" s="1410">
        <v>0</v>
      </c>
      <c r="DB10" s="1410"/>
      <c r="DC10" s="1410"/>
      <c r="DD10" s="1410"/>
      <c r="DE10" s="1410">
        <v>0</v>
      </c>
      <c r="DF10" s="1410">
        <v>0</v>
      </c>
      <c r="DG10" s="1410"/>
      <c r="DH10" s="1410"/>
      <c r="DI10" s="1410">
        <v>0</v>
      </c>
      <c r="DJ10" s="1410"/>
      <c r="DK10" s="1410"/>
      <c r="DL10" s="1410">
        <v>0</v>
      </c>
      <c r="DM10" s="1410"/>
      <c r="DN10" s="1410"/>
      <c r="DO10" s="1410"/>
      <c r="DP10" s="1410"/>
      <c r="DQ10" s="1410"/>
      <c r="DR10" s="1410">
        <v>0</v>
      </c>
      <c r="DS10" s="1410"/>
      <c r="DT10" s="1410">
        <v>0</v>
      </c>
      <c r="DU10" s="1410"/>
      <c r="DV10" s="1410"/>
      <c r="DW10" s="1410">
        <v>0</v>
      </c>
      <c r="DX10" s="1410"/>
      <c r="DY10" s="1410"/>
      <c r="DZ10" s="1410"/>
      <c r="EA10" s="1410"/>
      <c r="EB10" s="1410">
        <v>0</v>
      </c>
      <c r="EC10" s="1410"/>
      <c r="ED10" s="1410"/>
      <c r="EE10" s="1410"/>
      <c r="EF10" s="1410">
        <v>0</v>
      </c>
      <c r="EG10" s="1410">
        <v>0</v>
      </c>
      <c r="EH10" s="1410"/>
      <c r="EI10" s="1410"/>
      <c r="EJ10" s="1410">
        <v>0</v>
      </c>
      <c r="EK10" s="1410"/>
      <c r="EL10" s="1410"/>
      <c r="EM10" s="1410">
        <v>0</v>
      </c>
      <c r="EN10" s="1410"/>
      <c r="EO10" s="1410"/>
      <c r="EP10" s="1410"/>
      <c r="EQ10" s="1410"/>
      <c r="ER10" s="1410"/>
      <c r="ES10" s="1410">
        <v>-28943901.291288815</v>
      </c>
      <c r="ET10" s="1410">
        <v>37045237</v>
      </c>
      <c r="EU10" s="1410">
        <v>2498362</v>
      </c>
      <c r="EV10" s="1410">
        <v>34546875</v>
      </c>
      <c r="EW10" s="1410">
        <v>1878564.9600000002</v>
      </c>
      <c r="EX10" s="1410"/>
      <c r="EY10" s="1410">
        <v>1878564.9600000002</v>
      </c>
      <c r="EZ10" s="1410">
        <v>-67867703.251288816</v>
      </c>
      <c r="FA10" s="1410"/>
      <c r="FB10" s="1410">
        <v>0</v>
      </c>
      <c r="FC10" s="1410">
        <v>-67867703.251288816</v>
      </c>
      <c r="FD10" s="1410"/>
      <c r="FE10" s="1410"/>
      <c r="FF10" s="1410">
        <v>65430767.570000015</v>
      </c>
      <c r="FG10" s="1410"/>
      <c r="FH10" s="1410"/>
      <c r="FI10" s="1410"/>
      <c r="FJ10" s="1410"/>
      <c r="FK10" s="1410"/>
      <c r="FL10" s="1410">
        <v>99436723.148711205</v>
      </c>
      <c r="FM10" s="1206">
        <v>0</v>
      </c>
    </row>
    <row r="11" spans="1:169">
      <c r="A11" s="1206"/>
      <c r="B11" s="1208">
        <v>42186</v>
      </c>
      <c r="C11" s="1410">
        <v>62949856.870000005</v>
      </c>
      <c r="D11" s="1410">
        <v>62949856.870000005</v>
      </c>
      <c r="E11" s="1410">
        <v>24482869.98</v>
      </c>
      <c r="F11" s="1410">
        <v>38466986.890000001</v>
      </c>
      <c r="G11" s="1410"/>
      <c r="H11" s="1410"/>
      <c r="I11" s="1410"/>
      <c r="J11" s="1410"/>
      <c r="K11" s="1410"/>
      <c r="L11" s="1410"/>
      <c r="M11" s="1410"/>
      <c r="N11" s="1410"/>
      <c r="O11" s="1410"/>
      <c r="P11" s="1410"/>
      <c r="Q11" s="1410">
        <v>0</v>
      </c>
      <c r="R11" s="1410">
        <v>0</v>
      </c>
      <c r="S11" s="1410">
        <v>0</v>
      </c>
      <c r="T11" s="1410"/>
      <c r="U11" s="1410"/>
      <c r="V11" s="1410"/>
      <c r="W11" s="1410">
        <v>0</v>
      </c>
      <c r="X11" s="1410"/>
      <c r="Y11" s="1410"/>
      <c r="Z11" s="1410"/>
      <c r="AA11" s="1410">
        <v>0</v>
      </c>
      <c r="AB11" s="1410"/>
      <c r="AC11" s="1410"/>
      <c r="AD11" s="1410"/>
      <c r="AE11" s="1410">
        <v>0</v>
      </c>
      <c r="AF11" s="1410"/>
      <c r="AG11" s="1410"/>
      <c r="AH11" s="1410"/>
      <c r="AI11" s="1410">
        <v>0</v>
      </c>
      <c r="AJ11" s="1410"/>
      <c r="AK11" s="1410"/>
      <c r="AL11" s="1410"/>
      <c r="AM11" s="1410">
        <v>0</v>
      </c>
      <c r="AN11" s="1410"/>
      <c r="AO11" s="1410"/>
      <c r="AP11" s="1410"/>
      <c r="AQ11" s="1410">
        <v>0</v>
      </c>
      <c r="AR11" s="1410"/>
      <c r="AS11" s="1410"/>
      <c r="AT11" s="1410"/>
      <c r="AU11" s="1410">
        <v>0</v>
      </c>
      <c r="AV11" s="1410"/>
      <c r="AW11" s="1410"/>
      <c r="AX11" s="1410"/>
      <c r="AY11" s="1410">
        <v>0</v>
      </c>
      <c r="AZ11" s="1410"/>
      <c r="BA11" s="1410"/>
      <c r="BB11" s="1410"/>
      <c r="BC11" s="1410">
        <v>0</v>
      </c>
      <c r="BD11" s="1410"/>
      <c r="BE11" s="1410"/>
      <c r="BF11" s="1410"/>
      <c r="BG11" s="1410">
        <v>0</v>
      </c>
      <c r="BH11" s="1410"/>
      <c r="BI11" s="1410"/>
      <c r="BJ11" s="1410"/>
      <c r="BK11" s="1410"/>
      <c r="BL11" s="1410">
        <v>0</v>
      </c>
      <c r="BM11" s="1410">
        <v>0</v>
      </c>
      <c r="BN11" s="1410"/>
      <c r="BO11" s="1410">
        <v>0</v>
      </c>
      <c r="BP11" s="1410"/>
      <c r="BQ11" s="1410"/>
      <c r="BR11" s="1410"/>
      <c r="BS11" s="1410"/>
      <c r="BT11" s="1410">
        <v>0</v>
      </c>
      <c r="BU11" s="1410"/>
      <c r="BV11" s="1410">
        <v>0</v>
      </c>
      <c r="BW11" s="1410"/>
      <c r="BX11" s="1410"/>
      <c r="BY11" s="1410"/>
      <c r="BZ11" s="1410"/>
      <c r="CA11" s="1410">
        <v>0</v>
      </c>
      <c r="CB11" s="1410"/>
      <c r="CC11" s="1410">
        <v>0</v>
      </c>
      <c r="CD11" s="1410"/>
      <c r="CE11" s="1410"/>
      <c r="CF11" s="1410"/>
      <c r="CG11" s="1410"/>
      <c r="CH11" s="1410"/>
      <c r="CI11" s="1410">
        <v>0</v>
      </c>
      <c r="CJ11" s="1410"/>
      <c r="CK11" s="1410"/>
      <c r="CL11" s="1410"/>
      <c r="CM11" s="1410"/>
      <c r="CN11" s="1410"/>
      <c r="CO11" s="1410">
        <v>0</v>
      </c>
      <c r="CP11" s="1410"/>
      <c r="CQ11" s="1410"/>
      <c r="CR11" s="1410"/>
      <c r="CS11" s="1410"/>
      <c r="CT11" s="1410">
        <v>0</v>
      </c>
      <c r="CU11" s="1410">
        <v>0</v>
      </c>
      <c r="CV11" s="1410"/>
      <c r="CW11" s="1410"/>
      <c r="CX11" s="1410">
        <v>0</v>
      </c>
      <c r="CY11" s="1410"/>
      <c r="CZ11" s="1410"/>
      <c r="DA11" s="1410">
        <v>0</v>
      </c>
      <c r="DB11" s="1410"/>
      <c r="DC11" s="1410"/>
      <c r="DD11" s="1410"/>
      <c r="DE11" s="1410">
        <v>0</v>
      </c>
      <c r="DF11" s="1410">
        <v>0</v>
      </c>
      <c r="DG11" s="1410"/>
      <c r="DH11" s="1410"/>
      <c r="DI11" s="1410">
        <v>0</v>
      </c>
      <c r="DJ11" s="1410"/>
      <c r="DK11" s="1410"/>
      <c r="DL11" s="1410">
        <v>0</v>
      </c>
      <c r="DM11" s="1410"/>
      <c r="DN11" s="1410"/>
      <c r="DO11" s="1410"/>
      <c r="DP11" s="1410"/>
      <c r="DQ11" s="1410"/>
      <c r="DR11" s="1410">
        <v>0</v>
      </c>
      <c r="DS11" s="1410"/>
      <c r="DT11" s="1410">
        <v>0</v>
      </c>
      <c r="DU11" s="1410"/>
      <c r="DV11" s="1410"/>
      <c r="DW11" s="1410">
        <v>0</v>
      </c>
      <c r="DX11" s="1410"/>
      <c r="DY11" s="1410"/>
      <c r="DZ11" s="1410"/>
      <c r="EA11" s="1410"/>
      <c r="EB11" s="1410">
        <v>0</v>
      </c>
      <c r="EC11" s="1410"/>
      <c r="ED11" s="1410"/>
      <c r="EE11" s="1410"/>
      <c r="EF11" s="1410">
        <v>0</v>
      </c>
      <c r="EG11" s="1410">
        <v>0</v>
      </c>
      <c r="EH11" s="1410"/>
      <c r="EI11" s="1410"/>
      <c r="EJ11" s="1410">
        <v>0</v>
      </c>
      <c r="EK11" s="1410"/>
      <c r="EL11" s="1410"/>
      <c r="EM11" s="1410">
        <v>0</v>
      </c>
      <c r="EN11" s="1410"/>
      <c r="EO11" s="1410"/>
      <c r="EP11" s="1410"/>
      <c r="EQ11" s="1410"/>
      <c r="ER11" s="1410"/>
      <c r="ES11" s="1410">
        <v>-27769396</v>
      </c>
      <c r="ET11" s="1410">
        <v>37045237</v>
      </c>
      <c r="EU11" s="1410">
        <v>2498362</v>
      </c>
      <c r="EV11" s="1410">
        <v>34546875</v>
      </c>
      <c r="EW11" s="1410">
        <v>1878564</v>
      </c>
      <c r="EX11" s="1410"/>
      <c r="EY11" s="1410">
        <v>1878564</v>
      </c>
      <c r="EZ11" s="1410">
        <v>-66693197</v>
      </c>
      <c r="FA11" s="1410"/>
      <c r="FB11" s="1410">
        <v>0</v>
      </c>
      <c r="FC11" s="1410">
        <v>-66693197</v>
      </c>
      <c r="FD11" s="1410"/>
      <c r="FE11" s="1410"/>
      <c r="FF11" s="1410">
        <v>64795022.129999995</v>
      </c>
      <c r="FG11" s="1410"/>
      <c r="FH11" s="1410"/>
      <c r="FI11" s="1410"/>
      <c r="FJ11" s="1410"/>
      <c r="FK11" s="1410"/>
      <c r="FL11" s="1410">
        <v>99975483</v>
      </c>
      <c r="FM11" s="1206">
        <v>0</v>
      </c>
    </row>
    <row r="12" spans="1:169">
      <c r="A12" s="1206"/>
      <c r="B12" s="1208">
        <v>42217</v>
      </c>
      <c r="C12" s="1410">
        <v>62949856.719999999</v>
      </c>
      <c r="D12" s="1410">
        <v>62949856.719999999</v>
      </c>
      <c r="E12" s="1410">
        <v>24482869.93</v>
      </c>
      <c r="F12" s="1410">
        <v>38466986.789999999</v>
      </c>
      <c r="G12" s="1410"/>
      <c r="H12" s="1410"/>
      <c r="I12" s="1410"/>
      <c r="J12" s="1410"/>
      <c r="K12" s="1410"/>
      <c r="L12" s="1410"/>
      <c r="M12" s="1410"/>
      <c r="N12" s="1410"/>
      <c r="O12" s="1410"/>
      <c r="P12" s="1410"/>
      <c r="Q12" s="1410">
        <v>0</v>
      </c>
      <c r="R12" s="1410">
        <v>0</v>
      </c>
      <c r="S12" s="1410">
        <v>0</v>
      </c>
      <c r="T12" s="1410"/>
      <c r="U12" s="1410"/>
      <c r="V12" s="1410"/>
      <c r="W12" s="1410">
        <v>0</v>
      </c>
      <c r="X12" s="1410"/>
      <c r="Y12" s="1410"/>
      <c r="Z12" s="1410"/>
      <c r="AA12" s="1410">
        <v>0</v>
      </c>
      <c r="AB12" s="1410"/>
      <c r="AC12" s="1410"/>
      <c r="AD12" s="1410"/>
      <c r="AE12" s="1410">
        <v>0</v>
      </c>
      <c r="AF12" s="1410"/>
      <c r="AG12" s="1410"/>
      <c r="AH12" s="1410"/>
      <c r="AI12" s="1410">
        <v>0</v>
      </c>
      <c r="AJ12" s="1410"/>
      <c r="AK12" s="1410"/>
      <c r="AL12" s="1410"/>
      <c r="AM12" s="1410">
        <v>0</v>
      </c>
      <c r="AN12" s="1410"/>
      <c r="AO12" s="1410"/>
      <c r="AP12" s="1410"/>
      <c r="AQ12" s="1410">
        <v>0</v>
      </c>
      <c r="AR12" s="1410"/>
      <c r="AS12" s="1410"/>
      <c r="AT12" s="1410"/>
      <c r="AU12" s="1410">
        <v>0</v>
      </c>
      <c r="AV12" s="1410"/>
      <c r="AW12" s="1410"/>
      <c r="AX12" s="1410"/>
      <c r="AY12" s="1410">
        <v>0</v>
      </c>
      <c r="AZ12" s="1410"/>
      <c r="BA12" s="1410"/>
      <c r="BB12" s="1410"/>
      <c r="BC12" s="1410">
        <v>0</v>
      </c>
      <c r="BD12" s="1410"/>
      <c r="BE12" s="1410"/>
      <c r="BF12" s="1410"/>
      <c r="BG12" s="1410">
        <v>0</v>
      </c>
      <c r="BH12" s="1410"/>
      <c r="BI12" s="1410"/>
      <c r="BJ12" s="1410"/>
      <c r="BK12" s="1410"/>
      <c r="BL12" s="1410">
        <v>0</v>
      </c>
      <c r="BM12" s="1410">
        <v>0</v>
      </c>
      <c r="BN12" s="1410"/>
      <c r="BO12" s="1410">
        <v>0</v>
      </c>
      <c r="BP12" s="1410"/>
      <c r="BQ12" s="1410"/>
      <c r="BR12" s="1410"/>
      <c r="BS12" s="1410"/>
      <c r="BT12" s="1410">
        <v>0</v>
      </c>
      <c r="BU12" s="1410"/>
      <c r="BV12" s="1410">
        <v>0</v>
      </c>
      <c r="BW12" s="1410"/>
      <c r="BX12" s="1410"/>
      <c r="BY12" s="1410"/>
      <c r="BZ12" s="1410"/>
      <c r="CA12" s="1410">
        <v>0</v>
      </c>
      <c r="CB12" s="1410"/>
      <c r="CC12" s="1410">
        <v>0</v>
      </c>
      <c r="CD12" s="1410"/>
      <c r="CE12" s="1410"/>
      <c r="CF12" s="1410"/>
      <c r="CG12" s="1410"/>
      <c r="CH12" s="1410"/>
      <c r="CI12" s="1410">
        <v>0</v>
      </c>
      <c r="CJ12" s="1410"/>
      <c r="CK12" s="1410"/>
      <c r="CL12" s="1410"/>
      <c r="CM12" s="1410"/>
      <c r="CN12" s="1410"/>
      <c r="CO12" s="1410">
        <v>0</v>
      </c>
      <c r="CP12" s="1410"/>
      <c r="CQ12" s="1410"/>
      <c r="CR12" s="1410"/>
      <c r="CS12" s="1410"/>
      <c r="CT12" s="1410">
        <v>0</v>
      </c>
      <c r="CU12" s="1410">
        <v>0</v>
      </c>
      <c r="CV12" s="1410"/>
      <c r="CW12" s="1410"/>
      <c r="CX12" s="1410">
        <v>0</v>
      </c>
      <c r="CY12" s="1410"/>
      <c r="CZ12" s="1410"/>
      <c r="DA12" s="1410">
        <v>0</v>
      </c>
      <c r="DB12" s="1410"/>
      <c r="DC12" s="1410"/>
      <c r="DD12" s="1410"/>
      <c r="DE12" s="1410">
        <v>0</v>
      </c>
      <c r="DF12" s="1410">
        <v>0</v>
      </c>
      <c r="DG12" s="1410"/>
      <c r="DH12" s="1410"/>
      <c r="DI12" s="1410">
        <v>0</v>
      </c>
      <c r="DJ12" s="1410"/>
      <c r="DK12" s="1410"/>
      <c r="DL12" s="1410">
        <v>0</v>
      </c>
      <c r="DM12" s="1410"/>
      <c r="DN12" s="1410"/>
      <c r="DO12" s="1410"/>
      <c r="DP12" s="1410"/>
      <c r="DQ12" s="1410"/>
      <c r="DR12" s="1410">
        <v>0</v>
      </c>
      <c r="DS12" s="1410"/>
      <c r="DT12" s="1410">
        <v>0</v>
      </c>
      <c r="DU12" s="1410"/>
      <c r="DV12" s="1410"/>
      <c r="DW12" s="1410">
        <v>0</v>
      </c>
      <c r="DX12" s="1410"/>
      <c r="DY12" s="1410"/>
      <c r="DZ12" s="1410"/>
      <c r="EA12" s="1410"/>
      <c r="EB12" s="1410">
        <v>0</v>
      </c>
      <c r="EC12" s="1410"/>
      <c r="ED12" s="1410"/>
      <c r="EE12" s="1410"/>
      <c r="EF12" s="1410">
        <v>0</v>
      </c>
      <c r="EG12" s="1410">
        <v>0</v>
      </c>
      <c r="EH12" s="1410"/>
      <c r="EI12" s="1410"/>
      <c r="EJ12" s="1410">
        <v>0</v>
      </c>
      <c r="EK12" s="1410"/>
      <c r="EL12" s="1410"/>
      <c r="EM12" s="1410">
        <v>0</v>
      </c>
      <c r="EN12" s="1410"/>
      <c r="EO12" s="1410"/>
      <c r="EP12" s="1410"/>
      <c r="EQ12" s="1410"/>
      <c r="ER12" s="1410"/>
      <c r="ES12" s="1410">
        <v>-14905779</v>
      </c>
      <c r="ET12" s="1410">
        <v>37045237</v>
      </c>
      <c r="EU12" s="1410">
        <v>2498362</v>
      </c>
      <c r="EV12" s="1410">
        <v>34546875</v>
      </c>
      <c r="EW12" s="1410">
        <v>1878564</v>
      </c>
      <c r="EX12" s="1410"/>
      <c r="EY12" s="1410">
        <v>1878564</v>
      </c>
      <c r="EZ12" s="1410">
        <v>-53829580</v>
      </c>
      <c r="FA12" s="1410"/>
      <c r="FB12" s="1410">
        <v>0</v>
      </c>
      <c r="FC12" s="1410">
        <v>-53829580</v>
      </c>
      <c r="FD12" s="1410"/>
      <c r="FE12" s="1410"/>
      <c r="FF12" s="1410">
        <v>51348892.280000001</v>
      </c>
      <c r="FG12" s="1410"/>
      <c r="FH12" s="1410"/>
      <c r="FI12" s="1410"/>
      <c r="FJ12" s="1410"/>
      <c r="FK12" s="1410"/>
      <c r="FL12" s="1410">
        <v>99392970</v>
      </c>
      <c r="FM12" s="1206">
        <v>0</v>
      </c>
    </row>
    <row r="13" spans="1:169">
      <c r="A13" s="1206"/>
      <c r="B13" s="1208">
        <v>42248</v>
      </c>
      <c r="C13" s="1410">
        <v>62157810.079999998</v>
      </c>
      <c r="D13" s="1410">
        <v>62157810.079999998</v>
      </c>
      <c r="E13" s="1410">
        <v>24174821.969999999</v>
      </c>
      <c r="F13" s="1410">
        <v>37982988.109999999</v>
      </c>
      <c r="G13" s="1410"/>
      <c r="H13" s="1410"/>
      <c r="I13" s="1410"/>
      <c r="J13" s="1410"/>
      <c r="K13" s="1410"/>
      <c r="L13" s="1410"/>
      <c r="M13" s="1410"/>
      <c r="N13" s="1410"/>
      <c r="O13" s="1410"/>
      <c r="P13" s="1410"/>
      <c r="Q13" s="1410">
        <v>0</v>
      </c>
      <c r="R13" s="1410">
        <v>0</v>
      </c>
      <c r="S13" s="1410">
        <v>0</v>
      </c>
      <c r="T13" s="1410"/>
      <c r="U13" s="1410"/>
      <c r="V13" s="1410"/>
      <c r="W13" s="1410">
        <v>0</v>
      </c>
      <c r="X13" s="1410"/>
      <c r="Y13" s="1410"/>
      <c r="Z13" s="1410"/>
      <c r="AA13" s="1410">
        <v>0</v>
      </c>
      <c r="AB13" s="1410"/>
      <c r="AC13" s="1410"/>
      <c r="AD13" s="1410"/>
      <c r="AE13" s="1410">
        <v>0</v>
      </c>
      <c r="AF13" s="1410"/>
      <c r="AG13" s="1410"/>
      <c r="AH13" s="1410"/>
      <c r="AI13" s="1410">
        <v>0</v>
      </c>
      <c r="AJ13" s="1410"/>
      <c r="AK13" s="1410"/>
      <c r="AL13" s="1410"/>
      <c r="AM13" s="1410">
        <v>0</v>
      </c>
      <c r="AN13" s="1410"/>
      <c r="AO13" s="1410"/>
      <c r="AP13" s="1410"/>
      <c r="AQ13" s="1410">
        <v>0</v>
      </c>
      <c r="AR13" s="1410"/>
      <c r="AS13" s="1410"/>
      <c r="AT13" s="1410"/>
      <c r="AU13" s="1410">
        <v>0</v>
      </c>
      <c r="AV13" s="1410"/>
      <c r="AW13" s="1410"/>
      <c r="AX13" s="1410"/>
      <c r="AY13" s="1410">
        <v>0</v>
      </c>
      <c r="AZ13" s="1410"/>
      <c r="BA13" s="1410"/>
      <c r="BB13" s="1410"/>
      <c r="BC13" s="1410">
        <v>0</v>
      </c>
      <c r="BD13" s="1410"/>
      <c r="BE13" s="1410"/>
      <c r="BF13" s="1410"/>
      <c r="BG13" s="1410">
        <v>0</v>
      </c>
      <c r="BH13" s="1410"/>
      <c r="BI13" s="1410"/>
      <c r="BJ13" s="1410"/>
      <c r="BK13" s="1410"/>
      <c r="BL13" s="1410">
        <v>0</v>
      </c>
      <c r="BM13" s="1410">
        <v>0</v>
      </c>
      <c r="BN13" s="1410"/>
      <c r="BO13" s="1410">
        <v>0</v>
      </c>
      <c r="BP13" s="1410"/>
      <c r="BQ13" s="1410"/>
      <c r="BR13" s="1410"/>
      <c r="BS13" s="1410"/>
      <c r="BT13" s="1410">
        <v>0</v>
      </c>
      <c r="BU13" s="1410"/>
      <c r="BV13" s="1410">
        <v>0</v>
      </c>
      <c r="BW13" s="1410"/>
      <c r="BX13" s="1410"/>
      <c r="BY13" s="1410"/>
      <c r="BZ13" s="1410"/>
      <c r="CA13" s="1410">
        <v>0</v>
      </c>
      <c r="CB13" s="1410"/>
      <c r="CC13" s="1410">
        <v>0</v>
      </c>
      <c r="CD13" s="1410"/>
      <c r="CE13" s="1410"/>
      <c r="CF13" s="1410"/>
      <c r="CG13" s="1410"/>
      <c r="CH13" s="1410"/>
      <c r="CI13" s="1410">
        <v>0</v>
      </c>
      <c r="CJ13" s="1410"/>
      <c r="CK13" s="1410"/>
      <c r="CL13" s="1410"/>
      <c r="CM13" s="1410"/>
      <c r="CN13" s="1410"/>
      <c r="CO13" s="1410">
        <v>0</v>
      </c>
      <c r="CP13" s="1410"/>
      <c r="CQ13" s="1410"/>
      <c r="CR13" s="1410"/>
      <c r="CS13" s="1410"/>
      <c r="CT13" s="1410">
        <v>0</v>
      </c>
      <c r="CU13" s="1410">
        <v>0</v>
      </c>
      <c r="CV13" s="1410"/>
      <c r="CW13" s="1410"/>
      <c r="CX13" s="1410">
        <v>0</v>
      </c>
      <c r="CY13" s="1410"/>
      <c r="CZ13" s="1410"/>
      <c r="DA13" s="1410">
        <v>0</v>
      </c>
      <c r="DB13" s="1410"/>
      <c r="DC13" s="1410"/>
      <c r="DD13" s="1410"/>
      <c r="DE13" s="1410">
        <v>0</v>
      </c>
      <c r="DF13" s="1410">
        <v>0</v>
      </c>
      <c r="DG13" s="1410"/>
      <c r="DH13" s="1410"/>
      <c r="DI13" s="1410">
        <v>0</v>
      </c>
      <c r="DJ13" s="1410"/>
      <c r="DK13" s="1410"/>
      <c r="DL13" s="1410">
        <v>0</v>
      </c>
      <c r="DM13" s="1410"/>
      <c r="DN13" s="1410"/>
      <c r="DO13" s="1410"/>
      <c r="DP13" s="1410"/>
      <c r="DQ13" s="1410"/>
      <c r="DR13" s="1410">
        <v>0</v>
      </c>
      <c r="DS13" s="1410"/>
      <c r="DT13" s="1410">
        <v>0</v>
      </c>
      <c r="DU13" s="1410"/>
      <c r="DV13" s="1410"/>
      <c r="DW13" s="1410">
        <v>0</v>
      </c>
      <c r="DX13" s="1410"/>
      <c r="DY13" s="1410"/>
      <c r="DZ13" s="1410"/>
      <c r="EA13" s="1410"/>
      <c r="EB13" s="1410">
        <v>0</v>
      </c>
      <c r="EC13" s="1410"/>
      <c r="ED13" s="1410"/>
      <c r="EE13" s="1410"/>
      <c r="EF13" s="1410">
        <v>0</v>
      </c>
      <c r="EG13" s="1410">
        <v>0</v>
      </c>
      <c r="EH13" s="1410"/>
      <c r="EI13" s="1410"/>
      <c r="EJ13" s="1410">
        <v>0</v>
      </c>
      <c r="EK13" s="1410"/>
      <c r="EL13" s="1410"/>
      <c r="EM13" s="1410">
        <v>0</v>
      </c>
      <c r="EN13" s="1410"/>
      <c r="EO13" s="1410"/>
      <c r="EP13" s="1410"/>
      <c r="EQ13" s="1410"/>
      <c r="ER13" s="1410"/>
      <c r="ES13" s="1410">
        <v>-15330579</v>
      </c>
      <c r="ET13" s="1410">
        <v>37045237</v>
      </c>
      <c r="EU13" s="1410">
        <v>2498362</v>
      </c>
      <c r="EV13" s="1410">
        <v>34546875</v>
      </c>
      <c r="EW13" s="1410">
        <v>1878564</v>
      </c>
      <c r="EX13" s="1410"/>
      <c r="EY13" s="1410">
        <v>1878564</v>
      </c>
      <c r="EZ13" s="1410">
        <v>-54254380</v>
      </c>
      <c r="FA13" s="1410"/>
      <c r="FB13" s="1410">
        <v>0</v>
      </c>
      <c r="FC13" s="1410">
        <v>-54254380</v>
      </c>
      <c r="FD13" s="1410"/>
      <c r="FE13" s="1410" t="s">
        <v>296</v>
      </c>
      <c r="FF13" s="1410">
        <v>52038445.920000002</v>
      </c>
      <c r="FG13" s="1410"/>
      <c r="FH13" s="1410"/>
      <c r="FI13" s="1410"/>
      <c r="FJ13" s="1410"/>
      <c r="FK13" s="1410"/>
      <c r="FL13" s="1410">
        <v>98865677</v>
      </c>
      <c r="FM13" s="1206">
        <v>0</v>
      </c>
    </row>
    <row r="14" spans="1:169">
      <c r="A14" s="1206"/>
      <c r="B14" s="1208">
        <v>42278</v>
      </c>
      <c r="C14" s="1410">
        <v>61925598.770000011</v>
      </c>
      <c r="D14" s="1410">
        <v>61925598.770000011</v>
      </c>
      <c r="E14" s="1410">
        <v>24084508.82555205</v>
      </c>
      <c r="F14" s="1410">
        <v>37841089.944447957</v>
      </c>
      <c r="G14" s="1410"/>
      <c r="H14" s="1410"/>
      <c r="I14" s="1410"/>
      <c r="J14" s="1410"/>
      <c r="K14" s="1410"/>
      <c r="L14" s="1410"/>
      <c r="M14" s="1410"/>
      <c r="N14" s="1410"/>
      <c r="O14" s="1410"/>
      <c r="P14" s="1410"/>
      <c r="Q14" s="1410">
        <v>0</v>
      </c>
      <c r="R14" s="1410">
        <v>0</v>
      </c>
      <c r="S14" s="1410">
        <v>0</v>
      </c>
      <c r="T14" s="1410"/>
      <c r="U14" s="1410"/>
      <c r="V14" s="1410"/>
      <c r="W14" s="1410">
        <v>0</v>
      </c>
      <c r="X14" s="1410"/>
      <c r="Y14" s="1410"/>
      <c r="Z14" s="1410"/>
      <c r="AA14" s="1410">
        <v>0</v>
      </c>
      <c r="AB14" s="1410"/>
      <c r="AC14" s="1410"/>
      <c r="AD14" s="1410"/>
      <c r="AE14" s="1410">
        <v>0</v>
      </c>
      <c r="AF14" s="1410"/>
      <c r="AG14" s="1410"/>
      <c r="AH14" s="1410"/>
      <c r="AI14" s="1410">
        <v>0</v>
      </c>
      <c r="AJ14" s="1410"/>
      <c r="AK14" s="1410"/>
      <c r="AL14" s="1410"/>
      <c r="AM14" s="1410">
        <v>0</v>
      </c>
      <c r="AN14" s="1410"/>
      <c r="AO14" s="1410"/>
      <c r="AP14" s="1410"/>
      <c r="AQ14" s="1410">
        <v>0</v>
      </c>
      <c r="AR14" s="1410"/>
      <c r="AS14" s="1410"/>
      <c r="AT14" s="1410"/>
      <c r="AU14" s="1410">
        <v>0</v>
      </c>
      <c r="AV14" s="1410"/>
      <c r="AW14" s="1410"/>
      <c r="AX14" s="1410"/>
      <c r="AY14" s="1410">
        <v>0</v>
      </c>
      <c r="AZ14" s="1410"/>
      <c r="BA14" s="1410"/>
      <c r="BB14" s="1410"/>
      <c r="BC14" s="1410">
        <v>0</v>
      </c>
      <c r="BD14" s="1410"/>
      <c r="BE14" s="1410"/>
      <c r="BF14" s="1410"/>
      <c r="BG14" s="1410">
        <v>0</v>
      </c>
      <c r="BH14" s="1410"/>
      <c r="BI14" s="1410"/>
      <c r="BJ14" s="1410"/>
      <c r="BK14" s="1410"/>
      <c r="BL14" s="1410">
        <v>0</v>
      </c>
      <c r="BM14" s="1410">
        <v>0</v>
      </c>
      <c r="BN14" s="1410"/>
      <c r="BO14" s="1410">
        <v>0</v>
      </c>
      <c r="BP14" s="1410"/>
      <c r="BQ14" s="1410"/>
      <c r="BR14" s="1410"/>
      <c r="BS14" s="1410"/>
      <c r="BT14" s="1410">
        <v>0</v>
      </c>
      <c r="BU14" s="1410"/>
      <c r="BV14" s="1410">
        <v>0</v>
      </c>
      <c r="BW14" s="1410"/>
      <c r="BX14" s="1410"/>
      <c r="BY14" s="1410"/>
      <c r="BZ14" s="1410"/>
      <c r="CA14" s="1410">
        <v>0</v>
      </c>
      <c r="CB14" s="1410"/>
      <c r="CC14" s="1410">
        <v>0</v>
      </c>
      <c r="CD14" s="1410"/>
      <c r="CE14" s="1410"/>
      <c r="CF14" s="1410"/>
      <c r="CG14" s="1410"/>
      <c r="CH14" s="1410"/>
      <c r="CI14" s="1410">
        <v>0</v>
      </c>
      <c r="CJ14" s="1410"/>
      <c r="CK14" s="1410"/>
      <c r="CL14" s="1410"/>
      <c r="CM14" s="1410"/>
      <c r="CN14" s="1410"/>
      <c r="CO14" s="1410">
        <v>0</v>
      </c>
      <c r="CP14" s="1410"/>
      <c r="CQ14" s="1410"/>
      <c r="CR14" s="1410"/>
      <c r="CS14" s="1410"/>
      <c r="CT14" s="1410">
        <v>0</v>
      </c>
      <c r="CU14" s="1410">
        <v>0</v>
      </c>
      <c r="CV14" s="1410"/>
      <c r="CW14" s="1410"/>
      <c r="CX14" s="1410">
        <v>0</v>
      </c>
      <c r="CY14" s="1410"/>
      <c r="CZ14" s="1410"/>
      <c r="DA14" s="1410">
        <v>0</v>
      </c>
      <c r="DB14" s="1410"/>
      <c r="DC14" s="1410"/>
      <c r="DD14" s="1410"/>
      <c r="DE14" s="1410">
        <v>0</v>
      </c>
      <c r="DF14" s="1410">
        <v>0</v>
      </c>
      <c r="DG14" s="1410"/>
      <c r="DH14" s="1410"/>
      <c r="DI14" s="1410">
        <v>0</v>
      </c>
      <c r="DJ14" s="1410"/>
      <c r="DK14" s="1410"/>
      <c r="DL14" s="1410">
        <v>0</v>
      </c>
      <c r="DM14" s="1410"/>
      <c r="DN14" s="1410"/>
      <c r="DO14" s="1410"/>
      <c r="DP14" s="1410"/>
      <c r="DQ14" s="1410"/>
      <c r="DR14" s="1410">
        <v>0</v>
      </c>
      <c r="DS14" s="1410"/>
      <c r="DT14" s="1410">
        <v>0</v>
      </c>
      <c r="DU14" s="1410"/>
      <c r="DV14" s="1410"/>
      <c r="DW14" s="1410">
        <v>0</v>
      </c>
      <c r="DX14" s="1410"/>
      <c r="DY14" s="1410"/>
      <c r="DZ14" s="1410"/>
      <c r="EA14" s="1410"/>
      <c r="EB14" s="1410">
        <v>0</v>
      </c>
      <c r="EC14" s="1410"/>
      <c r="ED14" s="1410"/>
      <c r="EE14" s="1410"/>
      <c r="EF14" s="1410">
        <v>0</v>
      </c>
      <c r="EG14" s="1410">
        <v>0</v>
      </c>
      <c r="EH14" s="1410"/>
      <c r="EI14" s="1410"/>
      <c r="EJ14" s="1410">
        <v>0</v>
      </c>
      <c r="EK14" s="1410"/>
      <c r="EL14" s="1410"/>
      <c r="EM14" s="1410">
        <v>0</v>
      </c>
      <c r="EN14" s="1410"/>
      <c r="EO14" s="1410"/>
      <c r="EP14" s="1410"/>
      <c r="EQ14" s="1410"/>
      <c r="ER14" s="1410"/>
      <c r="ES14" s="1410">
        <v>-16378511.855082531</v>
      </c>
      <c r="ET14" s="1410">
        <v>37045237</v>
      </c>
      <c r="EU14" s="1410">
        <v>2498362</v>
      </c>
      <c r="EV14" s="1410">
        <v>34546875</v>
      </c>
      <c r="EW14" s="1410">
        <v>1878564.4600000002</v>
      </c>
      <c r="EX14" s="1410"/>
      <c r="EY14" s="1410">
        <v>1878564.4600000002</v>
      </c>
      <c r="EZ14" s="1410">
        <v>-55083197.469999999</v>
      </c>
      <c r="FA14" s="1410"/>
      <c r="FB14" s="1410"/>
      <c r="FC14" s="1410">
        <v>-55083197.469999999</v>
      </c>
      <c r="FD14" s="1410">
        <v>-219115.84508253229</v>
      </c>
      <c r="FE14" s="1410"/>
      <c r="FF14" s="1410">
        <v>53206281.208875</v>
      </c>
      <c r="FG14" s="1410"/>
      <c r="FH14" s="1410"/>
      <c r="FI14" s="1410"/>
      <c r="FJ14" s="1410"/>
      <c r="FK14" s="1410"/>
      <c r="FL14" s="1410">
        <v>98753368.123792484</v>
      </c>
      <c r="FM14" s="1206">
        <v>0</v>
      </c>
    </row>
    <row r="15" spans="1:169">
      <c r="A15" s="1206"/>
      <c r="B15" s="1208">
        <v>42309</v>
      </c>
      <c r="C15" s="1410">
        <v>58750333.830000006</v>
      </c>
      <c r="D15" s="1410">
        <v>58750333.830000006</v>
      </c>
      <c r="E15" s="1410">
        <v>22849564.020982079</v>
      </c>
      <c r="F15" s="1410">
        <v>35900769.809017926</v>
      </c>
      <c r="G15" s="1410"/>
      <c r="H15" s="1410"/>
      <c r="I15" s="1410"/>
      <c r="J15" s="1410"/>
      <c r="K15" s="1410"/>
      <c r="L15" s="1410"/>
      <c r="M15" s="1410"/>
      <c r="N15" s="1410"/>
      <c r="O15" s="1410"/>
      <c r="P15" s="1410"/>
      <c r="Q15" s="1410">
        <v>0</v>
      </c>
      <c r="R15" s="1410">
        <v>0</v>
      </c>
      <c r="S15" s="1410">
        <v>0</v>
      </c>
      <c r="T15" s="1410"/>
      <c r="U15" s="1410"/>
      <c r="V15" s="1410"/>
      <c r="W15" s="1410">
        <v>0</v>
      </c>
      <c r="X15" s="1410"/>
      <c r="Y15" s="1410"/>
      <c r="Z15" s="1410"/>
      <c r="AA15" s="1410">
        <v>0</v>
      </c>
      <c r="AB15" s="1410"/>
      <c r="AC15" s="1410"/>
      <c r="AD15" s="1410"/>
      <c r="AE15" s="1410">
        <v>0</v>
      </c>
      <c r="AF15" s="1410"/>
      <c r="AG15" s="1410"/>
      <c r="AH15" s="1410"/>
      <c r="AI15" s="1410">
        <v>0</v>
      </c>
      <c r="AJ15" s="1410"/>
      <c r="AK15" s="1410"/>
      <c r="AL15" s="1410"/>
      <c r="AM15" s="1410">
        <v>0</v>
      </c>
      <c r="AN15" s="1410"/>
      <c r="AO15" s="1410"/>
      <c r="AP15" s="1410"/>
      <c r="AQ15" s="1410">
        <v>0</v>
      </c>
      <c r="AR15" s="1410"/>
      <c r="AS15" s="1410"/>
      <c r="AT15" s="1410"/>
      <c r="AU15" s="1410">
        <v>0</v>
      </c>
      <c r="AV15" s="1410"/>
      <c r="AW15" s="1410"/>
      <c r="AX15" s="1410"/>
      <c r="AY15" s="1410">
        <v>0</v>
      </c>
      <c r="AZ15" s="1410"/>
      <c r="BA15" s="1410"/>
      <c r="BB15" s="1410"/>
      <c r="BC15" s="1410">
        <v>0</v>
      </c>
      <c r="BD15" s="1410"/>
      <c r="BE15" s="1410"/>
      <c r="BF15" s="1410"/>
      <c r="BG15" s="1410">
        <v>0</v>
      </c>
      <c r="BH15" s="1410"/>
      <c r="BI15" s="1410"/>
      <c r="BJ15" s="1410"/>
      <c r="BK15" s="1410"/>
      <c r="BL15" s="1410">
        <v>0</v>
      </c>
      <c r="BM15" s="1410">
        <v>0</v>
      </c>
      <c r="BN15" s="1410"/>
      <c r="BO15" s="1410">
        <v>0</v>
      </c>
      <c r="BP15" s="1410"/>
      <c r="BQ15" s="1410"/>
      <c r="BR15" s="1410"/>
      <c r="BS15" s="1410"/>
      <c r="BT15" s="1410">
        <v>0</v>
      </c>
      <c r="BU15" s="1410"/>
      <c r="BV15" s="1410">
        <v>0</v>
      </c>
      <c r="BW15" s="1410"/>
      <c r="BX15" s="1410"/>
      <c r="BY15" s="1410"/>
      <c r="BZ15" s="1410"/>
      <c r="CA15" s="1410">
        <v>0</v>
      </c>
      <c r="CB15" s="1410"/>
      <c r="CC15" s="1410">
        <v>0</v>
      </c>
      <c r="CD15" s="1410"/>
      <c r="CE15" s="1410"/>
      <c r="CF15" s="1410"/>
      <c r="CG15" s="1410"/>
      <c r="CH15" s="1410"/>
      <c r="CI15" s="1410">
        <v>0</v>
      </c>
      <c r="CJ15" s="1410"/>
      <c r="CK15" s="1410"/>
      <c r="CL15" s="1410"/>
      <c r="CM15" s="1410"/>
      <c r="CN15" s="1410"/>
      <c r="CO15" s="1410">
        <v>0</v>
      </c>
      <c r="CP15" s="1410"/>
      <c r="CQ15" s="1410"/>
      <c r="CR15" s="1410"/>
      <c r="CS15" s="1410"/>
      <c r="CT15" s="1410">
        <v>0</v>
      </c>
      <c r="CU15" s="1410">
        <v>0</v>
      </c>
      <c r="CV15" s="1410"/>
      <c r="CW15" s="1410"/>
      <c r="CX15" s="1410">
        <v>0</v>
      </c>
      <c r="CY15" s="1410"/>
      <c r="CZ15" s="1410"/>
      <c r="DA15" s="1410">
        <v>0</v>
      </c>
      <c r="DB15" s="1410"/>
      <c r="DC15" s="1410"/>
      <c r="DD15" s="1410"/>
      <c r="DE15" s="1410">
        <v>0</v>
      </c>
      <c r="DF15" s="1410">
        <v>0</v>
      </c>
      <c r="DG15" s="1410"/>
      <c r="DH15" s="1410"/>
      <c r="DI15" s="1410">
        <v>0</v>
      </c>
      <c r="DJ15" s="1410"/>
      <c r="DK15" s="1410"/>
      <c r="DL15" s="1410">
        <v>0</v>
      </c>
      <c r="DM15" s="1410"/>
      <c r="DN15" s="1410"/>
      <c r="DO15" s="1410"/>
      <c r="DP15" s="1410"/>
      <c r="DQ15" s="1410"/>
      <c r="DR15" s="1410">
        <v>0</v>
      </c>
      <c r="DS15" s="1410"/>
      <c r="DT15" s="1410">
        <v>0</v>
      </c>
      <c r="DU15" s="1410"/>
      <c r="DV15" s="1410"/>
      <c r="DW15" s="1410">
        <v>0</v>
      </c>
      <c r="DX15" s="1410"/>
      <c r="DY15" s="1410"/>
      <c r="DZ15" s="1410"/>
      <c r="EA15" s="1410"/>
      <c r="EB15" s="1410">
        <v>0</v>
      </c>
      <c r="EC15" s="1410"/>
      <c r="ED15" s="1410"/>
      <c r="EE15" s="1410"/>
      <c r="EF15" s="1410">
        <v>0</v>
      </c>
      <c r="EG15" s="1410">
        <v>0</v>
      </c>
      <c r="EH15" s="1410"/>
      <c r="EI15" s="1410"/>
      <c r="EJ15" s="1410">
        <v>0</v>
      </c>
      <c r="EK15" s="1410"/>
      <c r="EL15" s="1410"/>
      <c r="EM15" s="1410">
        <v>0</v>
      </c>
      <c r="EN15" s="1410"/>
      <c r="EO15" s="1410"/>
      <c r="EP15" s="1410"/>
      <c r="EQ15" s="1410"/>
      <c r="ER15" s="1410"/>
      <c r="ES15" s="1410">
        <v>-20231931.178852752</v>
      </c>
      <c r="ET15" s="1410">
        <v>37045237</v>
      </c>
      <c r="EU15" s="1410">
        <v>2498362</v>
      </c>
      <c r="EV15" s="1410">
        <v>34546875</v>
      </c>
      <c r="EW15" s="1410">
        <v>0</v>
      </c>
      <c r="EX15" s="1410"/>
      <c r="EY15" s="1410"/>
      <c r="EZ15" s="1410">
        <v>-53204633.009999998</v>
      </c>
      <c r="FA15" s="1410"/>
      <c r="FB15" s="1410"/>
      <c r="FC15" s="1410">
        <v>-53204633.009999998</v>
      </c>
      <c r="FD15" s="1410">
        <v>-4072535.168852753</v>
      </c>
      <c r="FE15" s="1410"/>
      <c r="FF15" s="1410">
        <v>52484628.100150019</v>
      </c>
      <c r="FG15" s="1410"/>
      <c r="FH15" s="1410"/>
      <c r="FI15" s="1410"/>
      <c r="FJ15" s="1410"/>
      <c r="FK15" s="1410"/>
      <c r="FL15" s="1410">
        <v>91003030.751297265</v>
      </c>
      <c r="FM15" s="1206">
        <v>0</v>
      </c>
    </row>
    <row r="16" spans="1:169">
      <c r="A16" s="1206"/>
      <c r="B16" s="1208">
        <v>42339</v>
      </c>
      <c r="C16" s="1410">
        <v>58524403.74000001</v>
      </c>
      <c r="D16" s="1410">
        <v>58524403.74000001</v>
      </c>
      <c r="E16" s="1410">
        <v>22761693.812947873</v>
      </c>
      <c r="F16" s="1410">
        <v>35762709.927052133</v>
      </c>
      <c r="G16" s="1410"/>
      <c r="H16" s="1410"/>
      <c r="I16" s="1410"/>
      <c r="J16" s="1410"/>
      <c r="K16" s="1410"/>
      <c r="L16" s="1410"/>
      <c r="M16" s="1410"/>
      <c r="N16" s="1410"/>
      <c r="O16" s="1410"/>
      <c r="P16" s="1410"/>
      <c r="Q16" s="1410">
        <v>0</v>
      </c>
      <c r="R16" s="1410">
        <v>0</v>
      </c>
      <c r="S16" s="1410">
        <v>0</v>
      </c>
      <c r="T16" s="1410"/>
      <c r="U16" s="1410"/>
      <c r="V16" s="1410"/>
      <c r="W16" s="1410">
        <v>0</v>
      </c>
      <c r="X16" s="1410"/>
      <c r="Y16" s="1410"/>
      <c r="Z16" s="1410"/>
      <c r="AA16" s="1410">
        <v>0</v>
      </c>
      <c r="AB16" s="1410"/>
      <c r="AC16" s="1410"/>
      <c r="AD16" s="1410"/>
      <c r="AE16" s="1410">
        <v>0</v>
      </c>
      <c r="AF16" s="1410"/>
      <c r="AG16" s="1410"/>
      <c r="AH16" s="1410"/>
      <c r="AI16" s="1410">
        <v>0</v>
      </c>
      <c r="AJ16" s="1410"/>
      <c r="AK16" s="1410"/>
      <c r="AL16" s="1410"/>
      <c r="AM16" s="1410">
        <v>0</v>
      </c>
      <c r="AN16" s="1410"/>
      <c r="AO16" s="1410"/>
      <c r="AP16" s="1410"/>
      <c r="AQ16" s="1410">
        <v>0</v>
      </c>
      <c r="AR16" s="1410"/>
      <c r="AS16" s="1410"/>
      <c r="AT16" s="1410"/>
      <c r="AU16" s="1410">
        <v>0</v>
      </c>
      <c r="AV16" s="1410"/>
      <c r="AW16" s="1410"/>
      <c r="AX16" s="1410"/>
      <c r="AY16" s="1410">
        <v>0</v>
      </c>
      <c r="AZ16" s="1410"/>
      <c r="BA16" s="1410"/>
      <c r="BB16" s="1410"/>
      <c r="BC16" s="1410">
        <v>0</v>
      </c>
      <c r="BD16" s="1410"/>
      <c r="BE16" s="1410"/>
      <c r="BF16" s="1410"/>
      <c r="BG16" s="1410">
        <v>0</v>
      </c>
      <c r="BH16" s="1410"/>
      <c r="BI16" s="1410"/>
      <c r="BJ16" s="1410"/>
      <c r="BK16" s="1410"/>
      <c r="BL16" s="1410">
        <v>0</v>
      </c>
      <c r="BM16" s="1410">
        <v>0</v>
      </c>
      <c r="BN16" s="1410"/>
      <c r="BO16" s="1410">
        <v>0</v>
      </c>
      <c r="BP16" s="1410"/>
      <c r="BQ16" s="1410"/>
      <c r="BR16" s="1410"/>
      <c r="BS16" s="1410"/>
      <c r="BT16" s="1410">
        <v>0</v>
      </c>
      <c r="BU16" s="1410"/>
      <c r="BV16" s="1410">
        <v>0</v>
      </c>
      <c r="BW16" s="1410"/>
      <c r="BX16" s="1410"/>
      <c r="BY16" s="1410"/>
      <c r="BZ16" s="1410"/>
      <c r="CA16" s="1410">
        <v>0</v>
      </c>
      <c r="CB16" s="1410"/>
      <c r="CC16" s="1410">
        <v>0</v>
      </c>
      <c r="CD16" s="1410"/>
      <c r="CE16" s="1410"/>
      <c r="CF16" s="1410"/>
      <c r="CG16" s="1410"/>
      <c r="CH16" s="1410"/>
      <c r="CI16" s="1410">
        <v>0</v>
      </c>
      <c r="CJ16" s="1410"/>
      <c r="CK16" s="1410"/>
      <c r="CL16" s="1410"/>
      <c r="CM16" s="1410"/>
      <c r="CN16" s="1410"/>
      <c r="CO16" s="1410">
        <v>0</v>
      </c>
      <c r="CP16" s="1410"/>
      <c r="CQ16" s="1410"/>
      <c r="CR16" s="1410"/>
      <c r="CS16" s="1410"/>
      <c r="CT16" s="1410">
        <v>0</v>
      </c>
      <c r="CU16" s="1410">
        <v>0</v>
      </c>
      <c r="CV16" s="1410"/>
      <c r="CW16" s="1410"/>
      <c r="CX16" s="1410">
        <v>0</v>
      </c>
      <c r="CY16" s="1410"/>
      <c r="CZ16" s="1410"/>
      <c r="DA16" s="1410">
        <v>0</v>
      </c>
      <c r="DB16" s="1410"/>
      <c r="DC16" s="1410"/>
      <c r="DD16" s="1410"/>
      <c r="DE16" s="1410">
        <v>0</v>
      </c>
      <c r="DF16" s="1410">
        <v>0</v>
      </c>
      <c r="DG16" s="1410"/>
      <c r="DH16" s="1410"/>
      <c r="DI16" s="1410">
        <v>0</v>
      </c>
      <c r="DJ16" s="1410"/>
      <c r="DK16" s="1410"/>
      <c r="DL16" s="1410">
        <v>0</v>
      </c>
      <c r="DM16" s="1410"/>
      <c r="DN16" s="1410"/>
      <c r="DO16" s="1410"/>
      <c r="DP16" s="1410"/>
      <c r="DQ16" s="1410"/>
      <c r="DR16" s="1410">
        <v>0</v>
      </c>
      <c r="DS16" s="1410"/>
      <c r="DT16" s="1410">
        <v>0</v>
      </c>
      <c r="DU16" s="1410"/>
      <c r="DV16" s="1410"/>
      <c r="DW16" s="1410">
        <v>0</v>
      </c>
      <c r="DX16" s="1410"/>
      <c r="DY16" s="1410"/>
      <c r="DZ16" s="1410"/>
      <c r="EA16" s="1410"/>
      <c r="EB16" s="1410">
        <v>0</v>
      </c>
      <c r="EC16" s="1410"/>
      <c r="ED16" s="1410"/>
      <c r="EE16" s="1410"/>
      <c r="EF16" s="1410">
        <v>0</v>
      </c>
      <c r="EG16" s="1410">
        <v>0</v>
      </c>
      <c r="EH16" s="1410"/>
      <c r="EI16" s="1410"/>
      <c r="EJ16" s="1410">
        <v>0</v>
      </c>
      <c r="EK16" s="1410"/>
      <c r="EL16" s="1410"/>
      <c r="EM16" s="1410">
        <v>0</v>
      </c>
      <c r="EN16" s="1410"/>
      <c r="EO16" s="1410"/>
      <c r="EP16" s="1410"/>
      <c r="EQ16" s="1410"/>
      <c r="ER16" s="1410"/>
      <c r="ES16" s="1410">
        <v>-20134578.286134463</v>
      </c>
      <c r="ET16" s="1410">
        <v>37045237</v>
      </c>
      <c r="EU16" s="1410">
        <v>2498362</v>
      </c>
      <c r="EV16" s="1410">
        <v>34546875</v>
      </c>
      <c r="EW16" s="1410">
        <v>0</v>
      </c>
      <c r="EX16" s="1410"/>
      <c r="EY16" s="1410"/>
      <c r="EZ16" s="1410">
        <v>-53204633.009999998</v>
      </c>
      <c r="FA16" s="1410"/>
      <c r="FB16" s="1410"/>
      <c r="FC16" s="1410">
        <v>-53204633.009999998</v>
      </c>
      <c r="FD16" s="1410">
        <v>-3975182.2761344658</v>
      </c>
      <c r="FE16" s="1410"/>
      <c r="FF16" s="1410">
        <v>53174905.495224968</v>
      </c>
      <c r="FG16" s="1410"/>
      <c r="FH16" s="1410"/>
      <c r="FI16" s="1410"/>
      <c r="FJ16" s="1410"/>
      <c r="FK16" s="1410"/>
      <c r="FL16" s="1410">
        <v>91564730.949090511</v>
      </c>
      <c r="FM16" s="1206">
        <v>0</v>
      </c>
    </row>
    <row r="17" spans="2:169">
      <c r="B17" s="1208"/>
      <c r="C17" s="1410"/>
      <c r="D17" s="1410"/>
      <c r="E17" s="1410"/>
      <c r="F17" s="1410"/>
      <c r="G17" s="1410"/>
      <c r="H17" s="1410"/>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10"/>
      <c r="AN17" s="1410"/>
      <c r="AO17" s="1410"/>
      <c r="AP17" s="1410"/>
      <c r="AQ17" s="1410"/>
      <c r="AR17" s="1410"/>
      <c r="AS17" s="1410"/>
      <c r="AT17" s="1410"/>
      <c r="AU17" s="1410"/>
      <c r="AV17" s="1410"/>
      <c r="AW17" s="1410"/>
      <c r="AX17" s="1410"/>
      <c r="AY17" s="1410"/>
      <c r="AZ17" s="1410"/>
      <c r="BA17" s="1410"/>
      <c r="BB17" s="1410"/>
      <c r="BC17" s="1410"/>
      <c r="BD17" s="1410"/>
      <c r="BE17" s="1410"/>
      <c r="BF17" s="1410"/>
      <c r="BG17" s="1410"/>
      <c r="BH17" s="1410"/>
      <c r="BI17" s="1410"/>
      <c r="BJ17" s="1410"/>
      <c r="BK17" s="1410"/>
      <c r="BL17" s="1410"/>
      <c r="BM17" s="1410"/>
      <c r="BN17" s="1410"/>
      <c r="BO17" s="1410"/>
      <c r="BP17" s="1410"/>
      <c r="BQ17" s="1410"/>
      <c r="BR17" s="1410"/>
      <c r="BS17" s="1410"/>
      <c r="BT17" s="1410"/>
      <c r="BU17" s="1410"/>
      <c r="BV17" s="1410"/>
      <c r="BW17" s="1410"/>
      <c r="BX17" s="1410"/>
      <c r="BY17" s="1410"/>
      <c r="BZ17" s="1410"/>
      <c r="CA17" s="1410"/>
      <c r="CB17" s="1410"/>
      <c r="CC17" s="1410"/>
      <c r="CD17" s="1410"/>
      <c r="CE17" s="1410"/>
      <c r="CF17" s="1410"/>
      <c r="CG17" s="1410"/>
      <c r="CH17" s="1410"/>
      <c r="CI17" s="1410"/>
      <c r="CJ17" s="1410"/>
      <c r="CK17" s="1410"/>
      <c r="CL17" s="1410"/>
      <c r="CM17" s="1410"/>
      <c r="CN17" s="1410"/>
      <c r="CO17" s="1410"/>
      <c r="CP17" s="1410"/>
      <c r="CQ17" s="1410"/>
      <c r="CR17" s="1410"/>
      <c r="CS17" s="1410"/>
      <c r="CT17" s="1410"/>
      <c r="CU17" s="1410"/>
      <c r="CV17" s="1410"/>
      <c r="CW17" s="1410"/>
      <c r="CX17" s="1410"/>
      <c r="CY17" s="1410"/>
      <c r="CZ17" s="1410"/>
      <c r="DA17" s="1410"/>
      <c r="DB17" s="1410"/>
      <c r="DC17" s="1410"/>
      <c r="DD17" s="1410"/>
      <c r="DE17" s="1410"/>
      <c r="DF17" s="1410"/>
      <c r="DG17" s="1410"/>
      <c r="DH17" s="1410"/>
      <c r="DI17" s="1410"/>
      <c r="DJ17" s="1410"/>
      <c r="DK17" s="1410"/>
      <c r="DL17" s="1410"/>
      <c r="DM17" s="1410"/>
      <c r="DN17" s="1410"/>
      <c r="DO17" s="1410"/>
      <c r="DP17" s="1410"/>
      <c r="DQ17" s="1410"/>
      <c r="DR17" s="1410"/>
      <c r="DS17" s="1410"/>
      <c r="DT17" s="1410"/>
      <c r="DU17" s="1410"/>
      <c r="DV17" s="1410"/>
      <c r="DW17" s="1410"/>
      <c r="DX17" s="1410"/>
      <c r="DY17" s="1410"/>
      <c r="DZ17" s="1410"/>
      <c r="EA17" s="1410"/>
      <c r="EB17" s="1410"/>
      <c r="EC17" s="1410"/>
      <c r="ED17" s="1410"/>
      <c r="EE17" s="1410"/>
      <c r="EF17" s="1410"/>
      <c r="EG17" s="1410"/>
      <c r="EH17" s="1410"/>
      <c r="EI17" s="1410"/>
      <c r="EJ17" s="1410"/>
      <c r="EK17" s="1410"/>
      <c r="EL17" s="1410"/>
      <c r="EM17" s="1410"/>
      <c r="EN17" s="1410"/>
      <c r="EO17" s="1410"/>
      <c r="EP17" s="1410"/>
      <c r="EQ17" s="1410"/>
      <c r="ER17" s="1410"/>
      <c r="ES17" s="1410"/>
      <c r="ET17" s="1410"/>
      <c r="EU17" s="1410"/>
      <c r="EV17" s="1410"/>
      <c r="EW17" s="1410"/>
      <c r="EX17" s="1410"/>
      <c r="EY17" s="1410"/>
      <c r="EZ17" s="1410"/>
      <c r="FA17" s="1410"/>
      <c r="FB17" s="1410"/>
      <c r="FC17" s="1410"/>
      <c r="FD17" s="1410"/>
      <c r="FE17" s="1410"/>
      <c r="FF17" s="1410"/>
      <c r="FG17" s="1410"/>
      <c r="FH17" s="1410"/>
      <c r="FI17" s="1410"/>
      <c r="FJ17" s="1410"/>
      <c r="FK17" s="1410"/>
      <c r="FL17" s="1410"/>
      <c r="FM17" s="1206"/>
    </row>
    <row r="18" spans="2:169">
      <c r="B18" s="1208"/>
      <c r="C18" s="1410"/>
      <c r="D18" s="1410"/>
      <c r="E18" s="1410"/>
      <c r="F18" s="1410"/>
      <c r="G18" s="1410"/>
      <c r="H18" s="1410"/>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c r="AL18" s="1410"/>
      <c r="AM18" s="1410"/>
      <c r="AN18" s="1410"/>
      <c r="AO18" s="1410"/>
      <c r="AP18" s="1410"/>
      <c r="AQ18" s="1410"/>
      <c r="AR18" s="1410"/>
      <c r="AS18" s="1410"/>
      <c r="AT18" s="1410"/>
      <c r="AU18" s="1410"/>
      <c r="AV18" s="1410"/>
      <c r="AW18" s="1410"/>
      <c r="AX18" s="1410"/>
      <c r="AY18" s="1410"/>
      <c r="AZ18" s="1410"/>
      <c r="BA18" s="1410"/>
      <c r="BB18" s="1410"/>
      <c r="BC18" s="1410"/>
      <c r="BD18" s="1410"/>
      <c r="BE18" s="1410"/>
      <c r="BF18" s="1410"/>
      <c r="BG18" s="1410"/>
      <c r="BH18" s="1410"/>
      <c r="BI18" s="1410"/>
      <c r="BJ18" s="1410"/>
      <c r="BK18" s="1410"/>
      <c r="BL18" s="1410"/>
      <c r="BM18" s="1410"/>
      <c r="BN18" s="1410"/>
      <c r="BO18" s="1410"/>
      <c r="BP18" s="1410"/>
      <c r="BQ18" s="1410"/>
      <c r="BR18" s="1410"/>
      <c r="BS18" s="1410"/>
      <c r="BT18" s="1410"/>
      <c r="BU18" s="1410"/>
      <c r="BV18" s="1410"/>
      <c r="BW18" s="1410"/>
      <c r="BX18" s="1410"/>
      <c r="BY18" s="1410"/>
      <c r="BZ18" s="1410"/>
      <c r="CA18" s="1410"/>
      <c r="CB18" s="1410"/>
      <c r="CC18" s="1410"/>
      <c r="CD18" s="1410"/>
      <c r="CE18" s="1410"/>
      <c r="CF18" s="1410"/>
      <c r="CG18" s="1410"/>
      <c r="CH18" s="1410"/>
      <c r="CI18" s="1410"/>
      <c r="CJ18" s="1410"/>
      <c r="CK18" s="1410"/>
      <c r="CL18" s="1410"/>
      <c r="CM18" s="1410"/>
      <c r="CN18" s="1410"/>
      <c r="CO18" s="1410"/>
      <c r="CP18" s="1410"/>
      <c r="CQ18" s="1410"/>
      <c r="CR18" s="1410"/>
      <c r="CS18" s="1410"/>
      <c r="CT18" s="1410"/>
      <c r="CU18" s="1410"/>
      <c r="CV18" s="1410"/>
      <c r="CW18" s="1410"/>
      <c r="CX18" s="1410"/>
      <c r="CY18" s="1410"/>
      <c r="CZ18" s="1410"/>
      <c r="DA18" s="1410"/>
      <c r="DB18" s="1410"/>
      <c r="DC18" s="1410"/>
      <c r="DD18" s="1410"/>
      <c r="DE18" s="1410"/>
      <c r="DF18" s="1410"/>
      <c r="DG18" s="1410"/>
      <c r="DH18" s="1410"/>
      <c r="DI18" s="1410"/>
      <c r="DJ18" s="1410"/>
      <c r="DK18" s="1410"/>
      <c r="DL18" s="1410"/>
      <c r="DM18" s="1410"/>
      <c r="DN18" s="1410"/>
      <c r="DO18" s="1410"/>
      <c r="DP18" s="1410"/>
      <c r="DQ18" s="1410"/>
      <c r="DR18" s="1410"/>
      <c r="DS18" s="1410"/>
      <c r="DT18" s="1410"/>
      <c r="DU18" s="1410"/>
      <c r="DV18" s="1410"/>
      <c r="DW18" s="1410"/>
      <c r="DX18" s="1410"/>
      <c r="DY18" s="1410"/>
      <c r="DZ18" s="1410"/>
      <c r="EA18" s="1410"/>
      <c r="EB18" s="1410"/>
      <c r="EC18" s="1410"/>
      <c r="ED18" s="1410"/>
      <c r="EE18" s="1410"/>
      <c r="EF18" s="1410"/>
      <c r="EG18" s="1410"/>
      <c r="EH18" s="1410"/>
      <c r="EI18" s="1410"/>
      <c r="EJ18" s="1410"/>
      <c r="EK18" s="1410"/>
      <c r="EL18" s="1410"/>
      <c r="EM18" s="1410"/>
      <c r="EN18" s="1410"/>
      <c r="EO18" s="1410"/>
      <c r="EP18" s="1410"/>
      <c r="EQ18" s="1410"/>
      <c r="ER18" s="1410"/>
      <c r="ES18" s="1410"/>
      <c r="ET18" s="1410"/>
      <c r="EU18" s="1410"/>
      <c r="EV18" s="1410"/>
      <c r="EW18" s="1410"/>
      <c r="EX18" s="1410"/>
      <c r="EY18" s="1410"/>
      <c r="EZ18" s="1410"/>
      <c r="FA18" s="1410"/>
      <c r="FB18" s="1410"/>
      <c r="FC18" s="1410"/>
      <c r="FD18" s="1410"/>
      <c r="FE18" s="1410"/>
      <c r="FF18" s="1410"/>
      <c r="FG18" s="1410"/>
      <c r="FH18" s="1410"/>
      <c r="FI18" s="1410"/>
      <c r="FJ18" s="1410"/>
      <c r="FK18" s="1410"/>
      <c r="FL18" s="1410"/>
      <c r="FM18" s="1206"/>
    </row>
    <row r="19" spans="2:169">
      <c r="B19" s="1208">
        <v>42370</v>
      </c>
      <c r="C19" s="1410">
        <v>58511732.780000001</v>
      </c>
      <c r="D19" s="1410">
        <v>58511732.780000001</v>
      </c>
      <c r="E19" s="1410">
        <v>22756765.740325082</v>
      </c>
      <c r="F19" s="1410">
        <v>35754967.039674923</v>
      </c>
      <c r="G19" s="1410"/>
      <c r="H19" s="1410"/>
      <c r="I19" s="1410"/>
      <c r="J19" s="1410"/>
      <c r="K19" s="1410"/>
      <c r="L19" s="1410"/>
      <c r="M19" s="1410"/>
      <c r="N19" s="1410"/>
      <c r="O19" s="1410"/>
      <c r="P19" s="1410"/>
      <c r="Q19" s="1410">
        <v>0</v>
      </c>
      <c r="R19" s="1410">
        <v>0</v>
      </c>
      <c r="S19" s="1410">
        <v>0</v>
      </c>
      <c r="T19" s="1410"/>
      <c r="U19" s="1410"/>
      <c r="V19" s="1410"/>
      <c r="W19" s="1410">
        <v>0</v>
      </c>
      <c r="X19" s="1410"/>
      <c r="Y19" s="1410"/>
      <c r="Z19" s="1410"/>
      <c r="AA19" s="1410">
        <v>0</v>
      </c>
      <c r="AB19" s="1410"/>
      <c r="AC19" s="1410"/>
      <c r="AD19" s="1410"/>
      <c r="AE19" s="1410">
        <v>0</v>
      </c>
      <c r="AF19" s="1410"/>
      <c r="AG19" s="1410"/>
      <c r="AH19" s="1410"/>
      <c r="AI19" s="1410">
        <v>0</v>
      </c>
      <c r="AJ19" s="1410"/>
      <c r="AK19" s="1410"/>
      <c r="AL19" s="1410"/>
      <c r="AM19" s="1410">
        <v>0</v>
      </c>
      <c r="AN19" s="1410"/>
      <c r="AO19" s="1410"/>
      <c r="AP19" s="1410"/>
      <c r="AQ19" s="1410">
        <v>0</v>
      </c>
      <c r="AR19" s="1410"/>
      <c r="AS19" s="1410"/>
      <c r="AT19" s="1410"/>
      <c r="AU19" s="1410">
        <v>0</v>
      </c>
      <c r="AV19" s="1410"/>
      <c r="AW19" s="1410"/>
      <c r="AX19" s="1410"/>
      <c r="AY19" s="1410">
        <v>0</v>
      </c>
      <c r="AZ19" s="1410"/>
      <c r="BA19" s="1410"/>
      <c r="BB19" s="1410"/>
      <c r="BC19" s="1410">
        <v>0</v>
      </c>
      <c r="BD19" s="1410"/>
      <c r="BE19" s="1410"/>
      <c r="BF19" s="1410"/>
      <c r="BG19" s="1410">
        <v>0</v>
      </c>
      <c r="BH19" s="1410"/>
      <c r="BI19" s="1410"/>
      <c r="BJ19" s="1410"/>
      <c r="BK19" s="1410"/>
      <c r="BL19" s="1410">
        <v>0</v>
      </c>
      <c r="BM19" s="1410">
        <v>0</v>
      </c>
      <c r="BN19" s="1410"/>
      <c r="BO19" s="1410">
        <v>0</v>
      </c>
      <c r="BP19" s="1410"/>
      <c r="BQ19" s="1410"/>
      <c r="BR19" s="1410"/>
      <c r="BS19" s="1410"/>
      <c r="BT19" s="1410">
        <v>0</v>
      </c>
      <c r="BU19" s="1410"/>
      <c r="BV19" s="1410">
        <v>0</v>
      </c>
      <c r="BW19" s="1410"/>
      <c r="BX19" s="1410"/>
      <c r="BY19" s="1410"/>
      <c r="BZ19" s="1410"/>
      <c r="CA19" s="1410">
        <v>0</v>
      </c>
      <c r="CB19" s="1410"/>
      <c r="CC19" s="1410">
        <v>0</v>
      </c>
      <c r="CD19" s="1410"/>
      <c r="CE19" s="1410"/>
      <c r="CF19" s="1410"/>
      <c r="CG19" s="1410"/>
      <c r="CH19" s="1410"/>
      <c r="CI19" s="1410">
        <v>0</v>
      </c>
      <c r="CJ19" s="1410"/>
      <c r="CK19" s="1410"/>
      <c r="CL19" s="1410"/>
      <c r="CM19" s="1410"/>
      <c r="CN19" s="1410"/>
      <c r="CO19" s="1410">
        <v>0</v>
      </c>
      <c r="CP19" s="1410"/>
      <c r="CQ19" s="1410"/>
      <c r="CR19" s="1410"/>
      <c r="CS19" s="1410"/>
      <c r="CT19" s="1410">
        <v>0</v>
      </c>
      <c r="CU19" s="1410">
        <v>0</v>
      </c>
      <c r="CV19" s="1410"/>
      <c r="CW19" s="1410"/>
      <c r="CX19" s="1410">
        <v>0</v>
      </c>
      <c r="CY19" s="1410"/>
      <c r="CZ19" s="1410"/>
      <c r="DA19" s="1410">
        <v>0</v>
      </c>
      <c r="DB19" s="1410"/>
      <c r="DC19" s="1410"/>
      <c r="DD19" s="1410"/>
      <c r="DE19" s="1410">
        <v>0</v>
      </c>
      <c r="DF19" s="1410">
        <v>0</v>
      </c>
      <c r="DG19" s="1410"/>
      <c r="DH19" s="1410"/>
      <c r="DI19" s="1410">
        <v>0</v>
      </c>
      <c r="DJ19" s="1410"/>
      <c r="DK19" s="1410"/>
      <c r="DL19" s="1410">
        <v>0</v>
      </c>
      <c r="DM19" s="1410"/>
      <c r="DN19" s="1410"/>
      <c r="DO19" s="1410"/>
      <c r="DP19" s="1410"/>
      <c r="DQ19" s="1410"/>
      <c r="DR19" s="1410">
        <v>0</v>
      </c>
      <c r="DS19" s="1410"/>
      <c r="DT19" s="1410">
        <v>0</v>
      </c>
      <c r="DU19" s="1410"/>
      <c r="DV19" s="1410"/>
      <c r="DW19" s="1410">
        <v>0</v>
      </c>
      <c r="DX19" s="1410"/>
      <c r="DY19" s="1410"/>
      <c r="DZ19" s="1410"/>
      <c r="EA19" s="1410"/>
      <c r="EB19" s="1410">
        <v>0</v>
      </c>
      <c r="EC19" s="1410"/>
      <c r="ED19" s="1410"/>
      <c r="EE19" s="1410"/>
      <c r="EF19" s="1410">
        <v>0</v>
      </c>
      <c r="EG19" s="1410">
        <v>0</v>
      </c>
      <c r="EH19" s="1410"/>
      <c r="EI19" s="1410"/>
      <c r="EJ19" s="1410">
        <v>0</v>
      </c>
      <c r="EK19" s="1410"/>
      <c r="EL19" s="1410"/>
      <c r="EM19" s="1410">
        <v>0</v>
      </c>
      <c r="EN19" s="1410"/>
      <c r="EO19" s="1410"/>
      <c r="EP19" s="1410"/>
      <c r="EQ19" s="1410"/>
      <c r="ER19" s="1410"/>
      <c r="ES19" s="1410">
        <v>-18844927.405179061</v>
      </c>
      <c r="ET19" s="1410">
        <v>37045237</v>
      </c>
      <c r="EU19" s="1410">
        <v>2498362</v>
      </c>
      <c r="EV19" s="1410">
        <v>34546875</v>
      </c>
      <c r="EW19" s="1410">
        <v>0</v>
      </c>
      <c r="EX19" s="1410"/>
      <c r="EY19" s="1410"/>
      <c r="EZ19" s="1410">
        <v>-53204633.009999998</v>
      </c>
      <c r="FA19" s="1410"/>
      <c r="FB19" s="1410"/>
      <c r="FC19" s="1410">
        <v>-53204633.009999998</v>
      </c>
      <c r="FD19" s="1410">
        <v>-2685531.3951790617</v>
      </c>
      <c r="FE19" s="1410"/>
      <c r="FF19" s="1410">
        <v>52867962.340325005</v>
      </c>
      <c r="FG19" s="1410"/>
      <c r="FH19" s="1410"/>
      <c r="FI19" s="1410"/>
      <c r="FJ19" s="1410"/>
      <c r="FK19" s="1410"/>
      <c r="FL19" s="1410">
        <v>92534767.715145946</v>
      </c>
      <c r="FM19" s="1206">
        <v>0</v>
      </c>
    </row>
    <row r="20" spans="2:169">
      <c r="B20" s="1208">
        <v>42401</v>
      </c>
      <c r="C20" s="1410">
        <v>58304470.800000012</v>
      </c>
      <c r="D20" s="1410">
        <v>58304470.800000012</v>
      </c>
      <c r="E20" s="1410">
        <v>22676156.055709008</v>
      </c>
      <c r="F20" s="1410">
        <v>35628314.744291</v>
      </c>
      <c r="G20" s="1410"/>
      <c r="H20" s="1410"/>
      <c r="I20" s="1410"/>
      <c r="J20" s="1410"/>
      <c r="K20" s="1410"/>
      <c r="L20" s="1410"/>
      <c r="M20" s="1410"/>
      <c r="N20" s="1410"/>
      <c r="O20" s="1410"/>
      <c r="P20" s="1410"/>
      <c r="Q20" s="1410">
        <v>0</v>
      </c>
      <c r="R20" s="1410">
        <v>0</v>
      </c>
      <c r="S20" s="1410">
        <v>0</v>
      </c>
      <c r="T20" s="1410"/>
      <c r="U20" s="1410"/>
      <c r="V20" s="1410"/>
      <c r="W20" s="1410">
        <v>0</v>
      </c>
      <c r="X20" s="1410"/>
      <c r="Y20" s="1410"/>
      <c r="Z20" s="1410"/>
      <c r="AA20" s="1410">
        <v>0</v>
      </c>
      <c r="AB20" s="1410"/>
      <c r="AC20" s="1410"/>
      <c r="AD20" s="1410"/>
      <c r="AE20" s="1410">
        <v>0</v>
      </c>
      <c r="AF20" s="1410"/>
      <c r="AG20" s="1410"/>
      <c r="AH20" s="1410"/>
      <c r="AI20" s="1410">
        <v>0</v>
      </c>
      <c r="AJ20" s="1410"/>
      <c r="AK20" s="1410"/>
      <c r="AL20" s="1410"/>
      <c r="AM20" s="1410">
        <v>0</v>
      </c>
      <c r="AN20" s="1410"/>
      <c r="AO20" s="1410"/>
      <c r="AP20" s="1410"/>
      <c r="AQ20" s="1410">
        <v>0</v>
      </c>
      <c r="AR20" s="1410"/>
      <c r="AS20" s="1410"/>
      <c r="AT20" s="1410"/>
      <c r="AU20" s="1410">
        <v>0</v>
      </c>
      <c r="AV20" s="1410"/>
      <c r="AW20" s="1410"/>
      <c r="AX20" s="1410"/>
      <c r="AY20" s="1410">
        <v>0</v>
      </c>
      <c r="AZ20" s="1410"/>
      <c r="BA20" s="1410"/>
      <c r="BB20" s="1410"/>
      <c r="BC20" s="1410">
        <v>0</v>
      </c>
      <c r="BD20" s="1410"/>
      <c r="BE20" s="1410"/>
      <c r="BF20" s="1410"/>
      <c r="BG20" s="1410">
        <v>0</v>
      </c>
      <c r="BH20" s="1410"/>
      <c r="BI20" s="1410"/>
      <c r="BJ20" s="1410"/>
      <c r="BK20" s="1410"/>
      <c r="BL20" s="1410">
        <v>0</v>
      </c>
      <c r="BM20" s="1410">
        <v>0</v>
      </c>
      <c r="BN20" s="1410"/>
      <c r="BO20" s="1410">
        <v>0</v>
      </c>
      <c r="BP20" s="1410"/>
      <c r="BQ20" s="1410"/>
      <c r="BR20" s="1410"/>
      <c r="BS20" s="1410"/>
      <c r="BT20" s="1410">
        <v>0</v>
      </c>
      <c r="BU20" s="1410"/>
      <c r="BV20" s="1410">
        <v>0</v>
      </c>
      <c r="BW20" s="1410"/>
      <c r="BX20" s="1410"/>
      <c r="BY20" s="1410"/>
      <c r="BZ20" s="1410"/>
      <c r="CA20" s="1410">
        <v>0</v>
      </c>
      <c r="CB20" s="1410"/>
      <c r="CC20" s="1410">
        <v>0</v>
      </c>
      <c r="CD20" s="1410"/>
      <c r="CE20" s="1410"/>
      <c r="CF20" s="1410"/>
      <c r="CG20" s="1410"/>
      <c r="CH20" s="1410"/>
      <c r="CI20" s="1410">
        <v>0</v>
      </c>
      <c r="CJ20" s="1410"/>
      <c r="CK20" s="1410"/>
      <c r="CL20" s="1410"/>
      <c r="CM20" s="1410"/>
      <c r="CN20" s="1410"/>
      <c r="CO20" s="1410">
        <v>0</v>
      </c>
      <c r="CP20" s="1410"/>
      <c r="CQ20" s="1410"/>
      <c r="CR20" s="1410"/>
      <c r="CS20" s="1410"/>
      <c r="CT20" s="1410">
        <v>0</v>
      </c>
      <c r="CU20" s="1410">
        <v>0</v>
      </c>
      <c r="CV20" s="1410"/>
      <c r="CW20" s="1410"/>
      <c r="CX20" s="1410">
        <v>0</v>
      </c>
      <c r="CY20" s="1410"/>
      <c r="CZ20" s="1410"/>
      <c r="DA20" s="1410">
        <v>0</v>
      </c>
      <c r="DB20" s="1410"/>
      <c r="DC20" s="1410"/>
      <c r="DD20" s="1410"/>
      <c r="DE20" s="1410">
        <v>0</v>
      </c>
      <c r="DF20" s="1410">
        <v>0</v>
      </c>
      <c r="DG20" s="1410"/>
      <c r="DH20" s="1410"/>
      <c r="DI20" s="1410">
        <v>0</v>
      </c>
      <c r="DJ20" s="1410"/>
      <c r="DK20" s="1410"/>
      <c r="DL20" s="1410">
        <v>0</v>
      </c>
      <c r="DM20" s="1410"/>
      <c r="DN20" s="1410"/>
      <c r="DO20" s="1410"/>
      <c r="DP20" s="1410"/>
      <c r="DQ20" s="1410"/>
      <c r="DR20" s="1410">
        <v>0</v>
      </c>
      <c r="DS20" s="1410"/>
      <c r="DT20" s="1410">
        <v>0</v>
      </c>
      <c r="DU20" s="1410"/>
      <c r="DV20" s="1410"/>
      <c r="DW20" s="1410">
        <v>0</v>
      </c>
      <c r="DX20" s="1410"/>
      <c r="DY20" s="1410"/>
      <c r="DZ20" s="1410"/>
      <c r="EA20" s="1410"/>
      <c r="EB20" s="1410">
        <v>0</v>
      </c>
      <c r="EC20" s="1410"/>
      <c r="ED20" s="1410"/>
      <c r="EE20" s="1410"/>
      <c r="EF20" s="1410">
        <v>0</v>
      </c>
      <c r="EG20" s="1410">
        <v>0</v>
      </c>
      <c r="EH20" s="1410"/>
      <c r="EI20" s="1410"/>
      <c r="EJ20" s="1410">
        <v>0</v>
      </c>
      <c r="EK20" s="1410"/>
      <c r="EL20" s="1410"/>
      <c r="EM20" s="1410">
        <v>0</v>
      </c>
      <c r="EN20" s="1410"/>
      <c r="EO20" s="1410"/>
      <c r="EP20" s="1410"/>
      <c r="EQ20" s="1410"/>
      <c r="ER20" s="1410"/>
      <c r="ES20" s="1410">
        <v>-19381433.393419601</v>
      </c>
      <c r="ET20" s="1410">
        <v>37045237</v>
      </c>
      <c r="EU20" s="1410">
        <v>2498362</v>
      </c>
      <c r="EV20" s="1410">
        <v>34546875</v>
      </c>
      <c r="EW20" s="1410">
        <v>0</v>
      </c>
      <c r="EX20" s="1410"/>
      <c r="EY20" s="1410"/>
      <c r="EZ20" s="1410">
        <v>-53204633.009999998</v>
      </c>
      <c r="FA20" s="1410"/>
      <c r="FB20" s="1410"/>
      <c r="FC20" s="1410">
        <v>-53204633.009999998</v>
      </c>
      <c r="FD20" s="1410">
        <v>-3222037.3834196045</v>
      </c>
      <c r="FE20" s="1410"/>
      <c r="FF20" s="1410">
        <v>54283627.27897498</v>
      </c>
      <c r="FG20" s="1410"/>
      <c r="FH20" s="1410"/>
      <c r="FI20" s="1410"/>
      <c r="FJ20" s="1410"/>
      <c r="FK20" s="1410"/>
      <c r="FL20" s="1410">
        <v>93206664.685555398</v>
      </c>
      <c r="FM20" s="1206">
        <v>0</v>
      </c>
    </row>
    <row r="21" spans="2:169">
      <c r="B21" s="1208">
        <v>42430</v>
      </c>
      <c r="C21" s="1410">
        <v>58314951.969999999</v>
      </c>
      <c r="D21" s="1410">
        <v>58314951.969999999</v>
      </c>
      <c r="E21" s="1410">
        <v>22680232.460885234</v>
      </c>
      <c r="F21" s="1410">
        <v>35634719.509114765</v>
      </c>
      <c r="G21" s="1410"/>
      <c r="H21" s="1410"/>
      <c r="I21" s="1410"/>
      <c r="J21" s="1410"/>
      <c r="K21" s="1410"/>
      <c r="L21" s="1410"/>
      <c r="M21" s="1410"/>
      <c r="N21" s="1410"/>
      <c r="O21" s="1410"/>
      <c r="P21" s="1410"/>
      <c r="Q21" s="1410">
        <v>0</v>
      </c>
      <c r="R21" s="1410">
        <v>0</v>
      </c>
      <c r="S21" s="1410">
        <v>0</v>
      </c>
      <c r="T21" s="1410"/>
      <c r="U21" s="1410"/>
      <c r="V21" s="1410"/>
      <c r="W21" s="1410">
        <v>0</v>
      </c>
      <c r="X21" s="1410"/>
      <c r="Y21" s="1410"/>
      <c r="Z21" s="1410"/>
      <c r="AA21" s="1410">
        <v>0</v>
      </c>
      <c r="AB21" s="1410"/>
      <c r="AC21" s="1410"/>
      <c r="AD21" s="1410"/>
      <c r="AE21" s="1410">
        <v>0</v>
      </c>
      <c r="AF21" s="1410"/>
      <c r="AG21" s="1410"/>
      <c r="AH21" s="1410"/>
      <c r="AI21" s="1410">
        <v>0</v>
      </c>
      <c r="AJ21" s="1410"/>
      <c r="AK21" s="1410"/>
      <c r="AL21" s="1410"/>
      <c r="AM21" s="1410">
        <v>0</v>
      </c>
      <c r="AN21" s="1410"/>
      <c r="AO21" s="1410"/>
      <c r="AP21" s="1410"/>
      <c r="AQ21" s="1410">
        <v>0</v>
      </c>
      <c r="AR21" s="1410"/>
      <c r="AS21" s="1410"/>
      <c r="AT21" s="1410"/>
      <c r="AU21" s="1410">
        <v>0</v>
      </c>
      <c r="AV21" s="1410"/>
      <c r="AW21" s="1410"/>
      <c r="AX21" s="1410"/>
      <c r="AY21" s="1410">
        <v>0</v>
      </c>
      <c r="AZ21" s="1410"/>
      <c r="BA21" s="1410"/>
      <c r="BB21" s="1410"/>
      <c r="BC21" s="1410">
        <v>0</v>
      </c>
      <c r="BD21" s="1410"/>
      <c r="BE21" s="1410"/>
      <c r="BF21" s="1410"/>
      <c r="BG21" s="1410">
        <v>0</v>
      </c>
      <c r="BH21" s="1410"/>
      <c r="BI21" s="1410"/>
      <c r="BJ21" s="1410"/>
      <c r="BK21" s="1410"/>
      <c r="BL21" s="1410">
        <v>0</v>
      </c>
      <c r="BM21" s="1410">
        <v>0</v>
      </c>
      <c r="BN21" s="1410"/>
      <c r="BO21" s="1410">
        <v>0</v>
      </c>
      <c r="BP21" s="1410"/>
      <c r="BQ21" s="1410"/>
      <c r="BR21" s="1410"/>
      <c r="BS21" s="1410"/>
      <c r="BT21" s="1410">
        <v>0</v>
      </c>
      <c r="BU21" s="1410"/>
      <c r="BV21" s="1410">
        <v>0</v>
      </c>
      <c r="BW21" s="1410"/>
      <c r="BX21" s="1410"/>
      <c r="BY21" s="1410"/>
      <c r="BZ21" s="1410"/>
      <c r="CA21" s="1410">
        <v>0</v>
      </c>
      <c r="CB21" s="1410"/>
      <c r="CC21" s="1410">
        <v>0</v>
      </c>
      <c r="CD21" s="1410"/>
      <c r="CE21" s="1410"/>
      <c r="CF21" s="1410"/>
      <c r="CG21" s="1410"/>
      <c r="CH21" s="1410"/>
      <c r="CI21" s="1410">
        <v>0</v>
      </c>
      <c r="CJ21" s="1410"/>
      <c r="CK21" s="1410"/>
      <c r="CL21" s="1410"/>
      <c r="CM21" s="1410"/>
      <c r="CN21" s="1410"/>
      <c r="CO21" s="1410">
        <v>0</v>
      </c>
      <c r="CP21" s="1410"/>
      <c r="CQ21" s="1410"/>
      <c r="CR21" s="1410"/>
      <c r="CS21" s="1410"/>
      <c r="CT21" s="1410">
        <v>0</v>
      </c>
      <c r="CU21" s="1410">
        <v>0</v>
      </c>
      <c r="CV21" s="1410"/>
      <c r="CW21" s="1410"/>
      <c r="CX21" s="1410">
        <v>0</v>
      </c>
      <c r="CY21" s="1410"/>
      <c r="CZ21" s="1410"/>
      <c r="DA21" s="1410">
        <v>0</v>
      </c>
      <c r="DB21" s="1410"/>
      <c r="DC21" s="1410"/>
      <c r="DD21" s="1410"/>
      <c r="DE21" s="1410">
        <v>0</v>
      </c>
      <c r="DF21" s="1410">
        <v>0</v>
      </c>
      <c r="DG21" s="1410"/>
      <c r="DH21" s="1410"/>
      <c r="DI21" s="1410">
        <v>0</v>
      </c>
      <c r="DJ21" s="1410"/>
      <c r="DK21" s="1410"/>
      <c r="DL21" s="1410">
        <v>0</v>
      </c>
      <c r="DM21" s="1410"/>
      <c r="DN21" s="1410"/>
      <c r="DO21" s="1410"/>
      <c r="DP21" s="1410"/>
      <c r="DQ21" s="1410"/>
      <c r="DR21" s="1410">
        <v>0</v>
      </c>
      <c r="DS21" s="1410"/>
      <c r="DT21" s="1410">
        <v>0</v>
      </c>
      <c r="DU21" s="1410"/>
      <c r="DV21" s="1410"/>
      <c r="DW21" s="1410">
        <v>0</v>
      </c>
      <c r="DX21" s="1410"/>
      <c r="DY21" s="1410"/>
      <c r="DZ21" s="1410"/>
      <c r="EA21" s="1410"/>
      <c r="EB21" s="1410">
        <v>0</v>
      </c>
      <c r="EC21" s="1410"/>
      <c r="ED21" s="1410"/>
      <c r="EE21" s="1410"/>
      <c r="EF21" s="1410">
        <v>0</v>
      </c>
      <c r="EG21" s="1410">
        <v>0</v>
      </c>
      <c r="EH21" s="1410"/>
      <c r="EI21" s="1410"/>
      <c r="EJ21" s="1410">
        <v>0</v>
      </c>
      <c r="EK21" s="1410"/>
      <c r="EL21" s="1410"/>
      <c r="EM21" s="1410">
        <v>0</v>
      </c>
      <c r="EN21" s="1410"/>
      <c r="EO21" s="1410"/>
      <c r="EP21" s="1410"/>
      <c r="EQ21" s="1410"/>
      <c r="ER21" s="1410"/>
      <c r="ES21" s="1410">
        <v>-20098516.093419604</v>
      </c>
      <c r="ET21" s="1410">
        <v>37045237</v>
      </c>
      <c r="EU21" s="1410">
        <v>2498362</v>
      </c>
      <c r="EV21" s="1410">
        <v>34546875</v>
      </c>
      <c r="EW21" s="1410">
        <v>0</v>
      </c>
      <c r="EX21" s="1410"/>
      <c r="EY21" s="1410"/>
      <c r="EZ21" s="1410">
        <v>-53204633.009999998</v>
      </c>
      <c r="FA21" s="1410"/>
      <c r="FB21" s="1410"/>
      <c r="FC21" s="1410">
        <v>-53204633.009999998</v>
      </c>
      <c r="FD21" s="1410">
        <v>-3939120.0834196056</v>
      </c>
      <c r="FE21" s="1410"/>
      <c r="FF21" s="1410">
        <v>55346966.308974996</v>
      </c>
      <c r="FG21" s="1410"/>
      <c r="FH21" s="1410"/>
      <c r="FI21" s="1410"/>
      <c r="FJ21" s="1410"/>
      <c r="FK21" s="1410"/>
      <c r="FL21" s="1410">
        <v>93563402.185555398</v>
      </c>
      <c r="FM21" s="1206">
        <v>0</v>
      </c>
    </row>
    <row r="22" spans="2:169">
      <c r="B22" s="1208">
        <v>42461</v>
      </c>
      <c r="C22" s="1410">
        <v>58346211.469999999</v>
      </c>
      <c r="D22" s="1410">
        <v>58346211.469999999</v>
      </c>
      <c r="E22" s="1410">
        <v>22692390.109999999</v>
      </c>
      <c r="F22" s="1410">
        <v>35653821.359999999</v>
      </c>
      <c r="G22" s="1410"/>
      <c r="H22" s="1410"/>
      <c r="I22" s="1410"/>
      <c r="J22" s="1410"/>
      <c r="K22" s="1410"/>
      <c r="L22" s="1410"/>
      <c r="M22" s="1410"/>
      <c r="N22" s="1410"/>
      <c r="O22" s="1410"/>
      <c r="P22" s="1410"/>
      <c r="Q22" s="1410">
        <v>0</v>
      </c>
      <c r="R22" s="1410">
        <v>0</v>
      </c>
      <c r="S22" s="1410">
        <v>0</v>
      </c>
      <c r="T22" s="1410"/>
      <c r="U22" s="1410"/>
      <c r="V22" s="1410"/>
      <c r="W22" s="1410">
        <v>0</v>
      </c>
      <c r="X22" s="1410"/>
      <c r="Y22" s="1410"/>
      <c r="Z22" s="1410"/>
      <c r="AA22" s="1410">
        <v>0</v>
      </c>
      <c r="AB22" s="1410"/>
      <c r="AC22" s="1410"/>
      <c r="AD22" s="1410"/>
      <c r="AE22" s="1410">
        <v>0</v>
      </c>
      <c r="AF22" s="1410"/>
      <c r="AG22" s="1410"/>
      <c r="AH22" s="1410"/>
      <c r="AI22" s="1410">
        <v>0</v>
      </c>
      <c r="AJ22" s="1410"/>
      <c r="AK22" s="1410"/>
      <c r="AL22" s="1410"/>
      <c r="AM22" s="1410">
        <v>0</v>
      </c>
      <c r="AN22" s="1410"/>
      <c r="AO22" s="1410"/>
      <c r="AP22" s="1410"/>
      <c r="AQ22" s="1410">
        <v>0</v>
      </c>
      <c r="AR22" s="1410"/>
      <c r="AS22" s="1410"/>
      <c r="AT22" s="1410"/>
      <c r="AU22" s="1410">
        <v>0</v>
      </c>
      <c r="AV22" s="1410"/>
      <c r="AW22" s="1410"/>
      <c r="AX22" s="1410"/>
      <c r="AY22" s="1410">
        <v>0</v>
      </c>
      <c r="AZ22" s="1410"/>
      <c r="BA22" s="1410"/>
      <c r="BB22" s="1410"/>
      <c r="BC22" s="1410">
        <v>0</v>
      </c>
      <c r="BD22" s="1410"/>
      <c r="BE22" s="1410"/>
      <c r="BF22" s="1410"/>
      <c r="BG22" s="1410">
        <v>0</v>
      </c>
      <c r="BH22" s="1410"/>
      <c r="BI22" s="1410"/>
      <c r="BJ22" s="1410"/>
      <c r="BK22" s="1410"/>
      <c r="BL22" s="1410">
        <v>0</v>
      </c>
      <c r="BM22" s="1410">
        <v>0</v>
      </c>
      <c r="BN22" s="1410"/>
      <c r="BO22" s="1410">
        <v>0</v>
      </c>
      <c r="BP22" s="1410"/>
      <c r="BQ22" s="1410"/>
      <c r="BR22" s="1410"/>
      <c r="BS22" s="1410"/>
      <c r="BT22" s="1410">
        <v>0</v>
      </c>
      <c r="BU22" s="1410"/>
      <c r="BV22" s="1410">
        <v>0</v>
      </c>
      <c r="BW22" s="1410"/>
      <c r="BX22" s="1410"/>
      <c r="BY22" s="1410"/>
      <c r="BZ22" s="1410"/>
      <c r="CA22" s="1410">
        <v>0</v>
      </c>
      <c r="CB22" s="1410"/>
      <c r="CC22" s="1410">
        <v>0</v>
      </c>
      <c r="CD22" s="1410"/>
      <c r="CE22" s="1410"/>
      <c r="CF22" s="1410"/>
      <c r="CG22" s="1410"/>
      <c r="CH22" s="1410"/>
      <c r="CI22" s="1410">
        <v>0</v>
      </c>
      <c r="CJ22" s="1410"/>
      <c r="CK22" s="1410"/>
      <c r="CL22" s="1410"/>
      <c r="CM22" s="1410"/>
      <c r="CN22" s="1410"/>
      <c r="CO22" s="1410">
        <v>0</v>
      </c>
      <c r="CP22" s="1410"/>
      <c r="CQ22" s="1410"/>
      <c r="CR22" s="1410"/>
      <c r="CS22" s="1410"/>
      <c r="CT22" s="1410">
        <v>0</v>
      </c>
      <c r="CU22" s="1410">
        <v>0</v>
      </c>
      <c r="CV22" s="1410"/>
      <c r="CW22" s="1410"/>
      <c r="CX22" s="1410">
        <v>0</v>
      </c>
      <c r="CY22" s="1410"/>
      <c r="CZ22" s="1410"/>
      <c r="DA22" s="1410">
        <v>0</v>
      </c>
      <c r="DB22" s="1410"/>
      <c r="DC22" s="1410"/>
      <c r="DD22" s="1410"/>
      <c r="DE22" s="1410">
        <v>0</v>
      </c>
      <c r="DF22" s="1410">
        <v>0</v>
      </c>
      <c r="DG22" s="1410"/>
      <c r="DH22" s="1410"/>
      <c r="DI22" s="1410">
        <v>0</v>
      </c>
      <c r="DJ22" s="1410"/>
      <c r="DK22" s="1410"/>
      <c r="DL22" s="1410">
        <v>0</v>
      </c>
      <c r="DM22" s="1410"/>
      <c r="DN22" s="1410"/>
      <c r="DO22" s="1410"/>
      <c r="DP22" s="1410"/>
      <c r="DQ22" s="1410"/>
      <c r="DR22" s="1410">
        <v>0</v>
      </c>
      <c r="DS22" s="1410"/>
      <c r="DT22" s="1410">
        <v>0</v>
      </c>
      <c r="DU22" s="1410"/>
      <c r="DV22" s="1410"/>
      <c r="DW22" s="1410">
        <v>0</v>
      </c>
      <c r="DX22" s="1410"/>
      <c r="DY22" s="1410"/>
      <c r="DZ22" s="1410"/>
      <c r="EA22" s="1410"/>
      <c r="EB22" s="1410">
        <v>0</v>
      </c>
      <c r="EC22" s="1410"/>
      <c r="ED22" s="1410"/>
      <c r="EE22" s="1410"/>
      <c r="EF22" s="1410">
        <v>0</v>
      </c>
      <c r="EG22" s="1410">
        <v>0</v>
      </c>
      <c r="EH22" s="1410"/>
      <c r="EI22" s="1410"/>
      <c r="EJ22" s="1410">
        <v>0</v>
      </c>
      <c r="EK22" s="1410"/>
      <c r="EL22" s="1410"/>
      <c r="EM22" s="1410">
        <v>0</v>
      </c>
      <c r="EN22" s="1410"/>
      <c r="EO22" s="1410"/>
      <c r="EP22" s="1410"/>
      <c r="EQ22" s="1410"/>
      <c r="ER22" s="1410"/>
      <c r="ES22" s="1410">
        <v>-19525802</v>
      </c>
      <c r="ET22" s="1410">
        <v>37045237</v>
      </c>
      <c r="EU22" s="1410">
        <v>2498362</v>
      </c>
      <c r="EV22" s="1410">
        <v>34546875</v>
      </c>
      <c r="EW22" s="1410">
        <v>0</v>
      </c>
      <c r="EX22" s="1410"/>
      <c r="EY22" s="1410"/>
      <c r="EZ22" s="1410">
        <v>-53204633</v>
      </c>
      <c r="FA22" s="1410"/>
      <c r="FB22" s="1410"/>
      <c r="FC22" s="1410">
        <v>-53204633</v>
      </c>
      <c r="FD22" s="1410">
        <v>-3366406</v>
      </c>
      <c r="FE22" s="1410"/>
      <c r="FF22" s="1410">
        <v>55012337.180000007</v>
      </c>
      <c r="FG22" s="1410"/>
      <c r="FH22" s="1410"/>
      <c r="FI22" s="1410"/>
      <c r="FJ22" s="1410"/>
      <c r="FK22" s="1410"/>
      <c r="FL22" s="1410">
        <v>93832746.650000006</v>
      </c>
      <c r="FM22" s="1206">
        <v>0</v>
      </c>
    </row>
    <row r="23" spans="2:169">
      <c r="B23" s="1208">
        <v>42491</v>
      </c>
      <c r="C23" s="1410">
        <v>58364091.150000006</v>
      </c>
      <c r="D23" s="1410">
        <v>58364091.150000006</v>
      </c>
      <c r="E23" s="1410">
        <v>22699343.992108148</v>
      </c>
      <c r="F23" s="1410">
        <v>35664747.157891855</v>
      </c>
      <c r="G23" s="1410"/>
      <c r="H23" s="1410"/>
      <c r="I23" s="1410"/>
      <c r="J23" s="1410"/>
      <c r="K23" s="1410"/>
      <c r="L23" s="1410"/>
      <c r="M23" s="1410"/>
      <c r="N23" s="1410"/>
      <c r="O23" s="1410"/>
      <c r="P23" s="1410"/>
      <c r="Q23" s="1410">
        <v>0</v>
      </c>
      <c r="R23" s="1410">
        <v>0</v>
      </c>
      <c r="S23" s="1410">
        <v>0</v>
      </c>
      <c r="T23" s="1410"/>
      <c r="U23" s="1410"/>
      <c r="V23" s="1410"/>
      <c r="W23" s="1410">
        <v>0</v>
      </c>
      <c r="X23" s="1410"/>
      <c r="Y23" s="1410"/>
      <c r="Z23" s="1410"/>
      <c r="AA23" s="1410">
        <v>0</v>
      </c>
      <c r="AB23" s="1410"/>
      <c r="AC23" s="1410"/>
      <c r="AD23" s="1410"/>
      <c r="AE23" s="1410">
        <v>0</v>
      </c>
      <c r="AF23" s="1410"/>
      <c r="AG23" s="1410"/>
      <c r="AH23" s="1410"/>
      <c r="AI23" s="1410">
        <v>0</v>
      </c>
      <c r="AJ23" s="1410"/>
      <c r="AK23" s="1410"/>
      <c r="AL23" s="1410"/>
      <c r="AM23" s="1410">
        <v>0</v>
      </c>
      <c r="AN23" s="1410"/>
      <c r="AO23" s="1410"/>
      <c r="AP23" s="1410"/>
      <c r="AQ23" s="1410">
        <v>0</v>
      </c>
      <c r="AR23" s="1410"/>
      <c r="AS23" s="1410"/>
      <c r="AT23" s="1410"/>
      <c r="AU23" s="1410">
        <v>0</v>
      </c>
      <c r="AV23" s="1410"/>
      <c r="AW23" s="1410"/>
      <c r="AX23" s="1410"/>
      <c r="AY23" s="1410">
        <v>0</v>
      </c>
      <c r="AZ23" s="1410"/>
      <c r="BA23" s="1410"/>
      <c r="BB23" s="1410"/>
      <c r="BC23" s="1410">
        <v>0</v>
      </c>
      <c r="BD23" s="1410"/>
      <c r="BE23" s="1410"/>
      <c r="BF23" s="1410"/>
      <c r="BG23" s="1410">
        <v>0</v>
      </c>
      <c r="BH23" s="1410"/>
      <c r="BI23" s="1410"/>
      <c r="BJ23" s="1410"/>
      <c r="BK23" s="1410"/>
      <c r="BL23" s="1410">
        <v>0</v>
      </c>
      <c r="BM23" s="1410">
        <v>0</v>
      </c>
      <c r="BN23" s="1410"/>
      <c r="BO23" s="1410">
        <v>0</v>
      </c>
      <c r="BP23" s="1410"/>
      <c r="BQ23" s="1410"/>
      <c r="BR23" s="1410"/>
      <c r="BS23" s="1410"/>
      <c r="BT23" s="1410">
        <v>0</v>
      </c>
      <c r="BU23" s="1410"/>
      <c r="BV23" s="1410">
        <v>0</v>
      </c>
      <c r="BW23" s="1410"/>
      <c r="BX23" s="1410"/>
      <c r="BY23" s="1410"/>
      <c r="BZ23" s="1410"/>
      <c r="CA23" s="1410">
        <v>0</v>
      </c>
      <c r="CB23" s="1410"/>
      <c r="CC23" s="1410">
        <v>0</v>
      </c>
      <c r="CD23" s="1410"/>
      <c r="CE23" s="1410"/>
      <c r="CF23" s="1410"/>
      <c r="CG23" s="1410"/>
      <c r="CH23" s="1410"/>
      <c r="CI23" s="1410">
        <v>0</v>
      </c>
      <c r="CJ23" s="1410"/>
      <c r="CK23" s="1410"/>
      <c r="CL23" s="1410"/>
      <c r="CM23" s="1410"/>
      <c r="CN23" s="1410"/>
      <c r="CO23" s="1410">
        <v>0</v>
      </c>
      <c r="CP23" s="1410"/>
      <c r="CQ23" s="1410"/>
      <c r="CR23" s="1410"/>
      <c r="CS23" s="1410"/>
      <c r="CT23" s="1410">
        <v>0</v>
      </c>
      <c r="CU23" s="1410">
        <v>0</v>
      </c>
      <c r="CV23" s="1410"/>
      <c r="CW23" s="1410"/>
      <c r="CX23" s="1410">
        <v>0</v>
      </c>
      <c r="CY23" s="1410"/>
      <c r="CZ23" s="1410"/>
      <c r="DA23" s="1410">
        <v>0</v>
      </c>
      <c r="DB23" s="1410"/>
      <c r="DC23" s="1410"/>
      <c r="DD23" s="1410"/>
      <c r="DE23" s="1410">
        <v>0</v>
      </c>
      <c r="DF23" s="1410">
        <v>0</v>
      </c>
      <c r="DG23" s="1410"/>
      <c r="DH23" s="1410"/>
      <c r="DI23" s="1410">
        <v>0</v>
      </c>
      <c r="DJ23" s="1410"/>
      <c r="DK23" s="1410"/>
      <c r="DL23" s="1410">
        <v>0</v>
      </c>
      <c r="DM23" s="1410"/>
      <c r="DN23" s="1410"/>
      <c r="DO23" s="1410"/>
      <c r="DP23" s="1410"/>
      <c r="DQ23" s="1410"/>
      <c r="DR23" s="1410">
        <v>0</v>
      </c>
      <c r="DS23" s="1410"/>
      <c r="DT23" s="1410">
        <v>0</v>
      </c>
      <c r="DU23" s="1410"/>
      <c r="DV23" s="1410"/>
      <c r="DW23" s="1410">
        <v>0</v>
      </c>
      <c r="DX23" s="1410"/>
      <c r="DY23" s="1410"/>
      <c r="DZ23" s="1410"/>
      <c r="EA23" s="1410"/>
      <c r="EB23" s="1410">
        <v>0</v>
      </c>
      <c r="EC23" s="1410"/>
      <c r="ED23" s="1410"/>
      <c r="EE23" s="1410"/>
      <c r="EF23" s="1410">
        <v>0</v>
      </c>
      <c r="EG23" s="1410">
        <v>0</v>
      </c>
      <c r="EH23" s="1410"/>
      <c r="EI23" s="1410"/>
      <c r="EJ23" s="1410">
        <v>0</v>
      </c>
      <c r="EK23" s="1410"/>
      <c r="EL23" s="1410"/>
      <c r="EM23" s="1410">
        <v>0</v>
      </c>
      <c r="EN23" s="1410"/>
      <c r="EO23" s="1410"/>
      <c r="EP23" s="1410"/>
      <c r="EQ23" s="1410"/>
      <c r="ER23" s="1410"/>
      <c r="ES23" s="1410">
        <v>-20214985.054094605</v>
      </c>
      <c r="ET23" s="1410">
        <v>37045237</v>
      </c>
      <c r="EU23" s="1410">
        <v>2498362</v>
      </c>
      <c r="EV23" s="1410">
        <v>34546875</v>
      </c>
      <c r="EW23" s="1410">
        <v>0</v>
      </c>
      <c r="EX23" s="1410"/>
      <c r="EY23" s="1410"/>
      <c r="EZ23" s="1410">
        <v>-53204633.009999998</v>
      </c>
      <c r="FA23" s="1410"/>
      <c r="FB23" s="1410"/>
      <c r="FC23" s="1410">
        <v>-53204633.009999998</v>
      </c>
      <c r="FD23" s="1410">
        <v>-4055589.0440946077</v>
      </c>
      <c r="FE23" s="1410"/>
      <c r="FF23" s="1410">
        <v>56020314.960149981</v>
      </c>
      <c r="FG23" s="1410"/>
      <c r="FH23" s="1410"/>
      <c r="FI23" s="1410"/>
      <c r="FJ23" s="1410"/>
      <c r="FK23" s="1410"/>
      <c r="FL23" s="1410">
        <v>94169421.056055382</v>
      </c>
      <c r="FM23" s="1206">
        <v>0</v>
      </c>
    </row>
    <row r="24" spans="2:169">
      <c r="B24" s="1208">
        <v>42522</v>
      </c>
      <c r="C24" s="1410">
        <v>58364091.150000006</v>
      </c>
      <c r="D24" s="1410">
        <v>58364091.150000006</v>
      </c>
      <c r="E24" s="1410">
        <v>22699343.992108148</v>
      </c>
      <c r="F24" s="1410">
        <v>35664747.157891855</v>
      </c>
      <c r="G24" s="1410"/>
      <c r="H24" s="1410"/>
      <c r="I24" s="1410"/>
      <c r="J24" s="1410"/>
      <c r="K24" s="1410"/>
      <c r="L24" s="1410"/>
      <c r="M24" s="1410"/>
      <c r="N24" s="1410"/>
      <c r="O24" s="1410"/>
      <c r="P24" s="1410"/>
      <c r="Q24" s="1410">
        <v>0</v>
      </c>
      <c r="R24" s="1410">
        <v>0</v>
      </c>
      <c r="S24" s="1410">
        <v>0</v>
      </c>
      <c r="T24" s="1410"/>
      <c r="U24" s="1410"/>
      <c r="V24" s="1410"/>
      <c r="W24" s="1410">
        <v>0</v>
      </c>
      <c r="X24" s="1410"/>
      <c r="Y24" s="1410"/>
      <c r="Z24" s="1410"/>
      <c r="AA24" s="1410">
        <v>0</v>
      </c>
      <c r="AB24" s="1410"/>
      <c r="AC24" s="1410"/>
      <c r="AD24" s="1410"/>
      <c r="AE24" s="1410">
        <v>0</v>
      </c>
      <c r="AF24" s="1410"/>
      <c r="AG24" s="1410"/>
      <c r="AH24" s="1410"/>
      <c r="AI24" s="1410">
        <v>0</v>
      </c>
      <c r="AJ24" s="1410"/>
      <c r="AK24" s="1410"/>
      <c r="AL24" s="1410"/>
      <c r="AM24" s="1410">
        <v>0</v>
      </c>
      <c r="AN24" s="1410"/>
      <c r="AO24" s="1410"/>
      <c r="AP24" s="1410"/>
      <c r="AQ24" s="1410">
        <v>0</v>
      </c>
      <c r="AR24" s="1410"/>
      <c r="AS24" s="1410"/>
      <c r="AT24" s="1410"/>
      <c r="AU24" s="1410">
        <v>0</v>
      </c>
      <c r="AV24" s="1410"/>
      <c r="AW24" s="1410"/>
      <c r="AX24" s="1410"/>
      <c r="AY24" s="1410">
        <v>0</v>
      </c>
      <c r="AZ24" s="1410"/>
      <c r="BA24" s="1410"/>
      <c r="BB24" s="1410"/>
      <c r="BC24" s="1410">
        <v>0</v>
      </c>
      <c r="BD24" s="1410"/>
      <c r="BE24" s="1410"/>
      <c r="BF24" s="1410"/>
      <c r="BG24" s="1410">
        <v>0</v>
      </c>
      <c r="BH24" s="1410"/>
      <c r="BI24" s="1410"/>
      <c r="BJ24" s="1410"/>
      <c r="BK24" s="1410"/>
      <c r="BL24" s="1410">
        <v>0</v>
      </c>
      <c r="BM24" s="1410">
        <v>0</v>
      </c>
      <c r="BN24" s="1410"/>
      <c r="BO24" s="1410">
        <v>0</v>
      </c>
      <c r="BP24" s="1410"/>
      <c r="BQ24" s="1410"/>
      <c r="BR24" s="1410"/>
      <c r="BS24" s="1410"/>
      <c r="BT24" s="1410">
        <v>0</v>
      </c>
      <c r="BU24" s="1410"/>
      <c r="BV24" s="1410">
        <v>0</v>
      </c>
      <c r="BW24" s="1410"/>
      <c r="BX24" s="1410"/>
      <c r="BY24" s="1410"/>
      <c r="BZ24" s="1410"/>
      <c r="CA24" s="1410">
        <v>0</v>
      </c>
      <c r="CB24" s="1410"/>
      <c r="CC24" s="1410">
        <v>0</v>
      </c>
      <c r="CD24" s="1410"/>
      <c r="CE24" s="1410"/>
      <c r="CF24" s="1410"/>
      <c r="CG24" s="1410"/>
      <c r="CH24" s="1410"/>
      <c r="CI24" s="1410">
        <v>0</v>
      </c>
      <c r="CJ24" s="1410"/>
      <c r="CK24" s="1410"/>
      <c r="CL24" s="1410"/>
      <c r="CM24" s="1410"/>
      <c r="CN24" s="1410"/>
      <c r="CO24" s="1410">
        <v>0</v>
      </c>
      <c r="CP24" s="1410"/>
      <c r="CQ24" s="1410"/>
      <c r="CR24" s="1410"/>
      <c r="CS24" s="1410"/>
      <c r="CT24" s="1410">
        <v>0</v>
      </c>
      <c r="CU24" s="1410">
        <v>0</v>
      </c>
      <c r="CV24" s="1410"/>
      <c r="CW24" s="1410"/>
      <c r="CX24" s="1410">
        <v>0</v>
      </c>
      <c r="CY24" s="1410"/>
      <c r="CZ24" s="1410"/>
      <c r="DA24" s="1410">
        <v>0</v>
      </c>
      <c r="DB24" s="1410"/>
      <c r="DC24" s="1410"/>
      <c r="DD24" s="1410"/>
      <c r="DE24" s="1410">
        <v>0</v>
      </c>
      <c r="DF24" s="1410">
        <v>0</v>
      </c>
      <c r="DG24" s="1410"/>
      <c r="DH24" s="1410"/>
      <c r="DI24" s="1410">
        <v>0</v>
      </c>
      <c r="DJ24" s="1410"/>
      <c r="DK24" s="1410"/>
      <c r="DL24" s="1410">
        <v>0</v>
      </c>
      <c r="DM24" s="1410"/>
      <c r="DN24" s="1410"/>
      <c r="DO24" s="1410"/>
      <c r="DP24" s="1410"/>
      <c r="DQ24" s="1410"/>
      <c r="DR24" s="1410">
        <v>0</v>
      </c>
      <c r="DS24" s="1410"/>
      <c r="DT24" s="1410">
        <v>0</v>
      </c>
      <c r="DU24" s="1410"/>
      <c r="DV24" s="1410"/>
      <c r="DW24" s="1410">
        <v>0</v>
      </c>
      <c r="DX24" s="1410"/>
      <c r="DY24" s="1410"/>
      <c r="DZ24" s="1410"/>
      <c r="EA24" s="1410"/>
      <c r="EB24" s="1410">
        <v>0</v>
      </c>
      <c r="EC24" s="1410"/>
      <c r="ED24" s="1410"/>
      <c r="EE24" s="1410"/>
      <c r="EF24" s="1410">
        <v>0</v>
      </c>
      <c r="EG24" s="1410">
        <v>0</v>
      </c>
      <c r="EH24" s="1410"/>
      <c r="EI24" s="1410"/>
      <c r="EJ24" s="1410">
        <v>0</v>
      </c>
      <c r="EK24" s="1410"/>
      <c r="EL24" s="1410"/>
      <c r="EM24" s="1410">
        <v>0</v>
      </c>
      <c r="EN24" s="1410"/>
      <c r="EO24" s="1410"/>
      <c r="EP24" s="1410"/>
      <c r="EQ24" s="1410"/>
      <c r="ER24" s="1410"/>
      <c r="ES24" s="1410">
        <v>-20214985.054094605</v>
      </c>
      <c r="ET24" s="1410">
        <v>37045237</v>
      </c>
      <c r="EU24" s="1410">
        <v>2498362</v>
      </c>
      <c r="EV24" s="1410">
        <v>34546875</v>
      </c>
      <c r="EW24" s="1410">
        <v>0</v>
      </c>
      <c r="EX24" s="1410"/>
      <c r="EY24" s="1410"/>
      <c r="EZ24" s="1410">
        <v>-53204633.009999998</v>
      </c>
      <c r="FA24" s="1410"/>
      <c r="FB24" s="1410"/>
      <c r="FC24" s="1410">
        <v>-53204633.009999998</v>
      </c>
      <c r="FD24" s="1410">
        <v>-4055589.0440946077</v>
      </c>
      <c r="FE24" s="1410"/>
      <c r="FF24" s="1410">
        <v>56020314.960149981</v>
      </c>
      <c r="FG24" s="1410"/>
      <c r="FH24" s="1410"/>
      <c r="FI24" s="1410"/>
      <c r="FJ24" s="1410"/>
      <c r="FK24" s="1410"/>
      <c r="FL24" s="1410">
        <v>94169421.056055382</v>
      </c>
      <c r="FM24" s="1206">
        <v>0</v>
      </c>
    </row>
    <row r="25" spans="2:169">
      <c r="B25" s="1208">
        <v>42552</v>
      </c>
      <c r="C25" s="1410">
        <v>58350740.960000008</v>
      </c>
      <c r="D25" s="1410">
        <v>58350740.960000008</v>
      </c>
      <c r="E25" s="1410">
        <v>22694151.748912051</v>
      </c>
      <c r="F25" s="1410">
        <v>35656589.211087957</v>
      </c>
      <c r="G25" s="1410"/>
      <c r="H25" s="1410"/>
      <c r="I25" s="1410"/>
      <c r="J25" s="1410"/>
      <c r="K25" s="1410"/>
      <c r="L25" s="1410"/>
      <c r="M25" s="1410"/>
      <c r="N25" s="1410"/>
      <c r="O25" s="1410"/>
      <c r="P25" s="1410"/>
      <c r="Q25" s="1410">
        <v>0</v>
      </c>
      <c r="R25" s="1410">
        <v>0</v>
      </c>
      <c r="S25" s="1410">
        <v>0</v>
      </c>
      <c r="T25" s="1410"/>
      <c r="U25" s="1410"/>
      <c r="V25" s="1410"/>
      <c r="W25" s="1410">
        <v>0</v>
      </c>
      <c r="X25" s="1410"/>
      <c r="Y25" s="1410"/>
      <c r="Z25" s="1410"/>
      <c r="AA25" s="1410">
        <v>0</v>
      </c>
      <c r="AB25" s="1410"/>
      <c r="AC25" s="1410"/>
      <c r="AD25" s="1410"/>
      <c r="AE25" s="1410">
        <v>0</v>
      </c>
      <c r="AF25" s="1410"/>
      <c r="AG25" s="1410"/>
      <c r="AH25" s="1410"/>
      <c r="AI25" s="1410">
        <v>0</v>
      </c>
      <c r="AJ25" s="1410"/>
      <c r="AK25" s="1410"/>
      <c r="AL25" s="1410"/>
      <c r="AM25" s="1410">
        <v>0</v>
      </c>
      <c r="AN25" s="1410"/>
      <c r="AO25" s="1410"/>
      <c r="AP25" s="1410"/>
      <c r="AQ25" s="1410">
        <v>0</v>
      </c>
      <c r="AR25" s="1410"/>
      <c r="AS25" s="1410"/>
      <c r="AT25" s="1410"/>
      <c r="AU25" s="1410">
        <v>0</v>
      </c>
      <c r="AV25" s="1410"/>
      <c r="AW25" s="1410"/>
      <c r="AX25" s="1410"/>
      <c r="AY25" s="1410">
        <v>0</v>
      </c>
      <c r="AZ25" s="1410"/>
      <c r="BA25" s="1410"/>
      <c r="BB25" s="1410"/>
      <c r="BC25" s="1410">
        <v>0</v>
      </c>
      <c r="BD25" s="1410"/>
      <c r="BE25" s="1410"/>
      <c r="BF25" s="1410"/>
      <c r="BG25" s="1410">
        <v>0</v>
      </c>
      <c r="BH25" s="1410"/>
      <c r="BI25" s="1410"/>
      <c r="BJ25" s="1410"/>
      <c r="BK25" s="1410"/>
      <c r="BL25" s="1410">
        <v>0</v>
      </c>
      <c r="BM25" s="1410">
        <v>0</v>
      </c>
      <c r="BN25" s="1410"/>
      <c r="BO25" s="1410">
        <v>0</v>
      </c>
      <c r="BP25" s="1410"/>
      <c r="BQ25" s="1410"/>
      <c r="BR25" s="1410"/>
      <c r="BS25" s="1410"/>
      <c r="BT25" s="1410">
        <v>0</v>
      </c>
      <c r="BU25" s="1410"/>
      <c r="BV25" s="1410">
        <v>0</v>
      </c>
      <c r="BW25" s="1410"/>
      <c r="BX25" s="1410"/>
      <c r="BY25" s="1410"/>
      <c r="BZ25" s="1410"/>
      <c r="CA25" s="1410">
        <v>0</v>
      </c>
      <c r="CB25" s="1410"/>
      <c r="CC25" s="1410">
        <v>0</v>
      </c>
      <c r="CD25" s="1410"/>
      <c r="CE25" s="1410"/>
      <c r="CF25" s="1410"/>
      <c r="CG25" s="1410"/>
      <c r="CH25" s="1410"/>
      <c r="CI25" s="1410">
        <v>0</v>
      </c>
      <c r="CJ25" s="1410"/>
      <c r="CK25" s="1410"/>
      <c r="CL25" s="1410"/>
      <c r="CM25" s="1410"/>
      <c r="CN25" s="1410"/>
      <c r="CO25" s="1410">
        <v>0</v>
      </c>
      <c r="CP25" s="1410"/>
      <c r="CQ25" s="1410"/>
      <c r="CR25" s="1410"/>
      <c r="CS25" s="1410"/>
      <c r="CT25" s="1410">
        <v>0</v>
      </c>
      <c r="CU25" s="1410">
        <v>0</v>
      </c>
      <c r="CV25" s="1410"/>
      <c r="CW25" s="1410"/>
      <c r="CX25" s="1410">
        <v>0</v>
      </c>
      <c r="CY25" s="1410"/>
      <c r="CZ25" s="1410"/>
      <c r="DA25" s="1410">
        <v>0</v>
      </c>
      <c r="DB25" s="1410"/>
      <c r="DC25" s="1410"/>
      <c r="DD25" s="1410"/>
      <c r="DE25" s="1410">
        <v>0</v>
      </c>
      <c r="DF25" s="1410">
        <v>0</v>
      </c>
      <c r="DG25" s="1410"/>
      <c r="DH25" s="1410"/>
      <c r="DI25" s="1410">
        <v>0</v>
      </c>
      <c r="DJ25" s="1410"/>
      <c r="DK25" s="1410"/>
      <c r="DL25" s="1410">
        <v>0</v>
      </c>
      <c r="DM25" s="1410"/>
      <c r="DN25" s="1410"/>
      <c r="DO25" s="1410"/>
      <c r="DP25" s="1410"/>
      <c r="DQ25" s="1410"/>
      <c r="DR25" s="1410">
        <v>0</v>
      </c>
      <c r="DS25" s="1410"/>
      <c r="DT25" s="1410">
        <v>0</v>
      </c>
      <c r="DU25" s="1410"/>
      <c r="DV25" s="1410"/>
      <c r="DW25" s="1410">
        <v>0</v>
      </c>
      <c r="DX25" s="1410"/>
      <c r="DY25" s="1410"/>
      <c r="DZ25" s="1410"/>
      <c r="EA25" s="1410"/>
      <c r="EB25" s="1410">
        <v>0</v>
      </c>
      <c r="EC25" s="1410"/>
      <c r="ED25" s="1410"/>
      <c r="EE25" s="1410"/>
      <c r="EF25" s="1410">
        <v>0</v>
      </c>
      <c r="EG25" s="1410">
        <v>0</v>
      </c>
      <c r="EH25" s="1410"/>
      <c r="EI25" s="1410"/>
      <c r="EJ25" s="1410">
        <v>0</v>
      </c>
      <c r="EK25" s="1410"/>
      <c r="EL25" s="1410"/>
      <c r="EM25" s="1410">
        <v>0</v>
      </c>
      <c r="EN25" s="1410"/>
      <c r="EO25" s="1410"/>
      <c r="EP25" s="1410"/>
      <c r="EQ25" s="1410"/>
      <c r="ER25" s="1410"/>
      <c r="ES25" s="1410">
        <v>-19338180.213878799</v>
      </c>
      <c r="ET25" s="1410">
        <v>37045237</v>
      </c>
      <c r="EU25" s="1410">
        <v>2498362</v>
      </c>
      <c r="EV25" s="1410">
        <v>34546875</v>
      </c>
      <c r="EW25" s="1410">
        <v>0</v>
      </c>
      <c r="EX25" s="1410"/>
      <c r="EY25" s="1410"/>
      <c r="EZ25" s="1410">
        <v>-53204633.009999998</v>
      </c>
      <c r="FA25" s="1410"/>
      <c r="FB25" s="1410"/>
      <c r="FC25" s="1410">
        <v>-53204633.009999998</v>
      </c>
      <c r="FD25" s="1410">
        <v>-3178784.2038788004</v>
      </c>
      <c r="FE25" s="1410"/>
      <c r="FF25" s="1410">
        <v>56094607.894924983</v>
      </c>
      <c r="FG25" s="1410"/>
      <c r="FH25" s="1410"/>
      <c r="FI25" s="1410"/>
      <c r="FJ25" s="1410"/>
      <c r="FK25" s="1410"/>
      <c r="FL25" s="1410">
        <v>95107168.641046196</v>
      </c>
      <c r="FM25" s="1206">
        <v>0</v>
      </c>
    </row>
    <row r="26" spans="2:169">
      <c r="B26" s="1208">
        <v>42583</v>
      </c>
      <c r="C26" s="1410">
        <v>58341817.859999999</v>
      </c>
      <c r="D26" s="1410">
        <v>58341817.859999999</v>
      </c>
      <c r="E26" s="1410">
        <v>22690681.32</v>
      </c>
      <c r="F26" s="1410">
        <v>35651136.539999999</v>
      </c>
      <c r="G26" s="1410"/>
      <c r="H26" s="1410"/>
      <c r="I26" s="1410"/>
      <c r="J26" s="1410"/>
      <c r="K26" s="1410"/>
      <c r="L26" s="1410"/>
      <c r="M26" s="1410"/>
      <c r="N26" s="1410"/>
      <c r="O26" s="1410"/>
      <c r="P26" s="1410"/>
      <c r="Q26" s="1410">
        <v>0</v>
      </c>
      <c r="R26" s="1410">
        <v>0</v>
      </c>
      <c r="S26" s="1410">
        <v>0</v>
      </c>
      <c r="T26" s="1410"/>
      <c r="U26" s="1410"/>
      <c r="V26" s="1410"/>
      <c r="W26" s="1410">
        <v>0</v>
      </c>
      <c r="X26" s="1410"/>
      <c r="Y26" s="1410"/>
      <c r="Z26" s="1410"/>
      <c r="AA26" s="1410">
        <v>0</v>
      </c>
      <c r="AB26" s="1410"/>
      <c r="AC26" s="1410"/>
      <c r="AD26" s="1410"/>
      <c r="AE26" s="1410">
        <v>0</v>
      </c>
      <c r="AF26" s="1410"/>
      <c r="AG26" s="1410"/>
      <c r="AH26" s="1410"/>
      <c r="AI26" s="1410">
        <v>0</v>
      </c>
      <c r="AJ26" s="1410"/>
      <c r="AK26" s="1410"/>
      <c r="AL26" s="1410"/>
      <c r="AM26" s="1410">
        <v>0</v>
      </c>
      <c r="AN26" s="1410"/>
      <c r="AO26" s="1410"/>
      <c r="AP26" s="1410"/>
      <c r="AQ26" s="1410">
        <v>0</v>
      </c>
      <c r="AR26" s="1410"/>
      <c r="AS26" s="1410"/>
      <c r="AT26" s="1410"/>
      <c r="AU26" s="1410">
        <v>0</v>
      </c>
      <c r="AV26" s="1410"/>
      <c r="AW26" s="1410"/>
      <c r="AX26" s="1410"/>
      <c r="AY26" s="1410">
        <v>0</v>
      </c>
      <c r="AZ26" s="1410"/>
      <c r="BA26" s="1410"/>
      <c r="BB26" s="1410"/>
      <c r="BC26" s="1410">
        <v>0</v>
      </c>
      <c r="BD26" s="1410"/>
      <c r="BE26" s="1410"/>
      <c r="BF26" s="1410"/>
      <c r="BG26" s="1410">
        <v>0</v>
      </c>
      <c r="BH26" s="1410"/>
      <c r="BI26" s="1410"/>
      <c r="BJ26" s="1410"/>
      <c r="BK26" s="1410"/>
      <c r="BL26" s="1410">
        <v>0</v>
      </c>
      <c r="BM26" s="1410">
        <v>0</v>
      </c>
      <c r="BN26" s="1410"/>
      <c r="BO26" s="1410">
        <v>0</v>
      </c>
      <c r="BP26" s="1410"/>
      <c r="BQ26" s="1410"/>
      <c r="BR26" s="1410"/>
      <c r="BS26" s="1410"/>
      <c r="BT26" s="1410">
        <v>0</v>
      </c>
      <c r="BU26" s="1410"/>
      <c r="BV26" s="1410">
        <v>0</v>
      </c>
      <c r="BW26" s="1410"/>
      <c r="BX26" s="1410"/>
      <c r="BY26" s="1410"/>
      <c r="BZ26" s="1410"/>
      <c r="CA26" s="1410">
        <v>0</v>
      </c>
      <c r="CB26" s="1410"/>
      <c r="CC26" s="1410">
        <v>0</v>
      </c>
      <c r="CD26" s="1410"/>
      <c r="CE26" s="1410"/>
      <c r="CF26" s="1410"/>
      <c r="CG26" s="1410"/>
      <c r="CH26" s="1410"/>
      <c r="CI26" s="1410">
        <v>0</v>
      </c>
      <c r="CJ26" s="1410"/>
      <c r="CK26" s="1410"/>
      <c r="CL26" s="1410"/>
      <c r="CM26" s="1410"/>
      <c r="CN26" s="1410"/>
      <c r="CO26" s="1410">
        <v>0</v>
      </c>
      <c r="CP26" s="1410"/>
      <c r="CQ26" s="1410"/>
      <c r="CR26" s="1410"/>
      <c r="CS26" s="1410"/>
      <c r="CT26" s="1410">
        <v>0</v>
      </c>
      <c r="CU26" s="1410">
        <v>0</v>
      </c>
      <c r="CV26" s="1410"/>
      <c r="CW26" s="1410"/>
      <c r="CX26" s="1410">
        <v>0</v>
      </c>
      <c r="CY26" s="1410"/>
      <c r="CZ26" s="1410"/>
      <c r="DA26" s="1410">
        <v>0</v>
      </c>
      <c r="DB26" s="1410"/>
      <c r="DC26" s="1410"/>
      <c r="DD26" s="1410"/>
      <c r="DE26" s="1410">
        <v>0</v>
      </c>
      <c r="DF26" s="1410">
        <v>0</v>
      </c>
      <c r="DG26" s="1410"/>
      <c r="DH26" s="1410"/>
      <c r="DI26" s="1410">
        <v>0</v>
      </c>
      <c r="DJ26" s="1410"/>
      <c r="DK26" s="1410"/>
      <c r="DL26" s="1410">
        <v>0</v>
      </c>
      <c r="DM26" s="1410"/>
      <c r="DN26" s="1410"/>
      <c r="DO26" s="1410"/>
      <c r="DP26" s="1410"/>
      <c r="DQ26" s="1410"/>
      <c r="DR26" s="1410">
        <v>0</v>
      </c>
      <c r="DS26" s="1410"/>
      <c r="DT26" s="1410">
        <v>0</v>
      </c>
      <c r="DU26" s="1410"/>
      <c r="DV26" s="1410"/>
      <c r="DW26" s="1410">
        <v>0</v>
      </c>
      <c r="DX26" s="1410"/>
      <c r="DY26" s="1410"/>
      <c r="DZ26" s="1410"/>
      <c r="EA26" s="1410"/>
      <c r="EB26" s="1410">
        <v>0</v>
      </c>
      <c r="EC26" s="1410"/>
      <c r="ED26" s="1410"/>
      <c r="EE26" s="1410"/>
      <c r="EF26" s="1410">
        <v>0</v>
      </c>
      <c r="EG26" s="1410">
        <v>0</v>
      </c>
      <c r="EH26" s="1410"/>
      <c r="EI26" s="1410"/>
      <c r="EJ26" s="1410">
        <v>0</v>
      </c>
      <c r="EK26" s="1410"/>
      <c r="EL26" s="1410"/>
      <c r="EM26" s="1410">
        <v>0</v>
      </c>
      <c r="EN26" s="1410"/>
      <c r="EO26" s="1410"/>
      <c r="EP26" s="1410"/>
      <c r="EQ26" s="1410"/>
      <c r="ER26" s="1410"/>
      <c r="ES26" s="1410">
        <v>-19251485</v>
      </c>
      <c r="ET26" s="1410">
        <v>37045237</v>
      </c>
      <c r="EU26" s="1410">
        <v>2498362</v>
      </c>
      <c r="EV26" s="1410">
        <v>34546875</v>
      </c>
      <c r="EW26" s="1410">
        <v>0</v>
      </c>
      <c r="EX26" s="1410"/>
      <c r="EY26" s="1410"/>
      <c r="EZ26" s="1410">
        <v>-53204633</v>
      </c>
      <c r="FA26" s="1410"/>
      <c r="FB26" s="1410"/>
      <c r="FC26" s="1410">
        <v>-53204633</v>
      </c>
      <c r="FD26" s="1410">
        <v>-3092089</v>
      </c>
      <c r="FE26" s="1410"/>
      <c r="FF26" s="1410">
        <v>56081805.390000001</v>
      </c>
      <c r="FG26" s="1410"/>
      <c r="FH26" s="1410"/>
      <c r="FI26" s="1410"/>
      <c r="FJ26" s="1410"/>
      <c r="FK26" s="1410"/>
      <c r="FL26" s="1410">
        <v>95172138.25</v>
      </c>
      <c r="FM26" s="1206">
        <v>0</v>
      </c>
    </row>
    <row r="27" spans="2:169">
      <c r="B27" s="1208">
        <v>42614</v>
      </c>
      <c r="C27" s="1410">
        <v>58880311.210000001</v>
      </c>
      <c r="D27" s="1410">
        <v>58880311.210000001</v>
      </c>
      <c r="E27" s="1410">
        <v>22900115.670000002</v>
      </c>
      <c r="F27" s="1410">
        <v>35980195.539999999</v>
      </c>
      <c r="G27" s="1410"/>
      <c r="H27" s="1410"/>
      <c r="I27" s="1410"/>
      <c r="J27" s="1410"/>
      <c r="K27" s="1410"/>
      <c r="L27" s="1410"/>
      <c r="M27" s="1410"/>
      <c r="N27" s="1410"/>
      <c r="O27" s="1410"/>
      <c r="P27" s="1410"/>
      <c r="Q27" s="1410">
        <v>0</v>
      </c>
      <c r="R27" s="1410">
        <v>0</v>
      </c>
      <c r="S27" s="1410">
        <v>0</v>
      </c>
      <c r="T27" s="1410"/>
      <c r="U27" s="1410"/>
      <c r="V27" s="1410"/>
      <c r="W27" s="1410">
        <v>0</v>
      </c>
      <c r="X27" s="1410"/>
      <c r="Y27" s="1410"/>
      <c r="Z27" s="1410"/>
      <c r="AA27" s="1410">
        <v>0</v>
      </c>
      <c r="AB27" s="1410"/>
      <c r="AC27" s="1410"/>
      <c r="AD27" s="1410"/>
      <c r="AE27" s="1410">
        <v>0</v>
      </c>
      <c r="AF27" s="1410"/>
      <c r="AG27" s="1410"/>
      <c r="AH27" s="1410"/>
      <c r="AI27" s="1410">
        <v>0</v>
      </c>
      <c r="AJ27" s="1410"/>
      <c r="AK27" s="1410"/>
      <c r="AL27" s="1410"/>
      <c r="AM27" s="1410">
        <v>0</v>
      </c>
      <c r="AN27" s="1410"/>
      <c r="AO27" s="1410"/>
      <c r="AP27" s="1410"/>
      <c r="AQ27" s="1410">
        <v>0</v>
      </c>
      <c r="AR27" s="1410"/>
      <c r="AS27" s="1410"/>
      <c r="AT27" s="1410"/>
      <c r="AU27" s="1410">
        <v>0</v>
      </c>
      <c r="AV27" s="1410"/>
      <c r="AW27" s="1410"/>
      <c r="AX27" s="1410"/>
      <c r="AY27" s="1410">
        <v>0</v>
      </c>
      <c r="AZ27" s="1410"/>
      <c r="BA27" s="1410"/>
      <c r="BB27" s="1410"/>
      <c r="BC27" s="1410">
        <v>0</v>
      </c>
      <c r="BD27" s="1410"/>
      <c r="BE27" s="1410"/>
      <c r="BF27" s="1410"/>
      <c r="BG27" s="1410">
        <v>0</v>
      </c>
      <c r="BH27" s="1410"/>
      <c r="BI27" s="1410"/>
      <c r="BJ27" s="1410"/>
      <c r="BK27" s="1410"/>
      <c r="BL27" s="1410">
        <v>0</v>
      </c>
      <c r="BM27" s="1410">
        <v>0</v>
      </c>
      <c r="BN27" s="1410"/>
      <c r="BO27" s="1410">
        <v>0</v>
      </c>
      <c r="BP27" s="1410"/>
      <c r="BQ27" s="1410"/>
      <c r="BR27" s="1410"/>
      <c r="BS27" s="1410"/>
      <c r="BT27" s="1410">
        <v>0</v>
      </c>
      <c r="BU27" s="1410"/>
      <c r="BV27" s="1410">
        <v>0</v>
      </c>
      <c r="BW27" s="1410"/>
      <c r="BX27" s="1410"/>
      <c r="BY27" s="1410"/>
      <c r="BZ27" s="1410"/>
      <c r="CA27" s="1410">
        <v>0</v>
      </c>
      <c r="CB27" s="1410"/>
      <c r="CC27" s="1410">
        <v>0</v>
      </c>
      <c r="CD27" s="1410"/>
      <c r="CE27" s="1410"/>
      <c r="CF27" s="1410"/>
      <c r="CG27" s="1410"/>
      <c r="CH27" s="1410"/>
      <c r="CI27" s="1410">
        <v>0</v>
      </c>
      <c r="CJ27" s="1410"/>
      <c r="CK27" s="1410"/>
      <c r="CL27" s="1410"/>
      <c r="CM27" s="1410"/>
      <c r="CN27" s="1410"/>
      <c r="CO27" s="1410">
        <v>0</v>
      </c>
      <c r="CP27" s="1410"/>
      <c r="CQ27" s="1410"/>
      <c r="CR27" s="1410"/>
      <c r="CS27" s="1410"/>
      <c r="CT27" s="1410">
        <v>0</v>
      </c>
      <c r="CU27" s="1410">
        <v>0</v>
      </c>
      <c r="CV27" s="1410"/>
      <c r="CW27" s="1410"/>
      <c r="CX27" s="1410">
        <v>0</v>
      </c>
      <c r="CY27" s="1410"/>
      <c r="CZ27" s="1410"/>
      <c r="DA27" s="1410">
        <v>0</v>
      </c>
      <c r="DB27" s="1410"/>
      <c r="DC27" s="1410"/>
      <c r="DD27" s="1410"/>
      <c r="DE27" s="1410">
        <v>0</v>
      </c>
      <c r="DF27" s="1410">
        <v>0</v>
      </c>
      <c r="DG27" s="1410"/>
      <c r="DH27" s="1410"/>
      <c r="DI27" s="1410">
        <v>0</v>
      </c>
      <c r="DJ27" s="1410"/>
      <c r="DK27" s="1410"/>
      <c r="DL27" s="1410">
        <v>0</v>
      </c>
      <c r="DM27" s="1410"/>
      <c r="DN27" s="1410"/>
      <c r="DO27" s="1410"/>
      <c r="DP27" s="1410"/>
      <c r="DQ27" s="1410"/>
      <c r="DR27" s="1410">
        <v>0</v>
      </c>
      <c r="DS27" s="1410"/>
      <c r="DT27" s="1410">
        <v>0</v>
      </c>
      <c r="DU27" s="1410"/>
      <c r="DV27" s="1410"/>
      <c r="DW27" s="1410">
        <v>0</v>
      </c>
      <c r="DX27" s="1410"/>
      <c r="DY27" s="1410"/>
      <c r="DZ27" s="1410"/>
      <c r="EA27" s="1410"/>
      <c r="EB27" s="1410">
        <v>0</v>
      </c>
      <c r="EC27" s="1410"/>
      <c r="ED27" s="1410"/>
      <c r="EE27" s="1410"/>
      <c r="EF27" s="1410">
        <v>0</v>
      </c>
      <c r="EG27" s="1410">
        <v>0</v>
      </c>
      <c r="EH27" s="1410"/>
      <c r="EI27" s="1410"/>
      <c r="EJ27" s="1410">
        <v>0</v>
      </c>
      <c r="EK27" s="1410"/>
      <c r="EL27" s="1410"/>
      <c r="EM27" s="1410">
        <v>0</v>
      </c>
      <c r="EN27" s="1410"/>
      <c r="EO27" s="1410"/>
      <c r="EP27" s="1410"/>
      <c r="EQ27" s="1410"/>
      <c r="ER27" s="1410"/>
      <c r="ES27" s="1410">
        <v>-19265891</v>
      </c>
      <c r="ET27" s="1410">
        <v>37045237</v>
      </c>
      <c r="EU27" s="1410">
        <v>2498362</v>
      </c>
      <c r="EV27" s="1410">
        <v>34546875</v>
      </c>
      <c r="EW27" s="1410">
        <v>0</v>
      </c>
      <c r="EX27" s="1410"/>
      <c r="EY27" s="1410"/>
      <c r="EZ27" s="1410">
        <v>-53204633</v>
      </c>
      <c r="FA27" s="1410"/>
      <c r="FB27" s="1410"/>
      <c r="FC27" s="1410">
        <v>-53204633</v>
      </c>
      <c r="FD27" s="1410">
        <v>-3106495</v>
      </c>
      <c r="FE27" s="1410"/>
      <c r="FF27" s="1410">
        <v>55892757.039999992</v>
      </c>
      <c r="FG27" s="1410"/>
      <c r="FH27" s="1410"/>
      <c r="FI27" s="1410"/>
      <c r="FJ27" s="1410"/>
      <c r="FK27" s="1410"/>
      <c r="FL27" s="1410">
        <v>95507177.25</v>
      </c>
      <c r="FM27" s="1206">
        <v>0</v>
      </c>
    </row>
    <row r="28" spans="2:169">
      <c r="B28" s="1208">
        <v>42644</v>
      </c>
      <c r="C28" s="1410">
        <v>58880311.210000001</v>
      </c>
      <c r="D28" s="1410">
        <v>58880311.210000001</v>
      </c>
      <c r="E28" s="1410">
        <v>22900115.670000002</v>
      </c>
      <c r="F28" s="1410">
        <v>35980195.539999999</v>
      </c>
      <c r="G28" s="1410"/>
      <c r="H28" s="1410"/>
      <c r="I28" s="1410"/>
      <c r="J28" s="1410"/>
      <c r="K28" s="1410"/>
      <c r="L28" s="1410"/>
      <c r="M28" s="1410"/>
      <c r="N28" s="1410"/>
      <c r="O28" s="1410"/>
      <c r="P28" s="1410"/>
      <c r="Q28" s="1410">
        <v>0</v>
      </c>
      <c r="R28" s="1410">
        <v>0</v>
      </c>
      <c r="S28" s="1410">
        <v>0</v>
      </c>
      <c r="T28" s="1410"/>
      <c r="U28" s="1410"/>
      <c r="V28" s="1410"/>
      <c r="W28" s="1410">
        <v>0</v>
      </c>
      <c r="X28" s="1410"/>
      <c r="Y28" s="1410"/>
      <c r="Z28" s="1410"/>
      <c r="AA28" s="1410">
        <v>0</v>
      </c>
      <c r="AB28" s="1410"/>
      <c r="AC28" s="1410"/>
      <c r="AD28" s="1410"/>
      <c r="AE28" s="1410">
        <v>0</v>
      </c>
      <c r="AF28" s="1410"/>
      <c r="AG28" s="1410"/>
      <c r="AH28" s="1410"/>
      <c r="AI28" s="1410">
        <v>0</v>
      </c>
      <c r="AJ28" s="1410"/>
      <c r="AK28" s="1410"/>
      <c r="AL28" s="1410"/>
      <c r="AM28" s="1410">
        <v>0</v>
      </c>
      <c r="AN28" s="1410"/>
      <c r="AO28" s="1410"/>
      <c r="AP28" s="1410"/>
      <c r="AQ28" s="1410">
        <v>0</v>
      </c>
      <c r="AR28" s="1410"/>
      <c r="AS28" s="1410"/>
      <c r="AT28" s="1410"/>
      <c r="AU28" s="1410">
        <v>0</v>
      </c>
      <c r="AV28" s="1410"/>
      <c r="AW28" s="1410"/>
      <c r="AX28" s="1410"/>
      <c r="AY28" s="1410">
        <v>0</v>
      </c>
      <c r="AZ28" s="1410"/>
      <c r="BA28" s="1410"/>
      <c r="BB28" s="1410"/>
      <c r="BC28" s="1410">
        <v>0</v>
      </c>
      <c r="BD28" s="1410"/>
      <c r="BE28" s="1410"/>
      <c r="BF28" s="1410"/>
      <c r="BG28" s="1410">
        <v>0</v>
      </c>
      <c r="BH28" s="1410"/>
      <c r="BI28" s="1410"/>
      <c r="BJ28" s="1410"/>
      <c r="BK28" s="1410"/>
      <c r="BL28" s="1410">
        <v>0</v>
      </c>
      <c r="BM28" s="1410">
        <v>0</v>
      </c>
      <c r="BN28" s="1410"/>
      <c r="BO28" s="1410">
        <v>0</v>
      </c>
      <c r="BP28" s="1410"/>
      <c r="BQ28" s="1410"/>
      <c r="BR28" s="1410"/>
      <c r="BS28" s="1410"/>
      <c r="BT28" s="1410">
        <v>0</v>
      </c>
      <c r="BU28" s="1410"/>
      <c r="BV28" s="1410">
        <v>0</v>
      </c>
      <c r="BW28" s="1410"/>
      <c r="BX28" s="1410"/>
      <c r="BY28" s="1410"/>
      <c r="BZ28" s="1410"/>
      <c r="CA28" s="1410">
        <v>0</v>
      </c>
      <c r="CB28" s="1410"/>
      <c r="CC28" s="1410">
        <v>0</v>
      </c>
      <c r="CD28" s="1410"/>
      <c r="CE28" s="1410"/>
      <c r="CF28" s="1410"/>
      <c r="CG28" s="1410"/>
      <c r="CH28" s="1410"/>
      <c r="CI28" s="1410">
        <v>0</v>
      </c>
      <c r="CJ28" s="1410"/>
      <c r="CK28" s="1410"/>
      <c r="CL28" s="1410"/>
      <c r="CM28" s="1410"/>
      <c r="CN28" s="1410"/>
      <c r="CO28" s="1410">
        <v>0</v>
      </c>
      <c r="CP28" s="1410"/>
      <c r="CQ28" s="1410"/>
      <c r="CR28" s="1410"/>
      <c r="CS28" s="1410"/>
      <c r="CT28" s="1410">
        <v>0</v>
      </c>
      <c r="CU28" s="1410">
        <v>0</v>
      </c>
      <c r="CV28" s="1410"/>
      <c r="CW28" s="1410"/>
      <c r="CX28" s="1410">
        <v>0</v>
      </c>
      <c r="CY28" s="1410"/>
      <c r="CZ28" s="1410"/>
      <c r="DA28" s="1410">
        <v>0</v>
      </c>
      <c r="DB28" s="1410"/>
      <c r="DC28" s="1410"/>
      <c r="DD28" s="1410"/>
      <c r="DE28" s="1410">
        <v>0</v>
      </c>
      <c r="DF28" s="1410">
        <v>0</v>
      </c>
      <c r="DG28" s="1410"/>
      <c r="DH28" s="1410"/>
      <c r="DI28" s="1410">
        <v>0</v>
      </c>
      <c r="DJ28" s="1410"/>
      <c r="DK28" s="1410"/>
      <c r="DL28" s="1410">
        <v>0</v>
      </c>
      <c r="DM28" s="1410"/>
      <c r="DN28" s="1410"/>
      <c r="DO28" s="1410"/>
      <c r="DP28" s="1410"/>
      <c r="DQ28" s="1410"/>
      <c r="DR28" s="1410">
        <v>0</v>
      </c>
      <c r="DS28" s="1410"/>
      <c r="DT28" s="1410">
        <v>0</v>
      </c>
      <c r="DU28" s="1410"/>
      <c r="DV28" s="1410"/>
      <c r="DW28" s="1410">
        <v>0</v>
      </c>
      <c r="DX28" s="1410"/>
      <c r="DY28" s="1410"/>
      <c r="DZ28" s="1410"/>
      <c r="EA28" s="1410"/>
      <c r="EB28" s="1410">
        <v>0</v>
      </c>
      <c r="EC28" s="1410"/>
      <c r="ED28" s="1410"/>
      <c r="EE28" s="1410"/>
      <c r="EF28" s="1410">
        <v>0</v>
      </c>
      <c r="EG28" s="1410">
        <v>0</v>
      </c>
      <c r="EH28" s="1410"/>
      <c r="EI28" s="1410"/>
      <c r="EJ28" s="1410">
        <v>0</v>
      </c>
      <c r="EK28" s="1410"/>
      <c r="EL28" s="1410"/>
      <c r="EM28" s="1410">
        <v>0</v>
      </c>
      <c r="EN28" s="1410"/>
      <c r="EO28" s="1410"/>
      <c r="EP28" s="1410"/>
      <c r="EQ28" s="1410"/>
      <c r="ER28" s="1410"/>
      <c r="ES28" s="1410">
        <v>-19265891</v>
      </c>
      <c r="ET28" s="1410">
        <v>37045237</v>
      </c>
      <c r="EU28" s="1410">
        <v>2498362</v>
      </c>
      <c r="EV28" s="1410">
        <v>34546875</v>
      </c>
      <c r="EW28" s="1410">
        <v>0</v>
      </c>
      <c r="EX28" s="1410"/>
      <c r="EY28" s="1410"/>
      <c r="EZ28" s="1410">
        <v>-53204633</v>
      </c>
      <c r="FA28" s="1410"/>
      <c r="FB28" s="1410"/>
      <c r="FC28" s="1410">
        <v>-53204633</v>
      </c>
      <c r="FD28" s="1410">
        <v>-3106495</v>
      </c>
      <c r="FE28" s="1410"/>
      <c r="FF28" s="1410">
        <v>55892757.039999992</v>
      </c>
      <c r="FG28" s="1410"/>
      <c r="FH28" s="1410"/>
      <c r="FI28" s="1410"/>
      <c r="FJ28" s="1410"/>
      <c r="FK28" s="1410"/>
      <c r="FL28" s="1410">
        <v>95507177.25</v>
      </c>
      <c r="FM28" s="1206">
        <v>0</v>
      </c>
    </row>
    <row r="29" spans="2:169" ht="14.25" customHeight="1">
      <c r="B29" s="1208">
        <v>42675</v>
      </c>
      <c r="C29" s="1410">
        <v>58880311.210000008</v>
      </c>
      <c r="D29" s="1410">
        <v>58880311.210000008</v>
      </c>
      <c r="E29" s="1410">
        <v>22900115.673576657</v>
      </c>
      <c r="F29" s="1410">
        <v>35980195.536423348</v>
      </c>
      <c r="G29" s="1410"/>
      <c r="H29" s="1410"/>
      <c r="I29" s="1410"/>
      <c r="J29" s="1410"/>
      <c r="K29" s="1410"/>
      <c r="L29" s="1410"/>
      <c r="M29" s="1410"/>
      <c r="N29" s="1410"/>
      <c r="O29" s="1410"/>
      <c r="P29" s="1410"/>
      <c r="Q29" s="1410">
        <v>0</v>
      </c>
      <c r="R29" s="1410">
        <v>0</v>
      </c>
      <c r="S29" s="1410">
        <v>0</v>
      </c>
      <c r="T29" s="1410"/>
      <c r="U29" s="1410"/>
      <c r="V29" s="1410"/>
      <c r="W29" s="1410">
        <v>0</v>
      </c>
      <c r="X29" s="1410"/>
      <c r="Y29" s="1410"/>
      <c r="Z29" s="1410"/>
      <c r="AA29" s="1410">
        <v>0</v>
      </c>
      <c r="AB29" s="1410"/>
      <c r="AC29" s="1410"/>
      <c r="AD29" s="1410"/>
      <c r="AE29" s="1410">
        <v>0</v>
      </c>
      <c r="AF29" s="1410"/>
      <c r="AG29" s="1410"/>
      <c r="AH29" s="1410"/>
      <c r="AI29" s="1410">
        <v>0</v>
      </c>
      <c r="AJ29" s="1410"/>
      <c r="AK29" s="1410"/>
      <c r="AL29" s="1410"/>
      <c r="AM29" s="1410">
        <v>0</v>
      </c>
      <c r="AN29" s="1410"/>
      <c r="AO29" s="1410"/>
      <c r="AP29" s="1410"/>
      <c r="AQ29" s="1410">
        <v>0</v>
      </c>
      <c r="AR29" s="1410"/>
      <c r="AS29" s="1410"/>
      <c r="AT29" s="1410"/>
      <c r="AU29" s="1410">
        <v>0</v>
      </c>
      <c r="AV29" s="1410"/>
      <c r="AW29" s="1410"/>
      <c r="AX29" s="1410"/>
      <c r="AY29" s="1410">
        <v>0</v>
      </c>
      <c r="AZ29" s="1410"/>
      <c r="BA29" s="1410"/>
      <c r="BB29" s="1410"/>
      <c r="BC29" s="1410">
        <v>0</v>
      </c>
      <c r="BD29" s="1410"/>
      <c r="BE29" s="1410"/>
      <c r="BF29" s="1410"/>
      <c r="BG29" s="1410">
        <v>0</v>
      </c>
      <c r="BH29" s="1410"/>
      <c r="BI29" s="1410"/>
      <c r="BJ29" s="1410"/>
      <c r="BK29" s="1410"/>
      <c r="BL29" s="1410">
        <v>0</v>
      </c>
      <c r="BM29" s="1410">
        <v>0</v>
      </c>
      <c r="BN29" s="1410"/>
      <c r="BO29" s="1410">
        <v>0</v>
      </c>
      <c r="BP29" s="1410"/>
      <c r="BQ29" s="1410"/>
      <c r="BR29" s="1410"/>
      <c r="BS29" s="1410"/>
      <c r="BT29" s="1410">
        <v>0</v>
      </c>
      <c r="BU29" s="1410"/>
      <c r="BV29" s="1410">
        <v>0</v>
      </c>
      <c r="BW29" s="1410"/>
      <c r="BX29" s="1410"/>
      <c r="BY29" s="1410"/>
      <c r="BZ29" s="1410"/>
      <c r="CA29" s="1410">
        <v>0</v>
      </c>
      <c r="CB29" s="1410"/>
      <c r="CC29" s="1410">
        <v>0</v>
      </c>
      <c r="CD29" s="1410"/>
      <c r="CE29" s="1410"/>
      <c r="CF29" s="1410"/>
      <c r="CG29" s="1410"/>
      <c r="CH29" s="1410"/>
      <c r="CI29" s="1410">
        <v>0</v>
      </c>
      <c r="CJ29" s="1410"/>
      <c r="CK29" s="1410"/>
      <c r="CL29" s="1410"/>
      <c r="CM29" s="1410"/>
      <c r="CN29" s="1410"/>
      <c r="CO29" s="1410">
        <v>0</v>
      </c>
      <c r="CP29" s="1410"/>
      <c r="CQ29" s="1410"/>
      <c r="CR29" s="1410"/>
      <c r="CS29" s="1410"/>
      <c r="CT29" s="1410">
        <v>0</v>
      </c>
      <c r="CU29" s="1410">
        <v>0</v>
      </c>
      <c r="CV29" s="1410"/>
      <c r="CW29" s="1410"/>
      <c r="CX29" s="1410">
        <v>0</v>
      </c>
      <c r="CY29" s="1410"/>
      <c r="CZ29" s="1410"/>
      <c r="DA29" s="1410">
        <v>0</v>
      </c>
      <c r="DB29" s="1410"/>
      <c r="DC29" s="1410"/>
      <c r="DD29" s="1410"/>
      <c r="DE29" s="1410">
        <v>0</v>
      </c>
      <c r="DF29" s="1410">
        <v>0</v>
      </c>
      <c r="DG29" s="1410"/>
      <c r="DH29" s="1410"/>
      <c r="DI29" s="1410">
        <v>0</v>
      </c>
      <c r="DJ29" s="1410"/>
      <c r="DK29" s="1410"/>
      <c r="DL29" s="1410">
        <v>0</v>
      </c>
      <c r="DM29" s="1410"/>
      <c r="DN29" s="1410"/>
      <c r="DO29" s="1410"/>
      <c r="DP29" s="1410"/>
      <c r="DQ29" s="1410"/>
      <c r="DR29" s="1410">
        <v>0</v>
      </c>
      <c r="DS29" s="1410"/>
      <c r="DT29" s="1410">
        <v>0</v>
      </c>
      <c r="DU29" s="1410"/>
      <c r="DV29" s="1410"/>
      <c r="DW29" s="1410">
        <v>0</v>
      </c>
      <c r="DX29" s="1410"/>
      <c r="DY29" s="1410"/>
      <c r="DZ29" s="1410"/>
      <c r="EA29" s="1410"/>
      <c r="EB29" s="1410">
        <v>0</v>
      </c>
      <c r="EC29" s="1410"/>
      <c r="ED29" s="1410"/>
      <c r="EE29" s="1410"/>
      <c r="EF29" s="1410">
        <v>0</v>
      </c>
      <c r="EG29" s="1410">
        <v>0</v>
      </c>
      <c r="EH29" s="1410"/>
      <c r="EI29" s="1410"/>
      <c r="EJ29" s="1410">
        <v>0</v>
      </c>
      <c r="EK29" s="1410"/>
      <c r="EL29" s="1410"/>
      <c r="EM29" s="1410">
        <v>0</v>
      </c>
      <c r="EN29" s="1410"/>
      <c r="EO29" s="1410"/>
      <c r="EP29" s="1410"/>
      <c r="EQ29" s="1410"/>
      <c r="ER29" s="1410"/>
      <c r="ES29" s="1410">
        <v>-19193602.568528786</v>
      </c>
      <c r="ET29" s="1410">
        <v>37045237</v>
      </c>
      <c r="EU29" s="1410">
        <v>2498362</v>
      </c>
      <c r="EV29" s="1410">
        <v>34546875</v>
      </c>
      <c r="EW29" s="1410">
        <v>0</v>
      </c>
      <c r="EX29" s="1410"/>
      <c r="EY29" s="1410"/>
      <c r="EZ29" s="1410">
        <v>-53204633</v>
      </c>
      <c r="FA29" s="1410"/>
      <c r="FB29" s="1410"/>
      <c r="FC29" s="1410">
        <v>-53204633</v>
      </c>
      <c r="FD29" s="1410">
        <v>-3034206.5685287849</v>
      </c>
      <c r="FE29" s="1410"/>
      <c r="FF29" s="1410">
        <v>55892756.649750002</v>
      </c>
      <c r="FG29" s="1410"/>
      <c r="FH29" s="1410"/>
      <c r="FI29" s="1410"/>
      <c r="FJ29" s="1410"/>
      <c r="FK29" s="1410"/>
      <c r="FL29" s="1410">
        <v>95579465.291221231</v>
      </c>
      <c r="FM29" s="1206">
        <v>3.2496452331542969E-4</v>
      </c>
    </row>
    <row r="30" spans="2:169">
      <c r="B30" s="1208">
        <v>42705</v>
      </c>
      <c r="C30" s="1410">
        <v>58524403.74000001</v>
      </c>
      <c r="D30" s="1410">
        <v>58524403.74000001</v>
      </c>
      <c r="E30" s="1410">
        <v>22761693.812947873</v>
      </c>
      <c r="F30" s="1410">
        <v>35762709.927052133</v>
      </c>
      <c r="G30" s="1410"/>
      <c r="H30" s="1410"/>
      <c r="I30" s="1410"/>
      <c r="J30" s="1410"/>
      <c r="K30" s="1410"/>
      <c r="L30" s="1410"/>
      <c r="M30" s="1410"/>
      <c r="N30" s="1410"/>
      <c r="O30" s="1410"/>
      <c r="P30" s="1410"/>
      <c r="Q30" s="1410">
        <v>0</v>
      </c>
      <c r="R30" s="1410">
        <v>0</v>
      </c>
      <c r="S30" s="1410">
        <v>0</v>
      </c>
      <c r="T30" s="1410"/>
      <c r="U30" s="1410"/>
      <c r="V30" s="1410"/>
      <c r="W30" s="1410">
        <v>0</v>
      </c>
      <c r="X30" s="1410"/>
      <c r="Y30" s="1410"/>
      <c r="Z30" s="1410"/>
      <c r="AA30" s="1410">
        <v>0</v>
      </c>
      <c r="AB30" s="1410"/>
      <c r="AC30" s="1410"/>
      <c r="AD30" s="1410"/>
      <c r="AE30" s="1410">
        <v>0</v>
      </c>
      <c r="AF30" s="1410"/>
      <c r="AG30" s="1410"/>
      <c r="AH30" s="1410"/>
      <c r="AI30" s="1410">
        <v>0</v>
      </c>
      <c r="AJ30" s="1410"/>
      <c r="AK30" s="1410"/>
      <c r="AL30" s="1410"/>
      <c r="AM30" s="1410">
        <v>0</v>
      </c>
      <c r="AN30" s="1410"/>
      <c r="AO30" s="1410"/>
      <c r="AP30" s="1410"/>
      <c r="AQ30" s="1410">
        <v>0</v>
      </c>
      <c r="AR30" s="1410"/>
      <c r="AS30" s="1410"/>
      <c r="AT30" s="1410"/>
      <c r="AU30" s="1410">
        <v>0</v>
      </c>
      <c r="AV30" s="1410"/>
      <c r="AW30" s="1410"/>
      <c r="AX30" s="1410"/>
      <c r="AY30" s="1410">
        <v>0</v>
      </c>
      <c r="AZ30" s="1410"/>
      <c r="BA30" s="1410"/>
      <c r="BB30" s="1410"/>
      <c r="BC30" s="1410">
        <v>0</v>
      </c>
      <c r="BD30" s="1410"/>
      <c r="BE30" s="1410"/>
      <c r="BF30" s="1410"/>
      <c r="BG30" s="1410">
        <v>0</v>
      </c>
      <c r="BH30" s="1410"/>
      <c r="BI30" s="1410"/>
      <c r="BJ30" s="1410"/>
      <c r="BK30" s="1410"/>
      <c r="BL30" s="1410">
        <v>0</v>
      </c>
      <c r="BM30" s="1410">
        <v>0</v>
      </c>
      <c r="BN30" s="1410"/>
      <c r="BO30" s="1410">
        <v>0</v>
      </c>
      <c r="BP30" s="1410"/>
      <c r="BQ30" s="1410"/>
      <c r="BR30" s="1410"/>
      <c r="BS30" s="1410"/>
      <c r="BT30" s="1410">
        <v>0</v>
      </c>
      <c r="BU30" s="1410"/>
      <c r="BV30" s="1410">
        <v>0</v>
      </c>
      <c r="BW30" s="1410"/>
      <c r="BX30" s="1410"/>
      <c r="BY30" s="1410"/>
      <c r="BZ30" s="1410"/>
      <c r="CA30" s="1410">
        <v>0</v>
      </c>
      <c r="CB30" s="1410"/>
      <c r="CC30" s="1410">
        <v>0</v>
      </c>
      <c r="CD30" s="1410"/>
      <c r="CE30" s="1410"/>
      <c r="CF30" s="1410"/>
      <c r="CG30" s="1410"/>
      <c r="CH30" s="1410"/>
      <c r="CI30" s="1410">
        <v>0</v>
      </c>
      <c r="CJ30" s="1410"/>
      <c r="CK30" s="1410"/>
      <c r="CL30" s="1410"/>
      <c r="CM30" s="1410"/>
      <c r="CN30" s="1410"/>
      <c r="CO30" s="1410">
        <v>0</v>
      </c>
      <c r="CP30" s="1410"/>
      <c r="CQ30" s="1410"/>
      <c r="CR30" s="1410"/>
      <c r="CS30" s="1410"/>
      <c r="CT30" s="1410">
        <v>0</v>
      </c>
      <c r="CU30" s="1410">
        <v>0</v>
      </c>
      <c r="CV30" s="1410"/>
      <c r="CW30" s="1410"/>
      <c r="CX30" s="1410">
        <v>0</v>
      </c>
      <c r="CY30" s="1410"/>
      <c r="CZ30" s="1410"/>
      <c r="DA30" s="1410">
        <v>0</v>
      </c>
      <c r="DB30" s="1410"/>
      <c r="DC30" s="1410"/>
      <c r="DD30" s="1410"/>
      <c r="DE30" s="1410">
        <v>0</v>
      </c>
      <c r="DF30" s="1410">
        <v>0</v>
      </c>
      <c r="DG30" s="1410"/>
      <c r="DH30" s="1410"/>
      <c r="DI30" s="1410">
        <v>0</v>
      </c>
      <c r="DJ30" s="1410"/>
      <c r="DK30" s="1410"/>
      <c r="DL30" s="1410">
        <v>0</v>
      </c>
      <c r="DM30" s="1410"/>
      <c r="DN30" s="1410"/>
      <c r="DO30" s="1410"/>
      <c r="DP30" s="1410"/>
      <c r="DQ30" s="1410"/>
      <c r="DR30" s="1410">
        <v>0</v>
      </c>
      <c r="DS30" s="1410"/>
      <c r="DT30" s="1410">
        <v>0</v>
      </c>
      <c r="DU30" s="1410"/>
      <c r="DV30" s="1410"/>
      <c r="DW30" s="1410">
        <v>0</v>
      </c>
      <c r="DX30" s="1410"/>
      <c r="DY30" s="1410"/>
      <c r="DZ30" s="1410"/>
      <c r="EA30" s="1410"/>
      <c r="EB30" s="1410">
        <v>0</v>
      </c>
      <c r="EC30" s="1410"/>
      <c r="ED30" s="1410"/>
      <c r="EE30" s="1410"/>
      <c r="EF30" s="1410">
        <v>0</v>
      </c>
      <c r="EG30" s="1410">
        <v>0</v>
      </c>
      <c r="EH30" s="1410"/>
      <c r="EI30" s="1410"/>
      <c r="EJ30" s="1410">
        <v>0</v>
      </c>
      <c r="EK30" s="1410"/>
      <c r="EL30" s="1410"/>
      <c r="EM30" s="1410">
        <v>0</v>
      </c>
      <c r="EN30" s="1410"/>
      <c r="EO30" s="1410"/>
      <c r="EP30" s="1410"/>
      <c r="EQ30" s="1410"/>
      <c r="ER30" s="1410"/>
      <c r="ES30" s="1410">
        <v>-20134578.286134463</v>
      </c>
      <c r="ET30" s="1410">
        <v>37045237</v>
      </c>
      <c r="EU30" s="1410">
        <v>2498362</v>
      </c>
      <c r="EV30" s="1410">
        <v>34546875</v>
      </c>
      <c r="EW30" s="1410">
        <v>0</v>
      </c>
      <c r="EX30" s="1410"/>
      <c r="EY30" s="1410"/>
      <c r="EZ30" s="1410">
        <v>-53204633.009999998</v>
      </c>
      <c r="FA30" s="1410"/>
      <c r="FB30" s="1410"/>
      <c r="FC30" s="1410">
        <v>-53204633.009999998</v>
      </c>
      <c r="FD30" s="1410">
        <v>-3975182.2761344658</v>
      </c>
      <c r="FE30" s="1410"/>
      <c r="FF30" s="1410">
        <v>53174905.495224968</v>
      </c>
      <c r="FG30" s="1410"/>
      <c r="FH30" s="1410"/>
      <c r="FI30" s="1410"/>
      <c r="FJ30" s="1410"/>
      <c r="FK30" s="1410"/>
      <c r="FL30" s="1410">
        <v>91564730.949090511</v>
      </c>
      <c r="FM30" s="1206">
        <v>0</v>
      </c>
    </row>
    <row r="31" spans="2:169">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1205"/>
      <c r="DW31" s="1205"/>
      <c r="DX31" s="1205"/>
      <c r="DY31" s="1205"/>
      <c r="DZ31" s="1205"/>
      <c r="EA31" s="1205"/>
      <c r="EB31" s="1205"/>
      <c r="EC31" s="1205"/>
      <c r="ED31" s="1205"/>
      <c r="EE31" s="1205"/>
      <c r="EF31" s="1205"/>
      <c r="EG31" s="1205"/>
      <c r="EH31" s="1205"/>
      <c r="EI31" s="1205"/>
      <c r="EJ31" s="1205"/>
      <c r="EK31" s="1205"/>
      <c r="EL31" s="1205"/>
      <c r="EM31" s="1205"/>
      <c r="EN31" s="1205"/>
      <c r="EO31" s="1205"/>
      <c r="EP31" s="1205"/>
      <c r="EQ31" s="1205"/>
      <c r="ER31" s="1205"/>
      <c r="ES31" s="1205"/>
      <c r="ET31" s="1205"/>
      <c r="EU31" s="1205"/>
      <c r="EV31" s="1205"/>
      <c r="EW31" s="1205"/>
      <c r="EX31" s="1205"/>
      <c r="EY31" s="1205"/>
      <c r="EZ31" s="1205"/>
      <c r="FA31" s="1205"/>
      <c r="FB31" s="1205"/>
      <c r="FC31" s="1205"/>
      <c r="FD31" s="1205"/>
      <c r="FE31" s="1205"/>
      <c r="FF31" s="1205"/>
      <c r="FG31" s="1205"/>
      <c r="FH31" s="1205"/>
      <c r="FI31" s="1205"/>
      <c r="FJ31" s="1205"/>
      <c r="FK31" s="1205"/>
      <c r="FL31" s="1205"/>
    </row>
    <row r="32" spans="2:169">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row>
    <row r="33" spans="1:169" s="3" customFormat="1" ht="14.25" customHeight="1">
      <c r="A33" s="1200"/>
      <c r="B33" s="1208">
        <v>42736</v>
      </c>
      <c r="C33" s="1410">
        <v>58880311.210000008</v>
      </c>
      <c r="D33" s="1410">
        <v>58880311.210000008</v>
      </c>
      <c r="E33" s="1410">
        <v>22900115.673576657</v>
      </c>
      <c r="F33" s="1410">
        <v>35980195.536423348</v>
      </c>
      <c r="G33" s="1410"/>
      <c r="H33" s="1410"/>
      <c r="I33" s="1410"/>
      <c r="J33" s="1410"/>
      <c r="K33" s="1410"/>
      <c r="L33" s="1410"/>
      <c r="M33" s="1410"/>
      <c r="N33" s="1410"/>
      <c r="O33" s="1410"/>
      <c r="P33" s="1410"/>
      <c r="Q33" s="1410">
        <v>0</v>
      </c>
      <c r="R33" s="1410">
        <v>0</v>
      </c>
      <c r="S33" s="1410">
        <v>0</v>
      </c>
      <c r="T33" s="1410"/>
      <c r="U33" s="1410"/>
      <c r="V33" s="1410"/>
      <c r="W33" s="1410">
        <v>0</v>
      </c>
      <c r="X33" s="1410"/>
      <c r="Y33" s="1410"/>
      <c r="Z33" s="1410"/>
      <c r="AA33" s="1410">
        <v>0</v>
      </c>
      <c r="AB33" s="1410"/>
      <c r="AC33" s="1410"/>
      <c r="AD33" s="1410"/>
      <c r="AE33" s="1410">
        <v>0</v>
      </c>
      <c r="AF33" s="1410"/>
      <c r="AG33" s="1410"/>
      <c r="AH33" s="1410"/>
      <c r="AI33" s="1410">
        <v>0</v>
      </c>
      <c r="AJ33" s="1410"/>
      <c r="AK33" s="1410"/>
      <c r="AL33" s="1410"/>
      <c r="AM33" s="1410">
        <v>0</v>
      </c>
      <c r="AN33" s="1410"/>
      <c r="AO33" s="1410"/>
      <c r="AP33" s="1410"/>
      <c r="AQ33" s="1410">
        <v>0</v>
      </c>
      <c r="AR33" s="1410"/>
      <c r="AS33" s="1410"/>
      <c r="AT33" s="1410"/>
      <c r="AU33" s="1410">
        <v>0</v>
      </c>
      <c r="AV33" s="1410"/>
      <c r="AW33" s="1410"/>
      <c r="AX33" s="1410"/>
      <c r="AY33" s="1410">
        <v>0</v>
      </c>
      <c r="AZ33" s="1410"/>
      <c r="BA33" s="1410"/>
      <c r="BB33" s="1410"/>
      <c r="BC33" s="1410">
        <v>0</v>
      </c>
      <c r="BD33" s="1410"/>
      <c r="BE33" s="1410"/>
      <c r="BF33" s="1410"/>
      <c r="BG33" s="1410">
        <v>0</v>
      </c>
      <c r="BH33" s="1410"/>
      <c r="BI33" s="1410"/>
      <c r="BJ33" s="1410"/>
      <c r="BK33" s="1410"/>
      <c r="BL33" s="1410">
        <v>0</v>
      </c>
      <c r="BM33" s="1410">
        <v>0</v>
      </c>
      <c r="BN33" s="1410"/>
      <c r="BO33" s="1410">
        <v>0</v>
      </c>
      <c r="BP33" s="1410"/>
      <c r="BQ33" s="1410"/>
      <c r="BR33" s="1410"/>
      <c r="BS33" s="1410"/>
      <c r="BT33" s="1410">
        <v>0</v>
      </c>
      <c r="BU33" s="1410"/>
      <c r="BV33" s="1410">
        <v>0</v>
      </c>
      <c r="BW33" s="1410"/>
      <c r="BX33" s="1410"/>
      <c r="BY33" s="1410"/>
      <c r="BZ33" s="1410"/>
      <c r="CA33" s="1410">
        <v>0</v>
      </c>
      <c r="CB33" s="1410"/>
      <c r="CC33" s="1410">
        <v>0</v>
      </c>
      <c r="CD33" s="1410"/>
      <c r="CE33" s="1410"/>
      <c r="CF33" s="1410"/>
      <c r="CG33" s="1410"/>
      <c r="CH33" s="1410"/>
      <c r="CI33" s="1410">
        <v>0</v>
      </c>
      <c r="CJ33" s="1410"/>
      <c r="CK33" s="1410"/>
      <c r="CL33" s="1410"/>
      <c r="CM33" s="1410"/>
      <c r="CN33" s="1410"/>
      <c r="CO33" s="1410">
        <v>0</v>
      </c>
      <c r="CP33" s="1410"/>
      <c r="CQ33" s="1410"/>
      <c r="CR33" s="1410"/>
      <c r="CS33" s="1410"/>
      <c r="CT33" s="1410">
        <v>0</v>
      </c>
      <c r="CU33" s="1410">
        <v>0</v>
      </c>
      <c r="CV33" s="1410"/>
      <c r="CW33" s="1410"/>
      <c r="CX33" s="1410">
        <v>0</v>
      </c>
      <c r="CY33" s="1410"/>
      <c r="CZ33" s="1410"/>
      <c r="DA33" s="1410">
        <v>0</v>
      </c>
      <c r="DB33" s="1410"/>
      <c r="DC33" s="1410"/>
      <c r="DD33" s="1410"/>
      <c r="DE33" s="1410">
        <v>0</v>
      </c>
      <c r="DF33" s="1410">
        <v>0</v>
      </c>
      <c r="DG33" s="1410"/>
      <c r="DH33" s="1410"/>
      <c r="DI33" s="1410">
        <v>0</v>
      </c>
      <c r="DJ33" s="1410"/>
      <c r="DK33" s="1410"/>
      <c r="DL33" s="1410">
        <v>0</v>
      </c>
      <c r="DM33" s="1410"/>
      <c r="DN33" s="1410"/>
      <c r="DO33" s="1410"/>
      <c r="DP33" s="1410"/>
      <c r="DQ33" s="1410"/>
      <c r="DR33" s="1410">
        <v>0</v>
      </c>
      <c r="DS33" s="1410"/>
      <c r="DT33" s="1410">
        <v>0</v>
      </c>
      <c r="DU33" s="1410"/>
      <c r="DV33" s="1410"/>
      <c r="DW33" s="1410">
        <v>0</v>
      </c>
      <c r="DX33" s="1410"/>
      <c r="DY33" s="1410"/>
      <c r="DZ33" s="1410"/>
      <c r="EA33" s="1410"/>
      <c r="EB33" s="1410">
        <v>0</v>
      </c>
      <c r="EC33" s="1410"/>
      <c r="ED33" s="1410"/>
      <c r="EE33" s="1410"/>
      <c r="EF33" s="1410">
        <v>0</v>
      </c>
      <c r="EG33" s="1410">
        <v>0</v>
      </c>
      <c r="EH33" s="1410"/>
      <c r="EI33" s="1410"/>
      <c r="EJ33" s="1410">
        <v>0</v>
      </c>
      <c r="EK33" s="1410"/>
      <c r="EL33" s="1410"/>
      <c r="EM33" s="1410">
        <v>0</v>
      </c>
      <c r="EN33" s="1410"/>
      <c r="EO33" s="1410"/>
      <c r="EP33" s="1410"/>
      <c r="EQ33" s="1410"/>
      <c r="ER33" s="1410"/>
      <c r="ES33" s="1410">
        <v>-18933518.193603788</v>
      </c>
      <c r="ET33" s="1410">
        <v>37045237</v>
      </c>
      <c r="EU33" s="1410">
        <v>2498362</v>
      </c>
      <c r="EV33" s="1410">
        <v>34546875</v>
      </c>
      <c r="EW33" s="1410">
        <v>0</v>
      </c>
      <c r="EX33" s="1410"/>
      <c r="EY33" s="1410"/>
      <c r="EZ33" s="1410">
        <v>-52958954.602374993</v>
      </c>
      <c r="FA33" s="1410"/>
      <c r="FB33" s="1410"/>
      <c r="FC33" s="1410">
        <v>-52958954.602374993</v>
      </c>
      <c r="FD33" s="1410">
        <v>-3019800.5912287934</v>
      </c>
      <c r="FE33" s="1410"/>
      <c r="FF33" s="1410">
        <v>55892757.275149956</v>
      </c>
      <c r="FG33" s="1410"/>
      <c r="FH33" s="1410"/>
      <c r="FI33" s="1410"/>
      <c r="FJ33" s="1410"/>
      <c r="FK33" s="1410"/>
      <c r="FL33" s="1410">
        <v>95839550.291546181</v>
      </c>
      <c r="FM33" s="1206">
        <v>0</v>
      </c>
    </row>
    <row r="34" spans="1:169" s="3" customFormat="1" ht="15.6">
      <c r="A34" s="1200"/>
      <c r="B34" s="1208">
        <v>42767</v>
      </c>
      <c r="C34" s="1410">
        <v>58880311.210000008</v>
      </c>
      <c r="D34" s="1410">
        <v>58880311.210000008</v>
      </c>
      <c r="E34" s="1410">
        <v>22900115.673576657</v>
      </c>
      <c r="F34" s="1410">
        <v>35980195.536423348</v>
      </c>
      <c r="G34" s="1410"/>
      <c r="H34" s="1410"/>
      <c r="I34" s="1410"/>
      <c r="J34" s="1410"/>
      <c r="K34" s="1410"/>
      <c r="L34" s="1410"/>
      <c r="M34" s="1410"/>
      <c r="N34" s="1410"/>
      <c r="O34" s="1410"/>
      <c r="P34" s="1410"/>
      <c r="Q34" s="1410">
        <v>0</v>
      </c>
      <c r="R34" s="1410">
        <v>0</v>
      </c>
      <c r="S34" s="1410">
        <v>0</v>
      </c>
      <c r="T34" s="1410"/>
      <c r="U34" s="1410"/>
      <c r="V34" s="1410"/>
      <c r="W34" s="1410">
        <v>0</v>
      </c>
      <c r="X34" s="1410"/>
      <c r="Y34" s="1410"/>
      <c r="Z34" s="1410"/>
      <c r="AA34" s="1410">
        <v>0</v>
      </c>
      <c r="AB34" s="1410"/>
      <c r="AC34" s="1410"/>
      <c r="AD34" s="1410"/>
      <c r="AE34" s="1410">
        <v>0</v>
      </c>
      <c r="AF34" s="1410"/>
      <c r="AG34" s="1410"/>
      <c r="AH34" s="1410"/>
      <c r="AI34" s="1410">
        <v>0</v>
      </c>
      <c r="AJ34" s="1410"/>
      <c r="AK34" s="1410"/>
      <c r="AL34" s="1410"/>
      <c r="AM34" s="1410">
        <v>0</v>
      </c>
      <c r="AN34" s="1410"/>
      <c r="AO34" s="1410"/>
      <c r="AP34" s="1410"/>
      <c r="AQ34" s="1410">
        <v>0</v>
      </c>
      <c r="AR34" s="1410"/>
      <c r="AS34" s="1410"/>
      <c r="AT34" s="1410"/>
      <c r="AU34" s="1410">
        <v>0</v>
      </c>
      <c r="AV34" s="1410"/>
      <c r="AW34" s="1410"/>
      <c r="AX34" s="1410"/>
      <c r="AY34" s="1410">
        <v>0</v>
      </c>
      <c r="AZ34" s="1410"/>
      <c r="BA34" s="1410"/>
      <c r="BB34" s="1410"/>
      <c r="BC34" s="1410">
        <v>0</v>
      </c>
      <c r="BD34" s="1410"/>
      <c r="BE34" s="1410"/>
      <c r="BF34" s="1410"/>
      <c r="BG34" s="1410">
        <v>0</v>
      </c>
      <c r="BH34" s="1410"/>
      <c r="BI34" s="1410"/>
      <c r="BJ34" s="1410"/>
      <c r="BK34" s="1410"/>
      <c r="BL34" s="1410">
        <v>0</v>
      </c>
      <c r="BM34" s="1410">
        <v>0</v>
      </c>
      <c r="BN34" s="1410"/>
      <c r="BO34" s="1410">
        <v>0</v>
      </c>
      <c r="BP34" s="1410"/>
      <c r="BQ34" s="1410"/>
      <c r="BR34" s="1410"/>
      <c r="BS34" s="1410"/>
      <c r="BT34" s="1410">
        <v>0</v>
      </c>
      <c r="BU34" s="1410"/>
      <c r="BV34" s="1410">
        <v>0</v>
      </c>
      <c r="BW34" s="1410"/>
      <c r="BX34" s="1410"/>
      <c r="BY34" s="1410"/>
      <c r="BZ34" s="1410"/>
      <c r="CA34" s="1410">
        <v>0</v>
      </c>
      <c r="CB34" s="1410"/>
      <c r="CC34" s="1410">
        <v>0</v>
      </c>
      <c r="CD34" s="1410"/>
      <c r="CE34" s="1410"/>
      <c r="CF34" s="1410"/>
      <c r="CG34" s="1410"/>
      <c r="CH34" s="1410"/>
      <c r="CI34" s="1410">
        <v>0</v>
      </c>
      <c r="CJ34" s="1410"/>
      <c r="CK34" s="1410"/>
      <c r="CL34" s="1410"/>
      <c r="CM34" s="1410"/>
      <c r="CN34" s="1410"/>
      <c r="CO34" s="1410">
        <v>0</v>
      </c>
      <c r="CP34" s="1410"/>
      <c r="CQ34" s="1410"/>
      <c r="CR34" s="1410"/>
      <c r="CS34" s="1410"/>
      <c r="CT34" s="1410">
        <v>0</v>
      </c>
      <c r="CU34" s="1410">
        <v>0</v>
      </c>
      <c r="CV34" s="1410"/>
      <c r="CW34" s="1410"/>
      <c r="CX34" s="1410">
        <v>0</v>
      </c>
      <c r="CY34" s="1410"/>
      <c r="CZ34" s="1410"/>
      <c r="DA34" s="1410">
        <v>0</v>
      </c>
      <c r="DB34" s="1410"/>
      <c r="DC34" s="1410"/>
      <c r="DD34" s="1410"/>
      <c r="DE34" s="1410">
        <v>0</v>
      </c>
      <c r="DF34" s="1410">
        <v>0</v>
      </c>
      <c r="DG34" s="1410"/>
      <c r="DH34" s="1410"/>
      <c r="DI34" s="1410">
        <v>0</v>
      </c>
      <c r="DJ34" s="1410"/>
      <c r="DK34" s="1410"/>
      <c r="DL34" s="1410">
        <v>0</v>
      </c>
      <c r="DM34" s="1410"/>
      <c r="DN34" s="1410"/>
      <c r="DO34" s="1410"/>
      <c r="DP34" s="1410"/>
      <c r="DQ34" s="1410"/>
      <c r="DR34" s="1410">
        <v>0</v>
      </c>
      <c r="DS34" s="1410"/>
      <c r="DT34" s="1410">
        <v>0</v>
      </c>
      <c r="DU34" s="1410"/>
      <c r="DV34" s="1410"/>
      <c r="DW34" s="1410">
        <v>0</v>
      </c>
      <c r="DX34" s="1410"/>
      <c r="DY34" s="1410"/>
      <c r="DZ34" s="1410"/>
      <c r="EA34" s="1410"/>
      <c r="EB34" s="1410">
        <v>0</v>
      </c>
      <c r="EC34" s="1410"/>
      <c r="ED34" s="1410"/>
      <c r="EE34" s="1410"/>
      <c r="EF34" s="1410">
        <v>0</v>
      </c>
      <c r="EG34" s="1410">
        <v>0</v>
      </c>
      <c r="EH34" s="1410"/>
      <c r="EI34" s="1410"/>
      <c r="EJ34" s="1410">
        <v>0</v>
      </c>
      <c r="EK34" s="1410"/>
      <c r="EL34" s="1410"/>
      <c r="EM34" s="1410">
        <v>0</v>
      </c>
      <c r="EN34" s="1410"/>
      <c r="EO34" s="1410"/>
      <c r="EP34" s="1410"/>
      <c r="EQ34" s="1410"/>
      <c r="ER34" s="1410"/>
      <c r="ES34" s="1410">
        <v>-19020214</v>
      </c>
      <c r="ET34" s="1410">
        <v>37045237</v>
      </c>
      <c r="EU34" s="1410">
        <v>2498362</v>
      </c>
      <c r="EV34" s="1410">
        <v>34546875</v>
      </c>
      <c r="EW34" s="1410">
        <v>0</v>
      </c>
      <c r="EX34" s="1410"/>
      <c r="EY34" s="1410"/>
      <c r="EZ34" s="1410">
        <v>-52958955</v>
      </c>
      <c r="FA34" s="1410"/>
      <c r="FB34" s="1410"/>
      <c r="FC34" s="1410">
        <v>-52958955</v>
      </c>
      <c r="FD34" s="1410">
        <v>-3106496</v>
      </c>
      <c r="FE34" s="1410"/>
      <c r="FF34" s="1410">
        <v>55892758.351546168</v>
      </c>
      <c r="FG34" s="1410"/>
      <c r="FH34" s="1410"/>
      <c r="FI34" s="1410"/>
      <c r="FJ34" s="1410"/>
      <c r="FK34" s="1410"/>
      <c r="FL34" s="1410">
        <v>95752855.561546177</v>
      </c>
      <c r="FM34" s="1206">
        <v>0</v>
      </c>
    </row>
    <row r="35" spans="1:169" s="3" customFormat="1" ht="15.6">
      <c r="A35" s="1200"/>
      <c r="B35" s="1208">
        <v>42795</v>
      </c>
      <c r="C35" s="1410">
        <v>58880311.210000008</v>
      </c>
      <c r="D35" s="1410">
        <v>58880311.210000008</v>
      </c>
      <c r="E35" s="1410">
        <v>22900115.673576657</v>
      </c>
      <c r="F35" s="1410">
        <v>35980195.536423348</v>
      </c>
      <c r="G35" s="1410"/>
      <c r="H35" s="1410"/>
      <c r="I35" s="1410"/>
      <c r="J35" s="1410"/>
      <c r="K35" s="1410"/>
      <c r="L35" s="1410"/>
      <c r="M35" s="1410"/>
      <c r="N35" s="1410"/>
      <c r="O35" s="1410"/>
      <c r="P35" s="1410"/>
      <c r="Q35" s="1410">
        <v>0</v>
      </c>
      <c r="R35" s="1410">
        <v>0</v>
      </c>
      <c r="S35" s="1410">
        <v>0</v>
      </c>
      <c r="T35" s="1410"/>
      <c r="U35" s="1410"/>
      <c r="V35" s="1410"/>
      <c r="W35" s="1410">
        <v>0</v>
      </c>
      <c r="X35" s="1410"/>
      <c r="Y35" s="1410"/>
      <c r="Z35" s="1410"/>
      <c r="AA35" s="1410">
        <v>0</v>
      </c>
      <c r="AB35" s="1410"/>
      <c r="AC35" s="1410"/>
      <c r="AD35" s="1410"/>
      <c r="AE35" s="1410">
        <v>0</v>
      </c>
      <c r="AF35" s="1410"/>
      <c r="AG35" s="1410"/>
      <c r="AH35" s="1410"/>
      <c r="AI35" s="1410">
        <v>0</v>
      </c>
      <c r="AJ35" s="1410"/>
      <c r="AK35" s="1410"/>
      <c r="AL35" s="1410"/>
      <c r="AM35" s="1410">
        <v>0</v>
      </c>
      <c r="AN35" s="1410"/>
      <c r="AO35" s="1410"/>
      <c r="AP35" s="1410"/>
      <c r="AQ35" s="1410">
        <v>0</v>
      </c>
      <c r="AR35" s="1410"/>
      <c r="AS35" s="1410"/>
      <c r="AT35" s="1410"/>
      <c r="AU35" s="1410">
        <v>0</v>
      </c>
      <c r="AV35" s="1410"/>
      <c r="AW35" s="1410"/>
      <c r="AX35" s="1410"/>
      <c r="AY35" s="1410">
        <v>0</v>
      </c>
      <c r="AZ35" s="1410"/>
      <c r="BA35" s="1410"/>
      <c r="BB35" s="1410"/>
      <c r="BC35" s="1410">
        <v>0</v>
      </c>
      <c r="BD35" s="1410"/>
      <c r="BE35" s="1410"/>
      <c r="BF35" s="1410"/>
      <c r="BG35" s="1410">
        <v>0</v>
      </c>
      <c r="BH35" s="1410"/>
      <c r="BI35" s="1410"/>
      <c r="BJ35" s="1410"/>
      <c r="BK35" s="1410"/>
      <c r="BL35" s="1410">
        <v>0</v>
      </c>
      <c r="BM35" s="1410">
        <v>0</v>
      </c>
      <c r="BN35" s="1410"/>
      <c r="BO35" s="1410">
        <v>0</v>
      </c>
      <c r="BP35" s="1410"/>
      <c r="BQ35" s="1410"/>
      <c r="BR35" s="1410"/>
      <c r="BS35" s="1410"/>
      <c r="BT35" s="1410">
        <v>0</v>
      </c>
      <c r="BU35" s="1410"/>
      <c r="BV35" s="1410">
        <v>0</v>
      </c>
      <c r="BW35" s="1410"/>
      <c r="BX35" s="1410"/>
      <c r="BY35" s="1410"/>
      <c r="BZ35" s="1410"/>
      <c r="CA35" s="1410">
        <v>0</v>
      </c>
      <c r="CB35" s="1410"/>
      <c r="CC35" s="1410">
        <v>0</v>
      </c>
      <c r="CD35" s="1410"/>
      <c r="CE35" s="1410"/>
      <c r="CF35" s="1410"/>
      <c r="CG35" s="1410"/>
      <c r="CH35" s="1410"/>
      <c r="CI35" s="1410">
        <v>0</v>
      </c>
      <c r="CJ35" s="1410"/>
      <c r="CK35" s="1410"/>
      <c r="CL35" s="1410"/>
      <c r="CM35" s="1410"/>
      <c r="CN35" s="1410"/>
      <c r="CO35" s="1410">
        <v>0</v>
      </c>
      <c r="CP35" s="1410"/>
      <c r="CQ35" s="1410"/>
      <c r="CR35" s="1410"/>
      <c r="CS35" s="1410"/>
      <c r="CT35" s="1410">
        <v>0</v>
      </c>
      <c r="CU35" s="1410">
        <v>0</v>
      </c>
      <c r="CV35" s="1410"/>
      <c r="CW35" s="1410"/>
      <c r="CX35" s="1410">
        <v>0</v>
      </c>
      <c r="CY35" s="1410"/>
      <c r="CZ35" s="1410"/>
      <c r="DA35" s="1410">
        <v>0</v>
      </c>
      <c r="DB35" s="1410"/>
      <c r="DC35" s="1410"/>
      <c r="DD35" s="1410"/>
      <c r="DE35" s="1410">
        <v>0</v>
      </c>
      <c r="DF35" s="1410">
        <v>0</v>
      </c>
      <c r="DG35" s="1410"/>
      <c r="DH35" s="1410"/>
      <c r="DI35" s="1410">
        <v>0</v>
      </c>
      <c r="DJ35" s="1410"/>
      <c r="DK35" s="1410"/>
      <c r="DL35" s="1410">
        <v>0</v>
      </c>
      <c r="DM35" s="1410"/>
      <c r="DN35" s="1410"/>
      <c r="DO35" s="1410"/>
      <c r="DP35" s="1410"/>
      <c r="DQ35" s="1410"/>
      <c r="DR35" s="1410">
        <v>0</v>
      </c>
      <c r="DS35" s="1410"/>
      <c r="DT35" s="1410">
        <v>0</v>
      </c>
      <c r="DU35" s="1410"/>
      <c r="DV35" s="1410"/>
      <c r="DW35" s="1410">
        <v>0</v>
      </c>
      <c r="DX35" s="1410"/>
      <c r="DY35" s="1410"/>
      <c r="DZ35" s="1410"/>
      <c r="EA35" s="1410"/>
      <c r="EB35" s="1410">
        <v>0</v>
      </c>
      <c r="EC35" s="1410"/>
      <c r="ED35" s="1410"/>
      <c r="EE35" s="1410"/>
      <c r="EF35" s="1410">
        <v>0</v>
      </c>
      <c r="EG35" s="1410">
        <v>0</v>
      </c>
      <c r="EH35" s="1410"/>
      <c r="EI35" s="1410"/>
      <c r="EJ35" s="1410">
        <v>0</v>
      </c>
      <c r="EK35" s="1410"/>
      <c r="EL35" s="1410"/>
      <c r="EM35" s="1410">
        <v>0</v>
      </c>
      <c r="EN35" s="1410"/>
      <c r="EO35" s="1410"/>
      <c r="EP35" s="1410"/>
      <c r="EQ35" s="1410"/>
      <c r="ER35" s="1410"/>
      <c r="ES35" s="1410">
        <v>-19005807.216303792</v>
      </c>
      <c r="ET35" s="1410">
        <v>37045237</v>
      </c>
      <c r="EU35" s="1410">
        <v>2498362</v>
      </c>
      <c r="EV35" s="1410">
        <v>34546875</v>
      </c>
      <c r="EW35" s="1410">
        <v>0</v>
      </c>
      <c r="EX35" s="1410"/>
      <c r="EY35" s="1410"/>
      <c r="EZ35" s="1410">
        <v>-52944548.625074998</v>
      </c>
      <c r="FA35" s="1410"/>
      <c r="FB35" s="1410"/>
      <c r="FC35" s="1410">
        <v>-52944548.625074998</v>
      </c>
      <c r="FD35" s="1410">
        <v>-3106495.5912287934</v>
      </c>
      <c r="FE35" s="1410"/>
      <c r="FF35" s="1410">
        <v>55892757.297849968</v>
      </c>
      <c r="FG35" s="1410"/>
      <c r="FH35" s="1410"/>
      <c r="FI35" s="1410"/>
      <c r="FJ35" s="1410"/>
      <c r="FK35" s="1410"/>
      <c r="FL35" s="1410">
        <v>95767261.291546181</v>
      </c>
      <c r="FM35" s="1206">
        <v>0</v>
      </c>
    </row>
    <row r="36" spans="1:169" s="3" customFormat="1" ht="15.6">
      <c r="A36" s="1200"/>
      <c r="B36" s="1208">
        <v>42826</v>
      </c>
      <c r="C36" s="1410">
        <v>58880311.210000008</v>
      </c>
      <c r="D36" s="1410">
        <v>58880311.210000008</v>
      </c>
      <c r="E36" s="1410">
        <v>22900115.673576657</v>
      </c>
      <c r="F36" s="1410">
        <v>35980195.536423348</v>
      </c>
      <c r="G36" s="1410"/>
      <c r="H36" s="1410"/>
      <c r="I36" s="1410"/>
      <c r="J36" s="1410"/>
      <c r="K36" s="1410"/>
      <c r="L36" s="1410"/>
      <c r="M36" s="1410"/>
      <c r="N36" s="1410"/>
      <c r="O36" s="1410"/>
      <c r="P36" s="1410"/>
      <c r="Q36" s="1410">
        <v>0</v>
      </c>
      <c r="R36" s="1410">
        <v>0</v>
      </c>
      <c r="S36" s="1410">
        <v>0</v>
      </c>
      <c r="T36" s="1410"/>
      <c r="U36" s="1410"/>
      <c r="V36" s="1410"/>
      <c r="W36" s="1410">
        <v>0</v>
      </c>
      <c r="X36" s="1410"/>
      <c r="Y36" s="1410"/>
      <c r="Z36" s="1410"/>
      <c r="AA36" s="1410">
        <v>0</v>
      </c>
      <c r="AB36" s="1410"/>
      <c r="AC36" s="1410"/>
      <c r="AD36" s="1410"/>
      <c r="AE36" s="1410">
        <v>0</v>
      </c>
      <c r="AF36" s="1410"/>
      <c r="AG36" s="1410"/>
      <c r="AH36" s="1410"/>
      <c r="AI36" s="1410">
        <v>0</v>
      </c>
      <c r="AJ36" s="1410"/>
      <c r="AK36" s="1410"/>
      <c r="AL36" s="1410"/>
      <c r="AM36" s="1410">
        <v>0</v>
      </c>
      <c r="AN36" s="1410"/>
      <c r="AO36" s="1410"/>
      <c r="AP36" s="1410"/>
      <c r="AQ36" s="1410">
        <v>0</v>
      </c>
      <c r="AR36" s="1410"/>
      <c r="AS36" s="1410"/>
      <c r="AT36" s="1410"/>
      <c r="AU36" s="1410">
        <v>0</v>
      </c>
      <c r="AV36" s="1410"/>
      <c r="AW36" s="1410"/>
      <c r="AX36" s="1410"/>
      <c r="AY36" s="1410">
        <v>0</v>
      </c>
      <c r="AZ36" s="1410"/>
      <c r="BA36" s="1410"/>
      <c r="BB36" s="1410"/>
      <c r="BC36" s="1410">
        <v>0</v>
      </c>
      <c r="BD36" s="1410"/>
      <c r="BE36" s="1410"/>
      <c r="BF36" s="1410"/>
      <c r="BG36" s="1410">
        <v>0</v>
      </c>
      <c r="BH36" s="1410"/>
      <c r="BI36" s="1410"/>
      <c r="BJ36" s="1410"/>
      <c r="BK36" s="1410"/>
      <c r="BL36" s="1410">
        <v>0</v>
      </c>
      <c r="BM36" s="1410">
        <v>0</v>
      </c>
      <c r="BN36" s="1410"/>
      <c r="BO36" s="1410">
        <v>0</v>
      </c>
      <c r="BP36" s="1410"/>
      <c r="BQ36" s="1410"/>
      <c r="BR36" s="1410"/>
      <c r="BS36" s="1410"/>
      <c r="BT36" s="1410">
        <v>0</v>
      </c>
      <c r="BU36" s="1410"/>
      <c r="BV36" s="1410">
        <v>0</v>
      </c>
      <c r="BW36" s="1410"/>
      <c r="BX36" s="1410"/>
      <c r="BY36" s="1410"/>
      <c r="BZ36" s="1410"/>
      <c r="CA36" s="1410">
        <v>0</v>
      </c>
      <c r="CB36" s="1410"/>
      <c r="CC36" s="1410">
        <v>0</v>
      </c>
      <c r="CD36" s="1410"/>
      <c r="CE36" s="1410"/>
      <c r="CF36" s="1410"/>
      <c r="CG36" s="1410"/>
      <c r="CH36" s="1410"/>
      <c r="CI36" s="1410">
        <v>0</v>
      </c>
      <c r="CJ36" s="1410"/>
      <c r="CK36" s="1410"/>
      <c r="CL36" s="1410"/>
      <c r="CM36" s="1410"/>
      <c r="CN36" s="1410"/>
      <c r="CO36" s="1410">
        <v>0</v>
      </c>
      <c r="CP36" s="1410"/>
      <c r="CQ36" s="1410"/>
      <c r="CR36" s="1410"/>
      <c r="CS36" s="1410"/>
      <c r="CT36" s="1410">
        <v>0</v>
      </c>
      <c r="CU36" s="1410">
        <v>0</v>
      </c>
      <c r="CV36" s="1410"/>
      <c r="CW36" s="1410"/>
      <c r="CX36" s="1410">
        <v>0</v>
      </c>
      <c r="CY36" s="1410"/>
      <c r="CZ36" s="1410"/>
      <c r="DA36" s="1410">
        <v>0</v>
      </c>
      <c r="DB36" s="1410"/>
      <c r="DC36" s="1410"/>
      <c r="DD36" s="1410"/>
      <c r="DE36" s="1410">
        <v>0</v>
      </c>
      <c r="DF36" s="1410">
        <v>0</v>
      </c>
      <c r="DG36" s="1410"/>
      <c r="DH36" s="1410"/>
      <c r="DI36" s="1410">
        <v>0</v>
      </c>
      <c r="DJ36" s="1410"/>
      <c r="DK36" s="1410"/>
      <c r="DL36" s="1410">
        <v>0</v>
      </c>
      <c r="DM36" s="1410"/>
      <c r="DN36" s="1410"/>
      <c r="DO36" s="1410"/>
      <c r="DP36" s="1410"/>
      <c r="DQ36" s="1410"/>
      <c r="DR36" s="1410">
        <v>0</v>
      </c>
      <c r="DS36" s="1410"/>
      <c r="DT36" s="1410">
        <v>0</v>
      </c>
      <c r="DU36" s="1410"/>
      <c r="DV36" s="1410"/>
      <c r="DW36" s="1410">
        <v>0</v>
      </c>
      <c r="DX36" s="1410"/>
      <c r="DY36" s="1410"/>
      <c r="DZ36" s="1410"/>
      <c r="EA36" s="1410"/>
      <c r="EB36" s="1410">
        <v>0</v>
      </c>
      <c r="EC36" s="1410"/>
      <c r="ED36" s="1410"/>
      <c r="EE36" s="1410"/>
      <c r="EF36" s="1410">
        <v>0</v>
      </c>
      <c r="EG36" s="1410">
        <v>0</v>
      </c>
      <c r="EH36" s="1410"/>
      <c r="EI36" s="1410"/>
      <c r="EJ36" s="1410">
        <v>0</v>
      </c>
      <c r="EK36" s="1410"/>
      <c r="EL36" s="1410"/>
      <c r="EM36" s="1410">
        <v>0</v>
      </c>
      <c r="EN36" s="1410"/>
      <c r="EO36" s="1410"/>
      <c r="EP36" s="1410"/>
      <c r="EQ36" s="1410"/>
      <c r="ER36" s="1410"/>
      <c r="ES36" s="1410">
        <v>-18919113</v>
      </c>
      <c r="ET36" s="1410">
        <v>37045237</v>
      </c>
      <c r="EU36" s="1410">
        <v>2498362</v>
      </c>
      <c r="EV36" s="1410">
        <v>34546875</v>
      </c>
      <c r="EW36" s="1410">
        <v>0</v>
      </c>
      <c r="EX36" s="1410"/>
      <c r="EY36" s="1410"/>
      <c r="EZ36" s="1410">
        <v>-52857854</v>
      </c>
      <c r="FA36" s="1410"/>
      <c r="FB36" s="1410"/>
      <c r="FC36" s="1410">
        <v>-52857854</v>
      </c>
      <c r="FD36" s="1410">
        <v>-3106496</v>
      </c>
      <c r="FE36" s="1410"/>
      <c r="FF36" s="1410">
        <v>55892758.110096171</v>
      </c>
      <c r="FG36" s="1410"/>
      <c r="FH36" s="1410"/>
      <c r="FI36" s="1410"/>
      <c r="FJ36" s="1410"/>
      <c r="FK36" s="1410"/>
      <c r="FL36" s="1410">
        <v>95853956.32009618</v>
      </c>
      <c r="FM36" s="1206">
        <v>0</v>
      </c>
    </row>
    <row r="37" spans="1:169" s="3" customFormat="1" ht="15.6">
      <c r="A37" s="1200"/>
      <c r="B37" s="1208">
        <v>42856</v>
      </c>
      <c r="C37" s="1410">
        <v>58880311.210000008</v>
      </c>
      <c r="D37" s="1410">
        <v>58880311.210000008</v>
      </c>
      <c r="E37" s="1410">
        <v>22900115.673576657</v>
      </c>
      <c r="F37" s="1410">
        <v>35980195.536423348</v>
      </c>
      <c r="G37" s="1410"/>
      <c r="H37" s="1410"/>
      <c r="I37" s="1410"/>
      <c r="J37" s="1410"/>
      <c r="K37" s="1410"/>
      <c r="L37" s="1410"/>
      <c r="M37" s="1410"/>
      <c r="N37" s="1410"/>
      <c r="O37" s="1410"/>
      <c r="P37" s="1410"/>
      <c r="Q37" s="1410">
        <v>0</v>
      </c>
      <c r="R37" s="1410">
        <v>0</v>
      </c>
      <c r="S37" s="1410">
        <v>0</v>
      </c>
      <c r="T37" s="1410"/>
      <c r="U37" s="1410"/>
      <c r="V37" s="1410"/>
      <c r="W37" s="1410">
        <v>0</v>
      </c>
      <c r="X37" s="1410"/>
      <c r="Y37" s="1410"/>
      <c r="Z37" s="1410"/>
      <c r="AA37" s="1410">
        <v>0</v>
      </c>
      <c r="AB37" s="1410"/>
      <c r="AC37" s="1410"/>
      <c r="AD37" s="1410"/>
      <c r="AE37" s="1410">
        <v>0</v>
      </c>
      <c r="AF37" s="1410"/>
      <c r="AG37" s="1410"/>
      <c r="AH37" s="1410"/>
      <c r="AI37" s="1410">
        <v>0</v>
      </c>
      <c r="AJ37" s="1410"/>
      <c r="AK37" s="1410"/>
      <c r="AL37" s="1410"/>
      <c r="AM37" s="1410">
        <v>0</v>
      </c>
      <c r="AN37" s="1410"/>
      <c r="AO37" s="1410"/>
      <c r="AP37" s="1410"/>
      <c r="AQ37" s="1410">
        <v>0</v>
      </c>
      <c r="AR37" s="1410"/>
      <c r="AS37" s="1410"/>
      <c r="AT37" s="1410"/>
      <c r="AU37" s="1410">
        <v>0</v>
      </c>
      <c r="AV37" s="1410"/>
      <c r="AW37" s="1410"/>
      <c r="AX37" s="1410"/>
      <c r="AY37" s="1410">
        <v>0</v>
      </c>
      <c r="AZ37" s="1410"/>
      <c r="BA37" s="1410"/>
      <c r="BB37" s="1410"/>
      <c r="BC37" s="1410">
        <v>0</v>
      </c>
      <c r="BD37" s="1410"/>
      <c r="BE37" s="1410"/>
      <c r="BF37" s="1410"/>
      <c r="BG37" s="1410">
        <v>0</v>
      </c>
      <c r="BH37" s="1410"/>
      <c r="BI37" s="1410"/>
      <c r="BJ37" s="1410"/>
      <c r="BK37" s="1410"/>
      <c r="BL37" s="1410">
        <v>0</v>
      </c>
      <c r="BM37" s="1410">
        <v>0</v>
      </c>
      <c r="BN37" s="1410"/>
      <c r="BO37" s="1410">
        <v>0</v>
      </c>
      <c r="BP37" s="1410"/>
      <c r="BQ37" s="1410"/>
      <c r="BR37" s="1410"/>
      <c r="BS37" s="1410"/>
      <c r="BT37" s="1410">
        <v>0</v>
      </c>
      <c r="BU37" s="1410"/>
      <c r="BV37" s="1410">
        <v>0</v>
      </c>
      <c r="BW37" s="1410"/>
      <c r="BX37" s="1410"/>
      <c r="BY37" s="1410"/>
      <c r="BZ37" s="1410"/>
      <c r="CA37" s="1410">
        <v>0</v>
      </c>
      <c r="CB37" s="1410"/>
      <c r="CC37" s="1410">
        <v>0</v>
      </c>
      <c r="CD37" s="1410"/>
      <c r="CE37" s="1410"/>
      <c r="CF37" s="1410"/>
      <c r="CG37" s="1410"/>
      <c r="CH37" s="1410"/>
      <c r="CI37" s="1410">
        <v>0</v>
      </c>
      <c r="CJ37" s="1410"/>
      <c r="CK37" s="1410"/>
      <c r="CL37" s="1410"/>
      <c r="CM37" s="1410"/>
      <c r="CN37" s="1410"/>
      <c r="CO37" s="1410">
        <v>0</v>
      </c>
      <c r="CP37" s="1410"/>
      <c r="CQ37" s="1410"/>
      <c r="CR37" s="1410"/>
      <c r="CS37" s="1410"/>
      <c r="CT37" s="1410">
        <v>0</v>
      </c>
      <c r="CU37" s="1410">
        <v>0</v>
      </c>
      <c r="CV37" s="1410"/>
      <c r="CW37" s="1410"/>
      <c r="CX37" s="1410">
        <v>0</v>
      </c>
      <c r="CY37" s="1410"/>
      <c r="CZ37" s="1410"/>
      <c r="DA37" s="1410">
        <v>0</v>
      </c>
      <c r="DB37" s="1410"/>
      <c r="DC37" s="1410"/>
      <c r="DD37" s="1410"/>
      <c r="DE37" s="1410">
        <v>0</v>
      </c>
      <c r="DF37" s="1410">
        <v>0</v>
      </c>
      <c r="DG37" s="1410"/>
      <c r="DH37" s="1410"/>
      <c r="DI37" s="1410">
        <v>0</v>
      </c>
      <c r="DJ37" s="1410"/>
      <c r="DK37" s="1410"/>
      <c r="DL37" s="1410">
        <v>0</v>
      </c>
      <c r="DM37" s="1410"/>
      <c r="DN37" s="1410"/>
      <c r="DO37" s="1410"/>
      <c r="DP37" s="1410"/>
      <c r="DQ37" s="1410"/>
      <c r="DR37" s="1410">
        <v>0</v>
      </c>
      <c r="DS37" s="1410"/>
      <c r="DT37" s="1410">
        <v>0</v>
      </c>
      <c r="DU37" s="1410"/>
      <c r="DV37" s="1410"/>
      <c r="DW37" s="1410">
        <v>0</v>
      </c>
      <c r="DX37" s="1410"/>
      <c r="DY37" s="1410"/>
      <c r="DZ37" s="1410"/>
      <c r="EA37" s="1410"/>
      <c r="EB37" s="1410">
        <v>0</v>
      </c>
      <c r="EC37" s="1410"/>
      <c r="ED37" s="1410"/>
      <c r="EE37" s="1410"/>
      <c r="EF37" s="1410">
        <v>0</v>
      </c>
      <c r="EG37" s="1410">
        <v>0</v>
      </c>
      <c r="EH37" s="1410"/>
      <c r="EI37" s="1410"/>
      <c r="EJ37" s="1410">
        <v>0</v>
      </c>
      <c r="EK37" s="1410"/>
      <c r="EL37" s="1410"/>
      <c r="EM37" s="1410">
        <v>0</v>
      </c>
      <c r="EN37" s="1410"/>
      <c r="EO37" s="1410"/>
      <c r="EP37" s="1410"/>
      <c r="EQ37" s="1410"/>
      <c r="ER37" s="1410"/>
      <c r="ES37" s="1410">
        <v>-14755761.847034482</v>
      </c>
      <c r="ET37" s="1410">
        <v>37045237</v>
      </c>
      <c r="EU37" s="1410">
        <v>2498362</v>
      </c>
      <c r="EV37" s="1410">
        <v>34546875</v>
      </c>
      <c r="EW37" s="1410">
        <v>0</v>
      </c>
      <c r="EX37" s="1410"/>
      <c r="EY37" s="1410"/>
      <c r="EZ37" s="1410">
        <v>-52235236.218374975</v>
      </c>
      <c r="FA37" s="1410"/>
      <c r="FB37" s="1410"/>
      <c r="FC37" s="1410">
        <v>-52235236.218374975</v>
      </c>
      <c r="FD37" s="1410">
        <v>434237.37134049227</v>
      </c>
      <c r="FE37" s="1410"/>
      <c r="FF37" s="1410">
        <v>51892757.424362943</v>
      </c>
      <c r="FG37" s="1410"/>
      <c r="FH37" s="1410"/>
      <c r="FI37" s="1410"/>
      <c r="FJ37" s="1410"/>
      <c r="FK37" s="1410"/>
      <c r="FL37" s="1410">
        <v>96017306.787328467</v>
      </c>
      <c r="FM37" s="1206">
        <v>0</v>
      </c>
    </row>
    <row r="38" spans="1:169" s="949" customFormat="1" ht="15.6">
      <c r="B38" s="1208">
        <v>42887</v>
      </c>
      <c r="C38" s="1410">
        <v>58880311.210000008</v>
      </c>
      <c r="D38" s="1410">
        <v>58880311.210000008</v>
      </c>
      <c r="E38" s="1410">
        <v>22900115.673576657</v>
      </c>
      <c r="F38" s="1410">
        <v>35980195.536423348</v>
      </c>
      <c r="G38" s="1410"/>
      <c r="H38" s="1410"/>
      <c r="I38" s="1410"/>
      <c r="J38" s="1410"/>
      <c r="K38" s="1410"/>
      <c r="L38" s="1410"/>
      <c r="M38" s="1410"/>
      <c r="N38" s="1410"/>
      <c r="O38" s="1410"/>
      <c r="P38" s="1410"/>
      <c r="Q38" s="1410">
        <v>0</v>
      </c>
      <c r="R38" s="1410">
        <v>0</v>
      </c>
      <c r="S38" s="1410">
        <v>0</v>
      </c>
      <c r="T38" s="1410"/>
      <c r="U38" s="1410"/>
      <c r="V38" s="1410"/>
      <c r="W38" s="1410">
        <v>0</v>
      </c>
      <c r="X38" s="1410"/>
      <c r="Y38" s="1410"/>
      <c r="Z38" s="1410"/>
      <c r="AA38" s="1410">
        <v>0</v>
      </c>
      <c r="AB38" s="1410"/>
      <c r="AC38" s="1410"/>
      <c r="AD38" s="1410"/>
      <c r="AE38" s="1410">
        <v>0</v>
      </c>
      <c r="AF38" s="1410"/>
      <c r="AG38" s="1410"/>
      <c r="AH38" s="1410"/>
      <c r="AI38" s="1410">
        <v>0</v>
      </c>
      <c r="AJ38" s="1410"/>
      <c r="AK38" s="1410"/>
      <c r="AL38" s="1410"/>
      <c r="AM38" s="1410">
        <v>0</v>
      </c>
      <c r="AN38" s="1410"/>
      <c r="AO38" s="1410"/>
      <c r="AP38" s="1410"/>
      <c r="AQ38" s="1410">
        <v>0</v>
      </c>
      <c r="AR38" s="1410"/>
      <c r="AS38" s="1410"/>
      <c r="AT38" s="1410"/>
      <c r="AU38" s="1410">
        <v>0</v>
      </c>
      <c r="AV38" s="1410"/>
      <c r="AW38" s="1410"/>
      <c r="AX38" s="1410"/>
      <c r="AY38" s="1410">
        <v>0</v>
      </c>
      <c r="AZ38" s="1410"/>
      <c r="BA38" s="1410"/>
      <c r="BB38" s="1410"/>
      <c r="BC38" s="1410">
        <v>0</v>
      </c>
      <c r="BD38" s="1410"/>
      <c r="BE38" s="1410"/>
      <c r="BF38" s="1410"/>
      <c r="BG38" s="1410">
        <v>0</v>
      </c>
      <c r="BH38" s="1410"/>
      <c r="BI38" s="1410"/>
      <c r="BJ38" s="1410"/>
      <c r="BK38" s="1410"/>
      <c r="BL38" s="1410">
        <v>0</v>
      </c>
      <c r="BM38" s="1410">
        <v>0</v>
      </c>
      <c r="BN38" s="1410"/>
      <c r="BO38" s="1410">
        <v>0</v>
      </c>
      <c r="BP38" s="1410"/>
      <c r="BQ38" s="1410"/>
      <c r="BR38" s="1410"/>
      <c r="BS38" s="1410"/>
      <c r="BT38" s="1410">
        <v>0</v>
      </c>
      <c r="BU38" s="1410"/>
      <c r="BV38" s="1410">
        <v>0</v>
      </c>
      <c r="BW38" s="1410"/>
      <c r="BX38" s="1410"/>
      <c r="BY38" s="1410"/>
      <c r="BZ38" s="1410"/>
      <c r="CA38" s="1410">
        <v>0</v>
      </c>
      <c r="CB38" s="1410"/>
      <c r="CC38" s="1410">
        <v>0</v>
      </c>
      <c r="CD38" s="1410"/>
      <c r="CE38" s="1410"/>
      <c r="CF38" s="1410"/>
      <c r="CG38" s="1410"/>
      <c r="CH38" s="1410"/>
      <c r="CI38" s="1410">
        <v>0</v>
      </c>
      <c r="CJ38" s="1410"/>
      <c r="CK38" s="1410"/>
      <c r="CL38" s="1410"/>
      <c r="CM38" s="1410"/>
      <c r="CN38" s="1410"/>
      <c r="CO38" s="1410">
        <v>0</v>
      </c>
      <c r="CP38" s="1410"/>
      <c r="CQ38" s="1410"/>
      <c r="CR38" s="1410"/>
      <c r="CS38" s="1410"/>
      <c r="CT38" s="1410">
        <v>0</v>
      </c>
      <c r="CU38" s="1410">
        <v>0</v>
      </c>
      <c r="CV38" s="1410"/>
      <c r="CW38" s="1410"/>
      <c r="CX38" s="1410">
        <v>0</v>
      </c>
      <c r="CY38" s="1410"/>
      <c r="CZ38" s="1410"/>
      <c r="DA38" s="1410">
        <v>0</v>
      </c>
      <c r="DB38" s="1410"/>
      <c r="DC38" s="1410"/>
      <c r="DD38" s="1410"/>
      <c r="DE38" s="1410">
        <v>0</v>
      </c>
      <c r="DF38" s="1410">
        <v>0</v>
      </c>
      <c r="DG38" s="1410"/>
      <c r="DH38" s="1410"/>
      <c r="DI38" s="1410">
        <v>0</v>
      </c>
      <c r="DJ38" s="1410"/>
      <c r="DK38" s="1410"/>
      <c r="DL38" s="1410">
        <v>0</v>
      </c>
      <c r="DM38" s="1410"/>
      <c r="DN38" s="1410"/>
      <c r="DO38" s="1410"/>
      <c r="DP38" s="1410"/>
      <c r="DQ38" s="1410"/>
      <c r="DR38" s="1410">
        <v>0</v>
      </c>
      <c r="DS38" s="1410"/>
      <c r="DT38" s="1410">
        <v>0</v>
      </c>
      <c r="DU38" s="1410"/>
      <c r="DV38" s="1410"/>
      <c r="DW38" s="1410">
        <v>0</v>
      </c>
      <c r="DX38" s="1410"/>
      <c r="DY38" s="1410"/>
      <c r="DZ38" s="1410"/>
      <c r="EA38" s="1410"/>
      <c r="EB38" s="1410">
        <v>0</v>
      </c>
      <c r="EC38" s="1410"/>
      <c r="ED38" s="1410"/>
      <c r="EE38" s="1410"/>
      <c r="EF38" s="1410">
        <v>0</v>
      </c>
      <c r="EG38" s="1410">
        <v>0</v>
      </c>
      <c r="EH38" s="1410"/>
      <c r="EI38" s="1410"/>
      <c r="EJ38" s="1410">
        <v>0</v>
      </c>
      <c r="EK38" s="1410"/>
      <c r="EL38" s="1410"/>
      <c r="EM38" s="1410">
        <v>0</v>
      </c>
      <c r="EN38" s="1410"/>
      <c r="EO38" s="1410"/>
      <c r="EP38" s="1410"/>
      <c r="EQ38" s="1410"/>
      <c r="ER38" s="1410"/>
      <c r="ES38" s="1410">
        <v>-14755761.847034482</v>
      </c>
      <c r="ET38" s="1410">
        <v>37045237</v>
      </c>
      <c r="EU38" s="1410">
        <v>2498362</v>
      </c>
      <c r="EV38" s="1410">
        <v>34546875</v>
      </c>
      <c r="EW38" s="1410">
        <v>0</v>
      </c>
      <c r="EX38" s="1410"/>
      <c r="EY38" s="1410"/>
      <c r="EZ38" s="1410">
        <v>-52235236.218374975</v>
      </c>
      <c r="FA38" s="1410"/>
      <c r="FB38" s="1410"/>
      <c r="FC38" s="1410">
        <v>-52235236.218374975</v>
      </c>
      <c r="FD38" s="1410">
        <v>434237.37134049227</v>
      </c>
      <c r="FE38" s="1410"/>
      <c r="FF38" s="1410">
        <v>51921008.424362943</v>
      </c>
      <c r="FG38" s="1410"/>
      <c r="FH38" s="1410"/>
      <c r="FI38" s="1410"/>
      <c r="FJ38" s="1410"/>
      <c r="FK38" s="1410"/>
      <c r="FL38" s="1410">
        <v>96045557.787328467</v>
      </c>
      <c r="FM38" s="1206">
        <v>0</v>
      </c>
    </row>
    <row r="39" spans="1:169" s="1362" customFormat="1">
      <c r="B39" s="1368">
        <v>42917</v>
      </c>
      <c r="C39" s="1415">
        <v>58880311.210000008</v>
      </c>
      <c r="D39" s="1415">
        <v>58880311.210000008</v>
      </c>
      <c r="E39" s="1415">
        <v>22900115.673576657</v>
      </c>
      <c r="F39" s="1415">
        <v>35980195.536423348</v>
      </c>
      <c r="G39" s="1415"/>
      <c r="H39" s="1415"/>
      <c r="I39" s="1415"/>
      <c r="J39" s="1415"/>
      <c r="K39" s="1415"/>
      <c r="L39" s="1415"/>
      <c r="M39" s="1415"/>
      <c r="N39" s="1415"/>
      <c r="O39" s="1415"/>
      <c r="P39" s="1415"/>
      <c r="Q39" s="1415">
        <v>0</v>
      </c>
      <c r="R39" s="1415">
        <v>0</v>
      </c>
      <c r="S39" s="1415">
        <v>0</v>
      </c>
      <c r="T39" s="1415"/>
      <c r="U39" s="1415"/>
      <c r="V39" s="1415"/>
      <c r="W39" s="1415">
        <v>0</v>
      </c>
      <c r="X39" s="1415"/>
      <c r="Y39" s="1415"/>
      <c r="Z39" s="1415"/>
      <c r="AA39" s="1415">
        <v>0</v>
      </c>
      <c r="AB39" s="1415"/>
      <c r="AC39" s="1415"/>
      <c r="AD39" s="1415"/>
      <c r="AE39" s="1415">
        <v>0</v>
      </c>
      <c r="AF39" s="1415"/>
      <c r="AG39" s="1415"/>
      <c r="AH39" s="1415"/>
      <c r="AI39" s="1415">
        <v>0</v>
      </c>
      <c r="AJ39" s="1415"/>
      <c r="AK39" s="1415"/>
      <c r="AL39" s="1415"/>
      <c r="AM39" s="1415">
        <v>0</v>
      </c>
      <c r="AN39" s="1415"/>
      <c r="AO39" s="1415"/>
      <c r="AP39" s="1415"/>
      <c r="AQ39" s="1415">
        <v>0</v>
      </c>
      <c r="AR39" s="1415"/>
      <c r="AS39" s="1415"/>
      <c r="AT39" s="1415"/>
      <c r="AU39" s="1415">
        <v>0</v>
      </c>
      <c r="AV39" s="1415"/>
      <c r="AW39" s="1415"/>
      <c r="AX39" s="1415"/>
      <c r="AY39" s="1415">
        <v>0</v>
      </c>
      <c r="AZ39" s="1415"/>
      <c r="BA39" s="1415"/>
      <c r="BB39" s="1415"/>
      <c r="BC39" s="1415">
        <v>0</v>
      </c>
      <c r="BD39" s="1415"/>
      <c r="BE39" s="1415"/>
      <c r="BF39" s="1415"/>
      <c r="BG39" s="1415">
        <v>0</v>
      </c>
      <c r="BH39" s="1415"/>
      <c r="BI39" s="1415"/>
      <c r="BJ39" s="1415"/>
      <c r="BK39" s="1415"/>
      <c r="BL39" s="1415">
        <v>0</v>
      </c>
      <c r="BM39" s="1415">
        <v>0</v>
      </c>
      <c r="BN39" s="1415"/>
      <c r="BO39" s="1415">
        <v>0</v>
      </c>
      <c r="BP39" s="1415"/>
      <c r="BQ39" s="1415"/>
      <c r="BR39" s="1415"/>
      <c r="BS39" s="1415"/>
      <c r="BT39" s="1415">
        <v>0</v>
      </c>
      <c r="BU39" s="1415"/>
      <c r="BV39" s="1415">
        <v>0</v>
      </c>
      <c r="BW39" s="1415"/>
      <c r="BX39" s="1415"/>
      <c r="BY39" s="1415"/>
      <c r="BZ39" s="1415"/>
      <c r="CA39" s="1415">
        <v>0</v>
      </c>
      <c r="CB39" s="1415"/>
      <c r="CC39" s="1415">
        <v>0</v>
      </c>
      <c r="CD39" s="1415"/>
      <c r="CE39" s="1415"/>
      <c r="CF39" s="1415"/>
      <c r="CG39" s="1415"/>
      <c r="CH39" s="1415"/>
      <c r="CI39" s="1415">
        <v>0</v>
      </c>
      <c r="CJ39" s="1415"/>
      <c r="CK39" s="1415"/>
      <c r="CL39" s="1415"/>
      <c r="CM39" s="1415"/>
      <c r="CN39" s="1415"/>
      <c r="CO39" s="1415">
        <v>0</v>
      </c>
      <c r="CP39" s="1415"/>
      <c r="CQ39" s="1415"/>
      <c r="CR39" s="1415"/>
      <c r="CS39" s="1415"/>
      <c r="CT39" s="1415">
        <v>0</v>
      </c>
      <c r="CU39" s="1415">
        <v>0</v>
      </c>
      <c r="CV39" s="1415"/>
      <c r="CW39" s="1415"/>
      <c r="CX39" s="1415">
        <v>0</v>
      </c>
      <c r="CY39" s="1415"/>
      <c r="CZ39" s="1415"/>
      <c r="DA39" s="1415">
        <v>0</v>
      </c>
      <c r="DB39" s="1415"/>
      <c r="DC39" s="1415"/>
      <c r="DD39" s="1415"/>
      <c r="DE39" s="1415">
        <v>0</v>
      </c>
      <c r="DF39" s="1415">
        <v>0</v>
      </c>
      <c r="DG39" s="1415"/>
      <c r="DH39" s="1415"/>
      <c r="DI39" s="1415">
        <v>0</v>
      </c>
      <c r="DJ39" s="1415"/>
      <c r="DK39" s="1415"/>
      <c r="DL39" s="1415">
        <v>0</v>
      </c>
      <c r="DM39" s="1415"/>
      <c r="DN39" s="1415"/>
      <c r="DO39" s="1415"/>
      <c r="DP39" s="1415"/>
      <c r="DQ39" s="1415"/>
      <c r="DR39" s="1415">
        <v>0</v>
      </c>
      <c r="DS39" s="1415"/>
      <c r="DT39" s="1415">
        <v>0</v>
      </c>
      <c r="DU39" s="1415"/>
      <c r="DV39" s="1415"/>
      <c r="DW39" s="1415">
        <v>0</v>
      </c>
      <c r="DX39" s="1415"/>
      <c r="DY39" s="1415"/>
      <c r="DZ39" s="1415"/>
      <c r="EA39" s="1415"/>
      <c r="EB39" s="1415">
        <v>0</v>
      </c>
      <c r="EC39" s="1415"/>
      <c r="ED39" s="1415"/>
      <c r="EE39" s="1415"/>
      <c r="EF39" s="1415">
        <v>0</v>
      </c>
      <c r="EG39" s="1415">
        <v>0</v>
      </c>
      <c r="EH39" s="1415"/>
      <c r="EI39" s="1415"/>
      <c r="EJ39" s="1415">
        <v>0</v>
      </c>
      <c r="EK39" s="1415"/>
      <c r="EL39" s="1415"/>
      <c r="EM39" s="1415">
        <v>0</v>
      </c>
      <c r="EN39" s="1415"/>
      <c r="EO39" s="1415"/>
      <c r="EP39" s="1415"/>
      <c r="EQ39" s="1415"/>
      <c r="ER39" s="1415"/>
      <c r="ES39" s="1415">
        <v>-14755761.847034482</v>
      </c>
      <c r="ET39" s="1415">
        <v>37045237</v>
      </c>
      <c r="EU39" s="1415">
        <v>2498362</v>
      </c>
      <c r="EV39" s="1415">
        <v>34546875</v>
      </c>
      <c r="EW39" s="1415">
        <v>0</v>
      </c>
      <c r="EX39" s="1415"/>
      <c r="EY39" s="1415"/>
      <c r="EZ39" s="1415">
        <v>-52235236.218374975</v>
      </c>
      <c r="FA39" s="1415"/>
      <c r="FB39" s="1415"/>
      <c r="FC39" s="1415">
        <v>-52235236.218374975</v>
      </c>
      <c r="FD39" s="1415">
        <v>434237.37134049227</v>
      </c>
      <c r="FE39" s="1415"/>
      <c r="FF39" s="1415">
        <v>51921008.424362943</v>
      </c>
      <c r="FG39" s="1415"/>
      <c r="FH39" s="1415"/>
      <c r="FI39" s="1415"/>
      <c r="FJ39" s="1415"/>
      <c r="FK39" s="1415"/>
      <c r="FL39" s="1415">
        <v>96045557.787328467</v>
      </c>
      <c r="FM39" s="1369">
        <v>0</v>
      </c>
    </row>
    <row r="40" spans="1:169" s="1366" customFormat="1">
      <c r="B40" s="1368">
        <v>42948</v>
      </c>
      <c r="C40" s="1415">
        <v>58880311.210000008</v>
      </c>
      <c r="D40" s="1415">
        <v>58880311.210000008</v>
      </c>
      <c r="E40" s="1415">
        <v>22900115.673576657</v>
      </c>
      <c r="F40" s="1415">
        <v>35980195.536423348</v>
      </c>
      <c r="G40" s="1415"/>
      <c r="H40" s="1415"/>
      <c r="I40" s="1415"/>
      <c r="J40" s="1415"/>
      <c r="K40" s="1415"/>
      <c r="L40" s="1415"/>
      <c r="M40" s="1415"/>
      <c r="N40" s="1415"/>
      <c r="O40" s="1415"/>
      <c r="P40" s="1415"/>
      <c r="Q40" s="1415">
        <v>0</v>
      </c>
      <c r="R40" s="1415">
        <v>0</v>
      </c>
      <c r="S40" s="1415">
        <v>0</v>
      </c>
      <c r="T40" s="1415"/>
      <c r="U40" s="1415"/>
      <c r="V40" s="1415"/>
      <c r="W40" s="1415">
        <v>0</v>
      </c>
      <c r="X40" s="1415"/>
      <c r="Y40" s="1415"/>
      <c r="Z40" s="1415"/>
      <c r="AA40" s="1415">
        <v>0</v>
      </c>
      <c r="AB40" s="1415"/>
      <c r="AC40" s="1415"/>
      <c r="AD40" s="1415"/>
      <c r="AE40" s="1415">
        <v>0</v>
      </c>
      <c r="AF40" s="1415"/>
      <c r="AG40" s="1415"/>
      <c r="AH40" s="1415"/>
      <c r="AI40" s="1415">
        <v>0</v>
      </c>
      <c r="AJ40" s="1415"/>
      <c r="AK40" s="1415"/>
      <c r="AL40" s="1415"/>
      <c r="AM40" s="1415">
        <v>0</v>
      </c>
      <c r="AN40" s="1415"/>
      <c r="AO40" s="1415"/>
      <c r="AP40" s="1415"/>
      <c r="AQ40" s="1415">
        <v>0</v>
      </c>
      <c r="AR40" s="1415"/>
      <c r="AS40" s="1415"/>
      <c r="AT40" s="1415"/>
      <c r="AU40" s="1415">
        <v>0</v>
      </c>
      <c r="AV40" s="1415"/>
      <c r="AW40" s="1415"/>
      <c r="AX40" s="1415"/>
      <c r="AY40" s="1415">
        <v>0</v>
      </c>
      <c r="AZ40" s="1415"/>
      <c r="BA40" s="1415"/>
      <c r="BB40" s="1415"/>
      <c r="BC40" s="1415">
        <v>0</v>
      </c>
      <c r="BD40" s="1415"/>
      <c r="BE40" s="1415"/>
      <c r="BF40" s="1415"/>
      <c r="BG40" s="1415">
        <v>0</v>
      </c>
      <c r="BH40" s="1415"/>
      <c r="BI40" s="1415"/>
      <c r="BJ40" s="1415"/>
      <c r="BK40" s="1415"/>
      <c r="BL40" s="1415">
        <v>0</v>
      </c>
      <c r="BM40" s="1415">
        <v>0</v>
      </c>
      <c r="BN40" s="1415"/>
      <c r="BO40" s="1415">
        <v>0</v>
      </c>
      <c r="BP40" s="1415"/>
      <c r="BQ40" s="1415"/>
      <c r="BR40" s="1415"/>
      <c r="BS40" s="1415"/>
      <c r="BT40" s="1415">
        <v>0</v>
      </c>
      <c r="BU40" s="1415"/>
      <c r="BV40" s="1415">
        <v>0</v>
      </c>
      <c r="BW40" s="1415"/>
      <c r="BX40" s="1415"/>
      <c r="BY40" s="1415"/>
      <c r="BZ40" s="1415"/>
      <c r="CA40" s="1415">
        <v>0</v>
      </c>
      <c r="CB40" s="1415"/>
      <c r="CC40" s="1415">
        <v>0</v>
      </c>
      <c r="CD40" s="1415"/>
      <c r="CE40" s="1415"/>
      <c r="CF40" s="1415"/>
      <c r="CG40" s="1415"/>
      <c r="CH40" s="1415"/>
      <c r="CI40" s="1415">
        <v>0</v>
      </c>
      <c r="CJ40" s="1415"/>
      <c r="CK40" s="1415"/>
      <c r="CL40" s="1415"/>
      <c r="CM40" s="1415"/>
      <c r="CN40" s="1415"/>
      <c r="CO40" s="1415">
        <v>0</v>
      </c>
      <c r="CP40" s="1415"/>
      <c r="CQ40" s="1415"/>
      <c r="CR40" s="1415"/>
      <c r="CS40" s="1415"/>
      <c r="CT40" s="1415">
        <v>0</v>
      </c>
      <c r="CU40" s="1415">
        <v>0</v>
      </c>
      <c r="CV40" s="1415"/>
      <c r="CW40" s="1415"/>
      <c r="CX40" s="1415">
        <v>0</v>
      </c>
      <c r="CY40" s="1415"/>
      <c r="CZ40" s="1415"/>
      <c r="DA40" s="1415">
        <v>0</v>
      </c>
      <c r="DB40" s="1415"/>
      <c r="DC40" s="1415"/>
      <c r="DD40" s="1415"/>
      <c r="DE40" s="1415">
        <v>0</v>
      </c>
      <c r="DF40" s="1415">
        <v>0</v>
      </c>
      <c r="DG40" s="1415"/>
      <c r="DH40" s="1415"/>
      <c r="DI40" s="1415">
        <v>0</v>
      </c>
      <c r="DJ40" s="1415"/>
      <c r="DK40" s="1415"/>
      <c r="DL40" s="1415">
        <v>0</v>
      </c>
      <c r="DM40" s="1415"/>
      <c r="DN40" s="1415"/>
      <c r="DO40" s="1415"/>
      <c r="DP40" s="1415"/>
      <c r="DQ40" s="1415"/>
      <c r="DR40" s="1415">
        <v>0</v>
      </c>
      <c r="DS40" s="1415"/>
      <c r="DT40" s="1415">
        <v>0</v>
      </c>
      <c r="DU40" s="1415"/>
      <c r="DV40" s="1415"/>
      <c r="DW40" s="1415">
        <v>0</v>
      </c>
      <c r="DX40" s="1415"/>
      <c r="DY40" s="1415"/>
      <c r="DZ40" s="1415"/>
      <c r="EA40" s="1415"/>
      <c r="EB40" s="1415">
        <v>0</v>
      </c>
      <c r="EC40" s="1415"/>
      <c r="ED40" s="1415"/>
      <c r="EE40" s="1415"/>
      <c r="EF40" s="1415">
        <v>0</v>
      </c>
      <c r="EG40" s="1415">
        <v>0</v>
      </c>
      <c r="EH40" s="1415"/>
      <c r="EI40" s="1415"/>
      <c r="EJ40" s="1415">
        <v>0</v>
      </c>
      <c r="EK40" s="1415"/>
      <c r="EL40" s="1415"/>
      <c r="EM40" s="1415">
        <v>0</v>
      </c>
      <c r="EN40" s="1415"/>
      <c r="EO40" s="1415"/>
      <c r="EP40" s="1415"/>
      <c r="EQ40" s="1415"/>
      <c r="ER40" s="1415"/>
      <c r="ES40" s="1415">
        <v>-14580410.202109488</v>
      </c>
      <c r="ET40" s="1415">
        <v>37045237</v>
      </c>
      <c r="EU40" s="1415">
        <v>2498362</v>
      </c>
      <c r="EV40" s="1415">
        <v>34546875</v>
      </c>
      <c r="EW40" s="1415">
        <v>0</v>
      </c>
      <c r="EX40" s="1415"/>
      <c r="EY40" s="1415"/>
      <c r="EZ40" s="1415">
        <v>-52235236.218374975</v>
      </c>
      <c r="FA40" s="1415"/>
      <c r="FB40" s="1415"/>
      <c r="FC40" s="1415">
        <v>-52235236.218374975</v>
      </c>
      <c r="FD40" s="1415">
        <v>609589.0162654873</v>
      </c>
      <c r="FE40" s="1415"/>
      <c r="FF40" s="1415">
        <v>51757912.779749997</v>
      </c>
      <c r="FG40" s="1415"/>
      <c r="FH40" s="1415"/>
      <c r="FI40" s="1415"/>
      <c r="FJ40" s="1415"/>
      <c r="FK40" s="1415"/>
      <c r="FL40" s="1415">
        <v>96057813.787640512</v>
      </c>
      <c r="FM40" s="1369">
        <v>0</v>
      </c>
    </row>
    <row r="41" spans="1:169" s="1366" customFormat="1">
      <c r="B41" s="1368">
        <v>42979</v>
      </c>
      <c r="C41" s="1372">
        <v>60470455.88000001</v>
      </c>
      <c r="D41" s="1372">
        <v>60470455.88000001</v>
      </c>
      <c r="E41" s="1372">
        <v>23518565.137113746</v>
      </c>
      <c r="F41" s="1372">
        <v>36951890.74288626</v>
      </c>
      <c r="G41" s="1372"/>
      <c r="H41" s="1372"/>
      <c r="I41" s="1372"/>
      <c r="J41" s="1372"/>
      <c r="K41" s="1372"/>
      <c r="L41" s="1372"/>
      <c r="M41" s="1372"/>
      <c r="N41" s="1372"/>
      <c r="O41" s="1372"/>
      <c r="P41" s="1372"/>
      <c r="Q41" s="1372">
        <v>0</v>
      </c>
      <c r="R41" s="1372">
        <v>0</v>
      </c>
      <c r="S41" s="1372">
        <v>0</v>
      </c>
      <c r="T41" s="1372"/>
      <c r="U41" s="1372"/>
      <c r="V41" s="1372"/>
      <c r="W41" s="1372">
        <v>0</v>
      </c>
      <c r="X41" s="1372"/>
      <c r="Y41" s="1372"/>
      <c r="Z41" s="1372"/>
      <c r="AA41" s="1372">
        <v>0</v>
      </c>
      <c r="AB41" s="1372"/>
      <c r="AC41" s="1372"/>
      <c r="AD41" s="1372"/>
      <c r="AE41" s="1372">
        <v>0</v>
      </c>
      <c r="AF41" s="1372"/>
      <c r="AG41" s="1372"/>
      <c r="AH41" s="1372"/>
      <c r="AI41" s="1372">
        <v>0</v>
      </c>
      <c r="AJ41" s="1372"/>
      <c r="AK41" s="1372"/>
      <c r="AL41" s="1372"/>
      <c r="AM41" s="1372">
        <v>0</v>
      </c>
      <c r="AN41" s="1372"/>
      <c r="AO41" s="1372"/>
      <c r="AP41" s="1372"/>
      <c r="AQ41" s="1372">
        <v>0</v>
      </c>
      <c r="AR41" s="1372"/>
      <c r="AS41" s="1372"/>
      <c r="AT41" s="1372"/>
      <c r="AU41" s="1372">
        <v>0</v>
      </c>
      <c r="AV41" s="1372"/>
      <c r="AW41" s="1372"/>
      <c r="AX41" s="1372"/>
      <c r="AY41" s="1372">
        <v>0</v>
      </c>
      <c r="AZ41" s="1372"/>
      <c r="BA41" s="1372"/>
      <c r="BB41" s="1372"/>
      <c r="BC41" s="1372">
        <v>0</v>
      </c>
      <c r="BD41" s="1372"/>
      <c r="BE41" s="1372"/>
      <c r="BF41" s="1372"/>
      <c r="BG41" s="1372">
        <v>0</v>
      </c>
      <c r="BH41" s="1372"/>
      <c r="BI41" s="1372"/>
      <c r="BJ41" s="1372"/>
      <c r="BK41" s="1372"/>
      <c r="BL41" s="1372">
        <v>0</v>
      </c>
      <c r="BM41" s="1372">
        <v>0</v>
      </c>
      <c r="BN41" s="1372"/>
      <c r="BO41" s="1372">
        <v>0</v>
      </c>
      <c r="BP41" s="1372"/>
      <c r="BQ41" s="1372"/>
      <c r="BR41" s="1372"/>
      <c r="BS41" s="1372"/>
      <c r="BT41" s="1372">
        <v>0</v>
      </c>
      <c r="BU41" s="1372"/>
      <c r="BV41" s="1372">
        <v>0</v>
      </c>
      <c r="BW41" s="1372"/>
      <c r="BX41" s="1372"/>
      <c r="BY41" s="1372"/>
      <c r="BZ41" s="1372"/>
      <c r="CA41" s="1372">
        <v>0</v>
      </c>
      <c r="CB41" s="1372"/>
      <c r="CC41" s="1372">
        <v>0</v>
      </c>
      <c r="CD41" s="1372"/>
      <c r="CE41" s="1372"/>
      <c r="CF41" s="1372"/>
      <c r="CG41" s="1372"/>
      <c r="CH41" s="1372"/>
      <c r="CI41" s="1372">
        <v>0</v>
      </c>
      <c r="CJ41" s="1372"/>
      <c r="CK41" s="1372"/>
      <c r="CL41" s="1372"/>
      <c r="CM41" s="1372"/>
      <c r="CN41" s="1372"/>
      <c r="CO41" s="1372">
        <v>0</v>
      </c>
      <c r="CP41" s="1372"/>
      <c r="CQ41" s="1372"/>
      <c r="CR41" s="1372"/>
      <c r="CS41" s="1372"/>
      <c r="CT41" s="1372">
        <v>0</v>
      </c>
      <c r="CU41" s="1372">
        <v>0</v>
      </c>
      <c r="CV41" s="1372"/>
      <c r="CW41" s="1372"/>
      <c r="CX41" s="1372">
        <v>0</v>
      </c>
      <c r="CY41" s="1372"/>
      <c r="CZ41" s="1372"/>
      <c r="DA41" s="1372">
        <v>0</v>
      </c>
      <c r="DB41" s="1372"/>
      <c r="DC41" s="1372"/>
      <c r="DD41" s="1372"/>
      <c r="DE41" s="1372">
        <v>0</v>
      </c>
      <c r="DF41" s="1372">
        <v>0</v>
      </c>
      <c r="DG41" s="1372"/>
      <c r="DH41" s="1372"/>
      <c r="DI41" s="1372">
        <v>0</v>
      </c>
      <c r="DJ41" s="1372"/>
      <c r="DK41" s="1372"/>
      <c r="DL41" s="1372">
        <v>0</v>
      </c>
      <c r="DM41" s="1372"/>
      <c r="DN41" s="1372"/>
      <c r="DO41" s="1372"/>
      <c r="DP41" s="1372"/>
      <c r="DQ41" s="1372"/>
      <c r="DR41" s="1372">
        <v>0</v>
      </c>
      <c r="DS41" s="1372"/>
      <c r="DT41" s="1372">
        <v>0</v>
      </c>
      <c r="DU41" s="1372"/>
      <c r="DV41" s="1372"/>
      <c r="DW41" s="1372">
        <v>0</v>
      </c>
      <c r="DX41" s="1372"/>
      <c r="DY41" s="1372"/>
      <c r="DZ41" s="1372"/>
      <c r="EA41" s="1372"/>
      <c r="EB41" s="1372">
        <v>0</v>
      </c>
      <c r="EC41" s="1372"/>
      <c r="ED41" s="1372"/>
      <c r="EE41" s="1372"/>
      <c r="EF41" s="1372">
        <v>0</v>
      </c>
      <c r="EG41" s="1372">
        <v>0</v>
      </c>
      <c r="EH41" s="1372"/>
      <c r="EI41" s="1372"/>
      <c r="EJ41" s="1372">
        <v>0</v>
      </c>
      <c r="EK41" s="1372"/>
      <c r="EL41" s="1372"/>
      <c r="EM41" s="1372">
        <v>0</v>
      </c>
      <c r="EN41" s="1372"/>
      <c r="EO41" s="1372"/>
      <c r="EP41" s="1372"/>
      <c r="EQ41" s="1372"/>
      <c r="ER41" s="1372"/>
      <c r="ES41" s="1372">
        <v>-19529247.539999995</v>
      </c>
      <c r="ET41" s="1372">
        <v>37045237</v>
      </c>
      <c r="EU41" s="1372">
        <v>2498362</v>
      </c>
      <c r="EV41" s="1372">
        <v>34546875</v>
      </c>
      <c r="EW41" s="1372">
        <v>0</v>
      </c>
      <c r="EX41" s="1372"/>
      <c r="EY41" s="1372"/>
      <c r="EZ41" s="1372">
        <v>-56675125.839999996</v>
      </c>
      <c r="FA41" s="1372"/>
      <c r="FB41" s="1372"/>
      <c r="FC41" s="1372">
        <v>-56675125.839999996</v>
      </c>
      <c r="FD41" s="1372">
        <v>100641.29999999955</v>
      </c>
      <c r="FE41" s="1372"/>
      <c r="FF41" s="1372">
        <v>54332537.799999997</v>
      </c>
      <c r="FG41" s="1372"/>
      <c r="FH41" s="1372"/>
      <c r="FI41" s="1372"/>
      <c r="FJ41" s="1372"/>
      <c r="FK41" s="1372"/>
      <c r="FL41" s="1372">
        <v>95273746.140000015</v>
      </c>
    </row>
    <row r="42" spans="1:169" s="1366" customFormat="1">
      <c r="B42" s="1367">
        <v>43009</v>
      </c>
      <c r="C42" s="1416">
        <v>54204182.63000001</v>
      </c>
      <c r="D42" s="1416">
        <v>54204182.63000001</v>
      </c>
      <c r="E42" s="1416">
        <v>21081445.167495314</v>
      </c>
      <c r="F42" s="1416">
        <v>33122737.4625047</v>
      </c>
      <c r="G42" s="1416"/>
      <c r="H42" s="1416"/>
      <c r="I42" s="1416"/>
      <c r="J42" s="1416"/>
      <c r="K42" s="1416"/>
      <c r="L42" s="1416"/>
      <c r="M42" s="1416"/>
      <c r="N42" s="1416"/>
      <c r="O42" s="1416"/>
      <c r="P42" s="1416"/>
      <c r="Q42" s="1416">
        <v>0</v>
      </c>
      <c r="R42" s="1416">
        <v>0</v>
      </c>
      <c r="S42" s="1416">
        <v>0</v>
      </c>
      <c r="T42" s="1416"/>
      <c r="U42" s="1416"/>
      <c r="V42" s="1416"/>
      <c r="W42" s="1416">
        <v>0</v>
      </c>
      <c r="X42" s="1416"/>
      <c r="Y42" s="1416"/>
      <c r="Z42" s="1416"/>
      <c r="AA42" s="1416">
        <v>0</v>
      </c>
      <c r="AB42" s="1416"/>
      <c r="AC42" s="1416"/>
      <c r="AD42" s="1416"/>
      <c r="AE42" s="1416">
        <v>0</v>
      </c>
      <c r="AF42" s="1416"/>
      <c r="AG42" s="1416"/>
      <c r="AH42" s="1416"/>
      <c r="AI42" s="1416">
        <v>0</v>
      </c>
      <c r="AJ42" s="1416"/>
      <c r="AK42" s="1416"/>
      <c r="AL42" s="1416"/>
      <c r="AM42" s="1416">
        <v>0</v>
      </c>
      <c r="AN42" s="1416"/>
      <c r="AO42" s="1416"/>
      <c r="AP42" s="1416"/>
      <c r="AQ42" s="1416">
        <v>0</v>
      </c>
      <c r="AR42" s="1416"/>
      <c r="AS42" s="1416"/>
      <c r="AT42" s="1416"/>
      <c r="AU42" s="1416">
        <v>0</v>
      </c>
      <c r="AV42" s="1416"/>
      <c r="AW42" s="1416"/>
      <c r="AX42" s="1416"/>
      <c r="AY42" s="1416">
        <v>0</v>
      </c>
      <c r="AZ42" s="1416"/>
      <c r="BA42" s="1416"/>
      <c r="BB42" s="1416"/>
      <c r="BC42" s="1416">
        <v>0</v>
      </c>
      <c r="BD42" s="1416"/>
      <c r="BE42" s="1416"/>
      <c r="BF42" s="1416"/>
      <c r="BG42" s="1416">
        <v>0</v>
      </c>
      <c r="BH42" s="1416"/>
      <c r="BI42" s="1416"/>
      <c r="BJ42" s="1416"/>
      <c r="BK42" s="1416"/>
      <c r="BL42" s="1416">
        <v>0</v>
      </c>
      <c r="BM42" s="1416">
        <v>0</v>
      </c>
      <c r="BN42" s="1416"/>
      <c r="BO42" s="1416">
        <v>0</v>
      </c>
      <c r="BP42" s="1416"/>
      <c r="BQ42" s="1416"/>
      <c r="BR42" s="1416"/>
      <c r="BS42" s="1416"/>
      <c r="BT42" s="1416">
        <v>0</v>
      </c>
      <c r="BU42" s="1416"/>
      <c r="BV42" s="1416">
        <v>0</v>
      </c>
      <c r="BW42" s="1416"/>
      <c r="BX42" s="1416"/>
      <c r="BY42" s="1416"/>
      <c r="BZ42" s="1416"/>
      <c r="CA42" s="1416">
        <v>0</v>
      </c>
      <c r="CB42" s="1416"/>
      <c r="CC42" s="1416">
        <v>0</v>
      </c>
      <c r="CD42" s="1416"/>
      <c r="CE42" s="1416"/>
      <c r="CF42" s="1416"/>
      <c r="CG42" s="1416"/>
      <c r="CH42" s="1416"/>
      <c r="CI42" s="1416">
        <v>0</v>
      </c>
      <c r="CJ42" s="1416"/>
      <c r="CK42" s="1416"/>
      <c r="CL42" s="1416"/>
      <c r="CM42" s="1416"/>
      <c r="CN42" s="1416"/>
      <c r="CO42" s="1416">
        <v>0</v>
      </c>
      <c r="CP42" s="1416"/>
      <c r="CQ42" s="1416"/>
      <c r="CR42" s="1416"/>
      <c r="CS42" s="1416"/>
      <c r="CT42" s="1416">
        <v>0</v>
      </c>
      <c r="CU42" s="1416">
        <v>0</v>
      </c>
      <c r="CV42" s="1416"/>
      <c r="CW42" s="1416"/>
      <c r="CX42" s="1416">
        <v>0</v>
      </c>
      <c r="CY42" s="1416"/>
      <c r="CZ42" s="1416"/>
      <c r="DA42" s="1416">
        <v>0</v>
      </c>
      <c r="DB42" s="1416"/>
      <c r="DC42" s="1416"/>
      <c r="DD42" s="1416"/>
      <c r="DE42" s="1416">
        <v>0</v>
      </c>
      <c r="DF42" s="1416">
        <v>0</v>
      </c>
      <c r="DG42" s="1416"/>
      <c r="DH42" s="1416"/>
      <c r="DI42" s="1416">
        <v>0</v>
      </c>
      <c r="DJ42" s="1416"/>
      <c r="DK42" s="1416"/>
      <c r="DL42" s="1416">
        <v>0</v>
      </c>
      <c r="DM42" s="1416"/>
      <c r="DN42" s="1416"/>
      <c r="DO42" s="1416"/>
      <c r="DP42" s="1416"/>
      <c r="DQ42" s="1416"/>
      <c r="DR42" s="1416">
        <v>0</v>
      </c>
      <c r="DS42" s="1416"/>
      <c r="DT42" s="1416">
        <v>0</v>
      </c>
      <c r="DU42" s="1416"/>
      <c r="DV42" s="1416"/>
      <c r="DW42" s="1416">
        <v>0</v>
      </c>
      <c r="DX42" s="1416"/>
      <c r="DY42" s="1416"/>
      <c r="DZ42" s="1416"/>
      <c r="EA42" s="1416"/>
      <c r="EB42" s="1416">
        <v>0</v>
      </c>
      <c r="EC42" s="1416"/>
      <c r="ED42" s="1416"/>
      <c r="EE42" s="1416"/>
      <c r="EF42" s="1416">
        <v>0</v>
      </c>
      <c r="EG42" s="1416">
        <v>0</v>
      </c>
      <c r="EH42" s="1416"/>
      <c r="EI42" s="1416"/>
      <c r="EJ42" s="1416">
        <v>0</v>
      </c>
      <c r="EK42" s="1416"/>
      <c r="EL42" s="1416"/>
      <c r="EM42" s="1416">
        <v>0</v>
      </c>
      <c r="EN42" s="1416"/>
      <c r="EO42" s="1416"/>
      <c r="EP42" s="1416"/>
      <c r="EQ42" s="1416"/>
      <c r="ER42" s="1416"/>
      <c r="ES42" s="1416">
        <v>-21515080.303999994</v>
      </c>
      <c r="ET42" s="1416">
        <v>34546875</v>
      </c>
      <c r="EU42" s="1416">
        <v>2498362</v>
      </c>
      <c r="EV42" s="1416">
        <v>32048513</v>
      </c>
      <c r="EW42" s="1416">
        <v>0</v>
      </c>
      <c r="EX42" s="1416"/>
      <c r="EY42" s="1416"/>
      <c r="EZ42" s="1416">
        <v>-56171214.923999995</v>
      </c>
      <c r="FA42" s="1416"/>
      <c r="FB42" s="1416"/>
      <c r="FC42" s="1416">
        <v>-56171214.923999995</v>
      </c>
      <c r="FD42" s="1416">
        <v>109259.61999999986</v>
      </c>
      <c r="FE42" s="1416"/>
      <c r="FF42" s="1416">
        <v>48780642.103999987</v>
      </c>
      <c r="FG42" s="1416"/>
      <c r="FH42" s="1416"/>
      <c r="FI42" s="1416"/>
      <c r="FJ42" s="1416"/>
      <c r="FK42" s="1416"/>
      <c r="FL42" s="1416">
        <v>81469744.430000007</v>
      </c>
      <c r="FM42" s="1370"/>
    </row>
    <row r="43" spans="1:169" s="1366" customFormat="1">
      <c r="B43" s="1367">
        <v>43040</v>
      </c>
      <c r="C43" s="1372">
        <v>575927.40999998013</v>
      </c>
      <c r="D43" s="1372">
        <v>575927.40999998013</v>
      </c>
      <c r="E43" s="1372">
        <v>223993.45447656224</v>
      </c>
      <c r="F43" s="1372">
        <v>351933.95552341791</v>
      </c>
      <c r="G43" s="1372"/>
      <c r="H43" s="1372"/>
      <c r="I43" s="1372"/>
      <c r="J43" s="1372"/>
      <c r="K43" s="1372"/>
      <c r="L43" s="1372"/>
      <c r="M43" s="1372"/>
      <c r="N43" s="1372"/>
      <c r="O43" s="1372"/>
      <c r="P43" s="1372"/>
      <c r="Q43" s="1372">
        <v>0</v>
      </c>
      <c r="R43" s="1372">
        <v>0</v>
      </c>
      <c r="S43" s="1372">
        <v>0</v>
      </c>
      <c r="T43" s="1372"/>
      <c r="U43" s="1372"/>
      <c r="V43" s="1372"/>
      <c r="W43" s="1372">
        <v>0</v>
      </c>
      <c r="X43" s="1372"/>
      <c r="Y43" s="1372"/>
      <c r="Z43" s="1372"/>
      <c r="AA43" s="1372">
        <v>0</v>
      </c>
      <c r="AB43" s="1372"/>
      <c r="AC43" s="1372"/>
      <c r="AD43" s="1372"/>
      <c r="AE43" s="1372">
        <v>0</v>
      </c>
      <c r="AF43" s="1372"/>
      <c r="AG43" s="1372"/>
      <c r="AH43" s="1372"/>
      <c r="AI43" s="1372">
        <v>0</v>
      </c>
      <c r="AJ43" s="1372"/>
      <c r="AK43" s="1372"/>
      <c r="AL43" s="1372"/>
      <c r="AM43" s="1372">
        <v>0</v>
      </c>
      <c r="AN43" s="1372"/>
      <c r="AO43" s="1372"/>
      <c r="AP43" s="1372"/>
      <c r="AQ43" s="1372">
        <v>0</v>
      </c>
      <c r="AR43" s="1372"/>
      <c r="AS43" s="1372"/>
      <c r="AT43" s="1372"/>
      <c r="AU43" s="1372">
        <v>0</v>
      </c>
      <c r="AV43" s="1372"/>
      <c r="AW43" s="1372"/>
      <c r="AX43" s="1372"/>
      <c r="AY43" s="1372">
        <v>0</v>
      </c>
      <c r="AZ43" s="1372"/>
      <c r="BA43" s="1372"/>
      <c r="BB43" s="1372"/>
      <c r="BC43" s="1372">
        <v>0</v>
      </c>
      <c r="BD43" s="1372"/>
      <c r="BE43" s="1372"/>
      <c r="BF43" s="1372"/>
      <c r="BG43" s="1372">
        <v>0</v>
      </c>
      <c r="BH43" s="1372"/>
      <c r="BI43" s="1372"/>
      <c r="BJ43" s="1372"/>
      <c r="BK43" s="1372"/>
      <c r="BL43" s="1372">
        <v>0</v>
      </c>
      <c r="BM43" s="1372">
        <v>0</v>
      </c>
      <c r="BN43" s="1372"/>
      <c r="BO43" s="1372">
        <v>0</v>
      </c>
      <c r="BP43" s="1372"/>
      <c r="BQ43" s="1372"/>
      <c r="BR43" s="1372"/>
      <c r="BS43" s="1372"/>
      <c r="BT43" s="1372">
        <v>0</v>
      </c>
      <c r="BU43" s="1372"/>
      <c r="BV43" s="1372">
        <v>0</v>
      </c>
      <c r="BW43" s="1372"/>
      <c r="BX43" s="1372"/>
      <c r="BY43" s="1372"/>
      <c r="BZ43" s="1372"/>
      <c r="CA43" s="1372">
        <v>0</v>
      </c>
      <c r="CB43" s="1372"/>
      <c r="CC43" s="1372">
        <v>0</v>
      </c>
      <c r="CD43" s="1372"/>
      <c r="CE43" s="1372"/>
      <c r="CF43" s="1372"/>
      <c r="CG43" s="1372"/>
      <c r="CH43" s="1372"/>
      <c r="CI43" s="1372">
        <v>0</v>
      </c>
      <c r="CJ43" s="1372"/>
      <c r="CK43" s="1372"/>
      <c r="CL43" s="1372"/>
      <c r="CM43" s="1372"/>
      <c r="CN43" s="1372"/>
      <c r="CO43" s="1372">
        <v>0</v>
      </c>
      <c r="CP43" s="1372"/>
      <c r="CQ43" s="1372"/>
      <c r="CR43" s="1372"/>
      <c r="CS43" s="1372"/>
      <c r="CT43" s="1372">
        <v>0</v>
      </c>
      <c r="CU43" s="1372">
        <v>0</v>
      </c>
      <c r="CV43" s="1372"/>
      <c r="CW43" s="1372"/>
      <c r="CX43" s="1372">
        <v>0</v>
      </c>
      <c r="CY43" s="1372"/>
      <c r="CZ43" s="1372"/>
      <c r="DA43" s="1372">
        <v>0</v>
      </c>
      <c r="DB43" s="1372"/>
      <c r="DC43" s="1372"/>
      <c r="DD43" s="1372"/>
      <c r="DE43" s="1372">
        <v>0</v>
      </c>
      <c r="DF43" s="1372">
        <v>0</v>
      </c>
      <c r="DG43" s="1372"/>
      <c r="DH43" s="1372"/>
      <c r="DI43" s="1372">
        <v>0</v>
      </c>
      <c r="DJ43" s="1372"/>
      <c r="DK43" s="1372"/>
      <c r="DL43" s="1372">
        <v>0</v>
      </c>
      <c r="DM43" s="1372"/>
      <c r="DN43" s="1372"/>
      <c r="DO43" s="1372"/>
      <c r="DP43" s="1372"/>
      <c r="DQ43" s="1372"/>
      <c r="DR43" s="1372">
        <v>0</v>
      </c>
      <c r="DS43" s="1372"/>
      <c r="DT43" s="1372">
        <v>0</v>
      </c>
      <c r="DU43" s="1372"/>
      <c r="DV43" s="1372"/>
      <c r="DW43" s="1372">
        <v>0</v>
      </c>
      <c r="DX43" s="1372"/>
      <c r="DY43" s="1372"/>
      <c r="DZ43" s="1372"/>
      <c r="EA43" s="1372"/>
      <c r="EB43" s="1372">
        <v>0</v>
      </c>
      <c r="EC43" s="1372"/>
      <c r="ED43" s="1372"/>
      <c r="EE43" s="1372"/>
      <c r="EF43" s="1372">
        <v>0</v>
      </c>
      <c r="EG43" s="1372">
        <v>0</v>
      </c>
      <c r="EH43" s="1372"/>
      <c r="EI43" s="1372"/>
      <c r="EJ43" s="1372">
        <v>0</v>
      </c>
      <c r="EK43" s="1372"/>
      <c r="EL43" s="1372"/>
      <c r="EM43" s="1372">
        <v>0</v>
      </c>
      <c r="EN43" s="1372"/>
      <c r="EO43" s="1372"/>
      <c r="EP43" s="1372"/>
      <c r="EQ43" s="1372"/>
      <c r="ER43" s="1372"/>
      <c r="ES43" s="1372">
        <v>31294544.586000036</v>
      </c>
      <c r="ET43" s="1372">
        <v>80727203.00000003</v>
      </c>
      <c r="EU43" s="1372">
        <v>5024796.4000000004</v>
      </c>
      <c r="EV43" s="1372">
        <v>75702406.600000024</v>
      </c>
      <c r="EW43" s="1372">
        <v>0</v>
      </c>
      <c r="EX43" s="1372"/>
      <c r="EY43" s="1372"/>
      <c r="EZ43" s="1372">
        <v>-50136216.923999995</v>
      </c>
      <c r="FA43" s="1372"/>
      <c r="FB43" s="1372"/>
      <c r="FC43" s="1372">
        <v>-50136216.923999995</v>
      </c>
      <c r="FD43" s="1372">
        <v>703558.51</v>
      </c>
      <c r="FE43" s="1372"/>
      <c r="FF43" s="1372">
        <v>48266481.213999987</v>
      </c>
      <c r="FG43" s="1372"/>
      <c r="FH43" s="1372"/>
      <c r="FI43" s="1372"/>
      <c r="FJ43" s="1372"/>
      <c r="FK43" s="1372"/>
      <c r="FL43" s="1372">
        <v>80136953.210000008</v>
      </c>
    </row>
    <row r="44" spans="1:169" s="1358" customFormat="1">
      <c r="B44" s="1359">
        <v>43070</v>
      </c>
      <c r="C44" s="1362">
        <v>100883.99999996461</v>
      </c>
      <c r="D44" s="1362">
        <v>100883.99999996461</v>
      </c>
      <c r="E44" s="1362">
        <v>0</v>
      </c>
      <c r="F44" s="1362">
        <v>100883.99999996461</v>
      </c>
      <c r="G44" s="1362"/>
      <c r="H44" s="1362"/>
      <c r="I44" s="1362"/>
      <c r="J44" s="1362"/>
      <c r="K44" s="1362"/>
      <c r="L44" s="1362"/>
      <c r="M44" s="1362"/>
      <c r="N44" s="1362"/>
      <c r="O44" s="1362"/>
      <c r="P44" s="1362"/>
      <c r="Q44" s="1362">
        <v>0</v>
      </c>
      <c r="R44" s="1362">
        <v>0</v>
      </c>
      <c r="S44" s="1362">
        <v>0</v>
      </c>
      <c r="T44" s="1362"/>
      <c r="U44" s="1362"/>
      <c r="V44" s="1362"/>
      <c r="W44" s="1362">
        <v>0</v>
      </c>
      <c r="X44" s="1362"/>
      <c r="Y44" s="1362"/>
      <c r="Z44" s="1362"/>
      <c r="AA44" s="1362">
        <v>0</v>
      </c>
      <c r="AB44" s="1362"/>
      <c r="AC44" s="1362"/>
      <c r="AD44" s="1362"/>
      <c r="AE44" s="1362">
        <v>0</v>
      </c>
      <c r="AF44" s="1362"/>
      <c r="AG44" s="1362"/>
      <c r="AH44" s="1362"/>
      <c r="AI44" s="1362">
        <v>0</v>
      </c>
      <c r="AJ44" s="1362"/>
      <c r="AK44" s="1362"/>
      <c r="AL44" s="1362"/>
      <c r="AM44" s="1362">
        <v>0</v>
      </c>
      <c r="AN44" s="1362"/>
      <c r="AO44" s="1362"/>
      <c r="AP44" s="1362"/>
      <c r="AQ44" s="1362">
        <v>0</v>
      </c>
      <c r="AR44" s="1362"/>
      <c r="AS44" s="1362"/>
      <c r="AT44" s="1362"/>
      <c r="AU44" s="1362">
        <v>0</v>
      </c>
      <c r="AV44" s="1362"/>
      <c r="AW44" s="1362"/>
      <c r="AX44" s="1362"/>
      <c r="AY44" s="1362">
        <v>0</v>
      </c>
      <c r="AZ44" s="1362"/>
      <c r="BA44" s="1362"/>
      <c r="BB44" s="1362"/>
      <c r="BC44" s="1362">
        <v>0</v>
      </c>
      <c r="BD44" s="1362"/>
      <c r="BE44" s="1362"/>
      <c r="BF44" s="1362"/>
      <c r="BG44" s="1362">
        <v>0</v>
      </c>
      <c r="BH44" s="1362"/>
      <c r="BI44" s="1362"/>
      <c r="BJ44" s="1362"/>
      <c r="BK44" s="1362"/>
      <c r="BL44" s="1362">
        <v>0</v>
      </c>
      <c r="BM44" s="1362">
        <v>0</v>
      </c>
      <c r="BN44" s="1362"/>
      <c r="BO44" s="1362">
        <v>0</v>
      </c>
      <c r="BP44" s="1362"/>
      <c r="BQ44" s="1362"/>
      <c r="BR44" s="1362"/>
      <c r="BS44" s="1362"/>
      <c r="BT44" s="1362">
        <v>0</v>
      </c>
      <c r="BU44" s="1362"/>
      <c r="BV44" s="1362">
        <v>0</v>
      </c>
      <c r="BW44" s="1362"/>
      <c r="BX44" s="1362"/>
      <c r="BY44" s="1362"/>
      <c r="BZ44" s="1362"/>
      <c r="CA44" s="1362">
        <v>0</v>
      </c>
      <c r="CB44" s="1362"/>
      <c r="CC44" s="1362">
        <v>0</v>
      </c>
      <c r="CD44" s="1362"/>
      <c r="CE44" s="1362"/>
      <c r="CF44" s="1362"/>
      <c r="CG44" s="1362"/>
      <c r="CH44" s="1362"/>
      <c r="CI44" s="1362">
        <v>0</v>
      </c>
      <c r="CJ44" s="1362"/>
      <c r="CK44" s="1362"/>
      <c r="CL44" s="1362"/>
      <c r="CM44" s="1362"/>
      <c r="CN44" s="1362"/>
      <c r="CO44" s="1362">
        <v>0</v>
      </c>
      <c r="CP44" s="1362"/>
      <c r="CQ44" s="1362"/>
      <c r="CR44" s="1362"/>
      <c r="CS44" s="1362"/>
      <c r="CT44" s="1362">
        <v>0</v>
      </c>
      <c r="CU44" s="1362">
        <v>0</v>
      </c>
      <c r="CV44" s="1362"/>
      <c r="CW44" s="1362"/>
      <c r="CX44" s="1362">
        <v>0</v>
      </c>
      <c r="CY44" s="1362"/>
      <c r="CZ44" s="1362"/>
      <c r="DA44" s="1362">
        <v>0</v>
      </c>
      <c r="DB44" s="1362"/>
      <c r="DC44" s="1362"/>
      <c r="DD44" s="1362"/>
      <c r="DE44" s="1362">
        <v>0</v>
      </c>
      <c r="DF44" s="1362">
        <v>0</v>
      </c>
      <c r="DG44" s="1362"/>
      <c r="DH44" s="1362"/>
      <c r="DI44" s="1362">
        <v>0</v>
      </c>
      <c r="DJ44" s="1362"/>
      <c r="DK44" s="1362"/>
      <c r="DL44" s="1362">
        <v>0</v>
      </c>
      <c r="DM44" s="1362"/>
      <c r="DN44" s="1362"/>
      <c r="DO44" s="1362"/>
      <c r="DP44" s="1362"/>
      <c r="DQ44" s="1362"/>
      <c r="DR44" s="1362">
        <v>0</v>
      </c>
      <c r="DS44" s="1362"/>
      <c r="DT44" s="1362">
        <v>0</v>
      </c>
      <c r="DU44" s="1362"/>
      <c r="DV44" s="1362"/>
      <c r="DW44" s="1362">
        <v>0</v>
      </c>
      <c r="DX44" s="1362"/>
      <c r="DY44" s="1362"/>
      <c r="DZ44" s="1362"/>
      <c r="EA44" s="1362"/>
      <c r="EB44" s="1362">
        <v>0</v>
      </c>
      <c r="EC44" s="1362"/>
      <c r="ED44" s="1362"/>
      <c r="EE44" s="1362"/>
      <c r="EF44" s="1362">
        <v>0</v>
      </c>
      <c r="EG44" s="1362">
        <v>0</v>
      </c>
      <c r="EH44" s="1362"/>
      <c r="EI44" s="1362"/>
      <c r="EJ44" s="1362">
        <v>0</v>
      </c>
      <c r="EK44" s="1362"/>
      <c r="EL44" s="1362"/>
      <c r="EM44" s="1362">
        <v>0</v>
      </c>
      <c r="EN44" s="1362"/>
      <c r="EO44" s="1362"/>
      <c r="EP44" s="1362"/>
      <c r="EQ44" s="1362"/>
      <c r="ER44" s="1362"/>
      <c r="ES44" s="1362">
        <v>26710516.40449892</v>
      </c>
      <c r="ET44" s="1362">
        <v>52181627.580000035</v>
      </c>
      <c r="EU44" s="1362">
        <v>5024796.4000000004</v>
      </c>
      <c r="EV44" s="1362">
        <v>47156831.180000037</v>
      </c>
      <c r="EW44" s="1362">
        <v>0</v>
      </c>
      <c r="EX44" s="1362"/>
      <c r="EY44" s="1362"/>
      <c r="EZ44" s="1362">
        <v>-25935440.874000005</v>
      </c>
      <c r="FA44" s="1362"/>
      <c r="FB44" s="1362"/>
      <c r="FC44" s="1362">
        <v>-25935440.874000005</v>
      </c>
      <c r="FD44" s="1362">
        <v>464329.69849888864</v>
      </c>
      <c r="FE44" s="1362"/>
      <c r="FF44" s="1362">
        <v>49081738.253777795</v>
      </c>
      <c r="FG44" s="1362"/>
      <c r="FH44" s="1362"/>
      <c r="FI44" s="1362"/>
      <c r="FJ44" s="1362"/>
      <c r="FK44" s="1362"/>
      <c r="FL44" s="1362">
        <v>75893138.658276677</v>
      </c>
    </row>
    <row r="45" spans="1:169" s="1366" customFormat="1">
      <c r="C45" s="1372"/>
      <c r="D45" s="1372"/>
      <c r="E45" s="1372"/>
      <c r="F45" s="1372"/>
      <c r="G45" s="1372"/>
      <c r="H45" s="1372"/>
      <c r="I45" s="1372"/>
      <c r="J45" s="1372"/>
      <c r="K45" s="1372"/>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2"/>
      <c r="AI45" s="1372"/>
      <c r="AJ45" s="1372"/>
      <c r="AK45" s="1372"/>
      <c r="AL45" s="1372"/>
      <c r="AM45" s="1372"/>
      <c r="AN45" s="1372"/>
      <c r="AO45" s="1372"/>
      <c r="AP45" s="1372"/>
      <c r="AQ45" s="1372"/>
      <c r="AR45" s="1372"/>
      <c r="AS45" s="1372"/>
      <c r="AT45" s="1372"/>
      <c r="AU45" s="1372"/>
      <c r="AV45" s="1372"/>
      <c r="AW45" s="1372"/>
      <c r="AX45" s="1372"/>
      <c r="AY45" s="1372"/>
      <c r="AZ45" s="1372"/>
      <c r="BA45" s="1372"/>
      <c r="BB45" s="1372"/>
      <c r="BC45" s="1372"/>
      <c r="BD45" s="1372"/>
      <c r="BE45" s="1372"/>
      <c r="BF45" s="1372"/>
      <c r="BG45" s="1372"/>
      <c r="BH45" s="1372"/>
      <c r="BI45" s="1372"/>
      <c r="BJ45" s="1372"/>
      <c r="BK45" s="1372"/>
      <c r="BL45" s="1372"/>
      <c r="BM45" s="1372"/>
      <c r="BN45" s="1372"/>
      <c r="BO45" s="1372"/>
      <c r="BP45" s="1372"/>
      <c r="BQ45" s="1372"/>
      <c r="BR45" s="1372"/>
      <c r="BS45" s="1372"/>
      <c r="BT45" s="1372"/>
      <c r="BU45" s="1372"/>
      <c r="BV45" s="1372"/>
      <c r="BW45" s="1372"/>
      <c r="BX45" s="1372"/>
      <c r="BY45" s="1372"/>
      <c r="BZ45" s="1372"/>
      <c r="CA45" s="1372"/>
      <c r="CB45" s="1372"/>
      <c r="CC45" s="1372"/>
      <c r="CD45" s="1372"/>
      <c r="CE45" s="1372"/>
      <c r="CF45" s="1372"/>
      <c r="CG45" s="1372"/>
      <c r="CH45" s="1372"/>
      <c r="CI45" s="1372"/>
      <c r="CJ45" s="1372"/>
      <c r="CK45" s="1372"/>
      <c r="CL45" s="1372"/>
      <c r="CM45" s="1372"/>
      <c r="CN45" s="1372"/>
      <c r="CO45" s="1372"/>
      <c r="CP45" s="1372"/>
      <c r="CQ45" s="1372"/>
      <c r="CR45" s="1372"/>
      <c r="CS45" s="1372"/>
      <c r="CT45" s="1372"/>
      <c r="CU45" s="1372"/>
      <c r="CV45" s="1372"/>
      <c r="CW45" s="1372"/>
      <c r="CX45" s="1372"/>
      <c r="CY45" s="1372"/>
      <c r="CZ45" s="1372"/>
      <c r="DA45" s="1372"/>
      <c r="DB45" s="1372"/>
      <c r="DC45" s="1372"/>
      <c r="DD45" s="1372"/>
      <c r="DE45" s="1372"/>
      <c r="DF45" s="1372"/>
      <c r="DG45" s="1372"/>
      <c r="DH45" s="1372"/>
      <c r="DI45" s="1372"/>
      <c r="DJ45" s="1372"/>
      <c r="DK45" s="1372"/>
      <c r="DL45" s="1372"/>
      <c r="DM45" s="1372"/>
      <c r="DN45" s="1372"/>
      <c r="DO45" s="1372"/>
      <c r="DP45" s="1372"/>
      <c r="DQ45" s="1372"/>
      <c r="DR45" s="1372"/>
      <c r="DS45" s="1372"/>
      <c r="DT45" s="1372"/>
      <c r="DU45" s="1372"/>
      <c r="DV45" s="1372"/>
      <c r="DW45" s="1372"/>
      <c r="DX45" s="1372"/>
      <c r="DY45" s="1372"/>
      <c r="DZ45" s="1372"/>
      <c r="EA45" s="1372"/>
      <c r="EB45" s="1372"/>
      <c r="EC45" s="1372"/>
      <c r="ED45" s="1372"/>
      <c r="EE45" s="1372"/>
      <c r="EF45" s="1372"/>
      <c r="EG45" s="1372"/>
      <c r="EH45" s="1372"/>
      <c r="EI45" s="1372"/>
      <c r="EJ45" s="1372"/>
      <c r="EK45" s="1372"/>
      <c r="EL45" s="1372"/>
      <c r="EM45" s="1372"/>
      <c r="EN45" s="1372"/>
      <c r="EO45" s="1372"/>
      <c r="EP45" s="1372"/>
      <c r="EQ45" s="1372"/>
      <c r="ER45" s="1372"/>
      <c r="ES45" s="1372"/>
      <c r="ET45" s="1372"/>
      <c r="EU45" s="1372"/>
      <c r="EV45" s="1372"/>
      <c r="EW45" s="1372"/>
      <c r="EX45" s="1372"/>
      <c r="EY45" s="1372"/>
      <c r="EZ45" s="1372"/>
      <c r="FA45" s="1372"/>
      <c r="FB45" s="1372"/>
      <c r="FC45" s="1372"/>
      <c r="FD45" s="1372"/>
      <c r="FE45" s="1372"/>
      <c r="FF45" s="1372"/>
      <c r="FG45" s="1372"/>
      <c r="FH45" s="1372"/>
      <c r="FI45" s="1372"/>
      <c r="FJ45" s="1372"/>
      <c r="FK45" s="1372"/>
      <c r="FL45" s="1372"/>
    </row>
    <row r="46" spans="1:169" s="1366" customFormat="1">
      <c r="B46" s="1359">
        <v>43101</v>
      </c>
      <c r="C46" s="1362">
        <v>-0.13999999314546585</v>
      </c>
      <c r="D46" s="1362">
        <v>-0.13999999314546585</v>
      </c>
      <c r="E46" s="1362">
        <v>-5.4449712840284881E-2</v>
      </c>
      <c r="F46" s="1362">
        <v>-8.5550280305180984E-2</v>
      </c>
      <c r="G46" s="1362"/>
      <c r="H46" s="1362"/>
      <c r="I46" s="1362"/>
      <c r="J46" s="1362"/>
      <c r="K46" s="1362"/>
      <c r="L46" s="1362"/>
      <c r="M46" s="1362"/>
      <c r="N46" s="1362"/>
      <c r="O46" s="1362"/>
      <c r="P46" s="1362"/>
      <c r="Q46" s="1362">
        <v>0</v>
      </c>
      <c r="R46" s="1362">
        <v>0</v>
      </c>
      <c r="S46" s="1362">
        <v>0</v>
      </c>
      <c r="T46" s="1362"/>
      <c r="U46" s="1362"/>
      <c r="V46" s="1362"/>
      <c r="W46" s="1362">
        <v>0</v>
      </c>
      <c r="X46" s="1362"/>
      <c r="Y46" s="1362"/>
      <c r="Z46" s="1362"/>
      <c r="AA46" s="1362">
        <v>0</v>
      </c>
      <c r="AB46" s="1362"/>
      <c r="AC46" s="1362"/>
      <c r="AD46" s="1362"/>
      <c r="AE46" s="1362">
        <v>0</v>
      </c>
      <c r="AF46" s="1362"/>
      <c r="AG46" s="1362"/>
      <c r="AH46" s="1362"/>
      <c r="AI46" s="1362">
        <v>0</v>
      </c>
      <c r="AJ46" s="1362"/>
      <c r="AK46" s="1362"/>
      <c r="AL46" s="1362"/>
      <c r="AM46" s="1362">
        <v>0</v>
      </c>
      <c r="AN46" s="1362"/>
      <c r="AO46" s="1362"/>
      <c r="AP46" s="1362"/>
      <c r="AQ46" s="1362">
        <v>0</v>
      </c>
      <c r="AR46" s="1362"/>
      <c r="AS46" s="1362"/>
      <c r="AT46" s="1362"/>
      <c r="AU46" s="1362">
        <v>0</v>
      </c>
      <c r="AV46" s="1362"/>
      <c r="AW46" s="1362"/>
      <c r="AX46" s="1362"/>
      <c r="AY46" s="1362">
        <v>0</v>
      </c>
      <c r="AZ46" s="1362"/>
      <c r="BA46" s="1362"/>
      <c r="BB46" s="1362"/>
      <c r="BC46" s="1362">
        <v>0</v>
      </c>
      <c r="BD46" s="1362"/>
      <c r="BE46" s="1362"/>
      <c r="BF46" s="1362"/>
      <c r="BG46" s="1362">
        <v>0</v>
      </c>
      <c r="BH46" s="1362"/>
      <c r="BI46" s="1362"/>
      <c r="BJ46" s="1362"/>
      <c r="BK46" s="1362"/>
      <c r="BL46" s="1362">
        <v>0</v>
      </c>
      <c r="BM46" s="1362">
        <v>0</v>
      </c>
      <c r="BN46" s="1362"/>
      <c r="BO46" s="1362">
        <v>0</v>
      </c>
      <c r="BP46" s="1362"/>
      <c r="BQ46" s="1362"/>
      <c r="BR46" s="1362"/>
      <c r="BS46" s="1362"/>
      <c r="BT46" s="1362">
        <v>0</v>
      </c>
      <c r="BU46" s="1362"/>
      <c r="BV46" s="1362">
        <v>0</v>
      </c>
      <c r="BW46" s="1362"/>
      <c r="BX46" s="1362"/>
      <c r="BY46" s="1362"/>
      <c r="BZ46" s="1362"/>
      <c r="CA46" s="1362">
        <v>0</v>
      </c>
      <c r="CB46" s="1362"/>
      <c r="CC46" s="1362">
        <v>0</v>
      </c>
      <c r="CD46" s="1362"/>
      <c r="CE46" s="1362"/>
      <c r="CF46" s="1362"/>
      <c r="CG46" s="1362"/>
      <c r="CH46" s="1362"/>
      <c r="CI46" s="1362">
        <v>0</v>
      </c>
      <c r="CJ46" s="1362"/>
      <c r="CK46" s="1362"/>
      <c r="CL46" s="1362"/>
      <c r="CM46" s="1362"/>
      <c r="CN46" s="1362"/>
      <c r="CO46" s="1362">
        <v>0</v>
      </c>
      <c r="CP46" s="1362"/>
      <c r="CQ46" s="1362"/>
      <c r="CR46" s="1362"/>
      <c r="CS46" s="1362"/>
      <c r="CT46" s="1362">
        <v>0</v>
      </c>
      <c r="CU46" s="1362">
        <v>0</v>
      </c>
      <c r="CV46" s="1362"/>
      <c r="CW46" s="1362"/>
      <c r="CX46" s="1362">
        <v>0</v>
      </c>
      <c r="CY46" s="1362"/>
      <c r="CZ46" s="1362"/>
      <c r="DA46" s="1362">
        <v>0</v>
      </c>
      <c r="DB46" s="1362"/>
      <c r="DC46" s="1362"/>
      <c r="DD46" s="1362"/>
      <c r="DE46" s="1362">
        <v>0</v>
      </c>
      <c r="DF46" s="1362">
        <v>0</v>
      </c>
      <c r="DG46" s="1362"/>
      <c r="DH46" s="1362"/>
      <c r="DI46" s="1362">
        <v>0</v>
      </c>
      <c r="DJ46" s="1362"/>
      <c r="DK46" s="1362"/>
      <c r="DL46" s="1362">
        <v>0</v>
      </c>
      <c r="DM46" s="1362"/>
      <c r="DN46" s="1362"/>
      <c r="DO46" s="1362"/>
      <c r="DP46" s="1362"/>
      <c r="DQ46" s="1362"/>
      <c r="DR46" s="1362">
        <v>0</v>
      </c>
      <c r="DS46" s="1362"/>
      <c r="DT46" s="1362">
        <v>0</v>
      </c>
      <c r="DU46" s="1362"/>
      <c r="DV46" s="1362"/>
      <c r="DW46" s="1362">
        <v>0</v>
      </c>
      <c r="DX46" s="1362"/>
      <c r="DY46" s="1362"/>
      <c r="DZ46" s="1362"/>
      <c r="EA46" s="1362"/>
      <c r="EB46" s="1362">
        <v>0</v>
      </c>
      <c r="EC46" s="1362"/>
      <c r="ED46" s="1362"/>
      <c r="EE46" s="1362"/>
      <c r="EF46" s="1362">
        <v>0</v>
      </c>
      <c r="EG46" s="1362">
        <v>0</v>
      </c>
      <c r="EH46" s="1362"/>
      <c r="EI46" s="1362"/>
      <c r="EJ46" s="1362">
        <v>0</v>
      </c>
      <c r="EK46" s="1362"/>
      <c r="EL46" s="1362"/>
      <c r="EM46" s="1362">
        <v>0</v>
      </c>
      <c r="EN46" s="1362"/>
      <c r="EO46" s="1362"/>
      <c r="EP46" s="1362"/>
      <c r="EQ46" s="1362"/>
      <c r="ER46" s="1362"/>
      <c r="ES46" s="1362">
        <v>26846949.17558166</v>
      </c>
      <c r="ET46" s="1362">
        <v>86808326</v>
      </c>
      <c r="EU46" s="1362">
        <v>5024796.4000000004</v>
      </c>
      <c r="EV46" s="1362">
        <v>81783529.599999994</v>
      </c>
      <c r="EW46" s="1362">
        <v>0</v>
      </c>
      <c r="EX46" s="1362"/>
      <c r="EY46" s="1362"/>
      <c r="EZ46" s="1362">
        <v>-61009677.874000005</v>
      </c>
      <c r="FA46" s="1362"/>
      <c r="FB46" s="1362"/>
      <c r="FC46" s="1362">
        <v>-61009677.874000005</v>
      </c>
      <c r="FD46" s="1362">
        <v>1048301.0495816671</v>
      </c>
      <c r="FE46" s="1372"/>
      <c r="FF46" s="1372">
        <v>48001276.713777788</v>
      </c>
      <c r="FG46" s="1372"/>
      <c r="FH46" s="1372"/>
      <c r="FI46" s="1372"/>
      <c r="FJ46" s="1372"/>
      <c r="FK46" s="1372"/>
      <c r="FL46" s="1372">
        <v>74848225.749359459</v>
      </c>
      <c r="FM46" s="1366">
        <v>0</v>
      </c>
    </row>
    <row r="47" spans="1:169" s="1366" customFormat="1">
      <c r="B47" s="1359">
        <v>43132</v>
      </c>
      <c r="C47" s="1362">
        <v>0</v>
      </c>
      <c r="D47" s="1362">
        <v>0</v>
      </c>
      <c r="E47" s="1362">
        <v>0</v>
      </c>
      <c r="F47" s="1362">
        <v>0</v>
      </c>
      <c r="G47" s="1362"/>
      <c r="H47" s="1362"/>
      <c r="I47" s="1362"/>
      <c r="J47" s="1362"/>
      <c r="K47" s="1362"/>
      <c r="L47" s="1362"/>
      <c r="M47" s="1362"/>
      <c r="N47" s="1362"/>
      <c r="O47" s="1362"/>
      <c r="P47" s="1362"/>
      <c r="Q47" s="1362">
        <v>0</v>
      </c>
      <c r="R47" s="1362">
        <v>0</v>
      </c>
      <c r="S47" s="1362">
        <v>0</v>
      </c>
      <c r="T47" s="1362"/>
      <c r="U47" s="1362"/>
      <c r="V47" s="1362"/>
      <c r="W47" s="1362">
        <v>0</v>
      </c>
      <c r="X47" s="1362"/>
      <c r="Y47" s="1362"/>
      <c r="Z47" s="1362"/>
      <c r="AA47" s="1362">
        <v>0</v>
      </c>
      <c r="AB47" s="1362"/>
      <c r="AC47" s="1362"/>
      <c r="AD47" s="1362"/>
      <c r="AE47" s="1362">
        <v>0</v>
      </c>
      <c r="AF47" s="1362"/>
      <c r="AG47" s="1362"/>
      <c r="AH47" s="1362"/>
      <c r="AI47" s="1362">
        <v>0</v>
      </c>
      <c r="AJ47" s="1362"/>
      <c r="AK47" s="1362"/>
      <c r="AL47" s="1362"/>
      <c r="AM47" s="1362">
        <v>0</v>
      </c>
      <c r="AN47" s="1362"/>
      <c r="AO47" s="1362"/>
      <c r="AP47" s="1362"/>
      <c r="AQ47" s="1362">
        <v>0</v>
      </c>
      <c r="AR47" s="1362"/>
      <c r="AS47" s="1362"/>
      <c r="AT47" s="1362"/>
      <c r="AU47" s="1362">
        <v>0</v>
      </c>
      <c r="AV47" s="1362"/>
      <c r="AW47" s="1362"/>
      <c r="AX47" s="1362"/>
      <c r="AY47" s="1362">
        <v>0</v>
      </c>
      <c r="AZ47" s="1362"/>
      <c r="BA47" s="1362"/>
      <c r="BB47" s="1362"/>
      <c r="BC47" s="1362">
        <v>0</v>
      </c>
      <c r="BD47" s="1362"/>
      <c r="BE47" s="1362"/>
      <c r="BF47" s="1362"/>
      <c r="BG47" s="1362">
        <v>0</v>
      </c>
      <c r="BH47" s="1362"/>
      <c r="BI47" s="1362"/>
      <c r="BJ47" s="1362"/>
      <c r="BK47" s="1362"/>
      <c r="BL47" s="1362">
        <v>0</v>
      </c>
      <c r="BM47" s="1362">
        <v>0</v>
      </c>
      <c r="BN47" s="1362"/>
      <c r="BO47" s="1362">
        <v>0</v>
      </c>
      <c r="BP47" s="1362"/>
      <c r="BQ47" s="1362"/>
      <c r="BR47" s="1362"/>
      <c r="BS47" s="1362"/>
      <c r="BT47" s="1362">
        <v>0</v>
      </c>
      <c r="BU47" s="1362"/>
      <c r="BV47" s="1362">
        <v>0</v>
      </c>
      <c r="BW47" s="1362"/>
      <c r="BX47" s="1362"/>
      <c r="BY47" s="1362"/>
      <c r="BZ47" s="1362"/>
      <c r="CA47" s="1362">
        <v>0</v>
      </c>
      <c r="CB47" s="1362"/>
      <c r="CC47" s="1362">
        <v>0</v>
      </c>
      <c r="CD47" s="1362"/>
      <c r="CE47" s="1362"/>
      <c r="CF47" s="1362"/>
      <c r="CG47" s="1362"/>
      <c r="CH47" s="1362"/>
      <c r="CI47" s="1362">
        <v>0</v>
      </c>
      <c r="CJ47" s="1362"/>
      <c r="CK47" s="1362"/>
      <c r="CL47" s="1362"/>
      <c r="CM47" s="1362"/>
      <c r="CN47" s="1362"/>
      <c r="CO47" s="1362">
        <v>0</v>
      </c>
      <c r="CP47" s="1362"/>
      <c r="CQ47" s="1362"/>
      <c r="CR47" s="1362"/>
      <c r="CS47" s="1362"/>
      <c r="CT47" s="1362">
        <v>0</v>
      </c>
      <c r="CU47" s="1362">
        <v>0</v>
      </c>
      <c r="CV47" s="1362"/>
      <c r="CW47" s="1362"/>
      <c r="CX47" s="1362">
        <v>0</v>
      </c>
      <c r="CY47" s="1362"/>
      <c r="CZ47" s="1362"/>
      <c r="DA47" s="1362">
        <v>0</v>
      </c>
      <c r="DB47" s="1362"/>
      <c r="DC47" s="1362"/>
      <c r="DD47" s="1362"/>
      <c r="DE47" s="1362">
        <v>0</v>
      </c>
      <c r="DF47" s="1362">
        <v>0</v>
      </c>
      <c r="DG47" s="1362"/>
      <c r="DH47" s="1362"/>
      <c r="DI47" s="1362">
        <v>0</v>
      </c>
      <c r="DJ47" s="1362"/>
      <c r="DK47" s="1362"/>
      <c r="DL47" s="1362">
        <v>0</v>
      </c>
      <c r="DM47" s="1362"/>
      <c r="DN47" s="1362"/>
      <c r="DO47" s="1362"/>
      <c r="DP47" s="1362"/>
      <c r="DQ47" s="1362"/>
      <c r="DR47" s="1362">
        <v>0</v>
      </c>
      <c r="DS47" s="1362"/>
      <c r="DT47" s="1362">
        <v>0</v>
      </c>
      <c r="DU47" s="1362"/>
      <c r="DV47" s="1362"/>
      <c r="DW47" s="1362">
        <v>0</v>
      </c>
      <c r="DX47" s="1362"/>
      <c r="DY47" s="1362"/>
      <c r="DZ47" s="1362"/>
      <c r="EA47" s="1362"/>
      <c r="EB47" s="1362">
        <v>0</v>
      </c>
      <c r="EC47" s="1362"/>
      <c r="ED47" s="1362"/>
      <c r="EE47" s="1362"/>
      <c r="EF47" s="1362">
        <v>0</v>
      </c>
      <c r="EG47" s="1362">
        <v>0</v>
      </c>
      <c r="EH47" s="1362"/>
      <c r="EI47" s="1362"/>
      <c r="EJ47" s="1362">
        <v>0</v>
      </c>
      <c r="EK47" s="1362"/>
      <c r="EL47" s="1362"/>
      <c r="EM47" s="1362">
        <v>0</v>
      </c>
      <c r="EN47" s="1362"/>
      <c r="EO47" s="1362"/>
      <c r="EP47" s="1362"/>
      <c r="EQ47" s="1362"/>
      <c r="ER47" s="1362"/>
      <c r="ES47" s="1362">
        <v>27037432.654524989</v>
      </c>
      <c r="ET47" s="1362">
        <v>52181627.999999993</v>
      </c>
      <c r="EU47" s="1362">
        <v>5024796.4000000004</v>
      </c>
      <c r="EV47" s="1362">
        <v>47156831.599999994</v>
      </c>
      <c r="EW47" s="1362">
        <v>0</v>
      </c>
      <c r="EX47" s="1362"/>
      <c r="EY47" s="1362"/>
      <c r="EZ47" s="1362">
        <v>-26382979.874000005</v>
      </c>
      <c r="FA47" s="1362"/>
      <c r="FB47" s="1362"/>
      <c r="FC47" s="1362">
        <v>-26382979.874000005</v>
      </c>
      <c r="FD47" s="1362">
        <v>1238784.5285250035</v>
      </c>
      <c r="FE47" s="1372"/>
      <c r="FF47" s="1372">
        <v>48001276.094834469</v>
      </c>
      <c r="FG47" s="1372"/>
      <c r="FH47" s="1372"/>
      <c r="FI47" s="1372"/>
      <c r="FJ47" s="1372"/>
      <c r="FK47" s="1372"/>
      <c r="FL47" s="1372">
        <v>75038708.749359459</v>
      </c>
      <c r="FM47" s="1366">
        <v>0</v>
      </c>
    </row>
    <row r="48" spans="1:169" s="1366" customFormat="1">
      <c r="B48" s="1359">
        <v>43160</v>
      </c>
      <c r="C48" s="1372">
        <v>0</v>
      </c>
      <c r="D48" s="1372">
        <v>0</v>
      </c>
      <c r="E48" s="1372">
        <v>0</v>
      </c>
      <c r="F48" s="1372">
        <v>0</v>
      </c>
      <c r="G48" s="1372"/>
      <c r="H48" s="1372"/>
      <c r="I48" s="1372"/>
      <c r="J48" s="1372"/>
      <c r="K48" s="1372"/>
      <c r="L48" s="1372"/>
      <c r="M48" s="1372"/>
      <c r="N48" s="1372"/>
      <c r="O48" s="1372"/>
      <c r="P48" s="1372"/>
      <c r="Q48" s="1372">
        <v>0</v>
      </c>
      <c r="R48" s="1372">
        <v>0</v>
      </c>
      <c r="S48" s="1372">
        <v>0</v>
      </c>
      <c r="T48" s="1372"/>
      <c r="U48" s="1372"/>
      <c r="V48" s="1372"/>
      <c r="W48" s="1372">
        <v>0</v>
      </c>
      <c r="X48" s="1372"/>
      <c r="Y48" s="1372"/>
      <c r="Z48" s="1372"/>
      <c r="AA48" s="1372">
        <v>0</v>
      </c>
      <c r="AB48" s="1372"/>
      <c r="AC48" s="1372"/>
      <c r="AD48" s="1372"/>
      <c r="AE48" s="1372">
        <v>0</v>
      </c>
      <c r="AF48" s="1372"/>
      <c r="AG48" s="1372"/>
      <c r="AH48" s="1372"/>
      <c r="AI48" s="1372">
        <v>0</v>
      </c>
      <c r="AJ48" s="1372"/>
      <c r="AK48" s="1372"/>
      <c r="AL48" s="1372"/>
      <c r="AM48" s="1372">
        <v>0</v>
      </c>
      <c r="AN48" s="1372"/>
      <c r="AO48" s="1372"/>
      <c r="AP48" s="1372"/>
      <c r="AQ48" s="1372">
        <v>0</v>
      </c>
      <c r="AR48" s="1372"/>
      <c r="AS48" s="1372"/>
      <c r="AT48" s="1372"/>
      <c r="AU48" s="1372">
        <v>0</v>
      </c>
      <c r="AV48" s="1372"/>
      <c r="AW48" s="1372"/>
      <c r="AX48" s="1372"/>
      <c r="AY48" s="1372">
        <v>0</v>
      </c>
      <c r="AZ48" s="1372"/>
      <c r="BA48" s="1372"/>
      <c r="BB48" s="1372"/>
      <c r="BC48" s="1372">
        <v>0</v>
      </c>
      <c r="BD48" s="1372"/>
      <c r="BE48" s="1372"/>
      <c r="BF48" s="1372"/>
      <c r="BG48" s="1372">
        <v>0</v>
      </c>
      <c r="BH48" s="1372"/>
      <c r="BI48" s="1372"/>
      <c r="BJ48" s="1372"/>
      <c r="BK48" s="1372"/>
      <c r="BL48" s="1372">
        <v>0</v>
      </c>
      <c r="BM48" s="1372">
        <v>0</v>
      </c>
      <c r="BN48" s="1372"/>
      <c r="BO48" s="1372">
        <v>0</v>
      </c>
      <c r="BP48" s="1372"/>
      <c r="BQ48" s="1372"/>
      <c r="BR48" s="1372"/>
      <c r="BS48" s="1372"/>
      <c r="BT48" s="1372">
        <v>0</v>
      </c>
      <c r="BU48" s="1372"/>
      <c r="BV48" s="1372">
        <v>0</v>
      </c>
      <c r="BW48" s="1372"/>
      <c r="BX48" s="1372"/>
      <c r="BY48" s="1372"/>
      <c r="BZ48" s="1372"/>
      <c r="CA48" s="1372">
        <v>0</v>
      </c>
      <c r="CB48" s="1372"/>
      <c r="CC48" s="1372">
        <v>0</v>
      </c>
      <c r="CD48" s="1372"/>
      <c r="CE48" s="1372"/>
      <c r="CF48" s="1372"/>
      <c r="CG48" s="1372"/>
      <c r="CH48" s="1372"/>
      <c r="CI48" s="1372">
        <v>0</v>
      </c>
      <c r="CJ48" s="1372"/>
      <c r="CK48" s="1372"/>
      <c r="CL48" s="1372"/>
      <c r="CM48" s="1372"/>
      <c r="CN48" s="1372"/>
      <c r="CO48" s="1372">
        <v>0</v>
      </c>
      <c r="CP48" s="1372"/>
      <c r="CQ48" s="1372"/>
      <c r="CR48" s="1372"/>
      <c r="CS48" s="1372"/>
      <c r="CT48" s="1372">
        <v>0</v>
      </c>
      <c r="CU48" s="1372">
        <v>0</v>
      </c>
      <c r="CV48" s="1372"/>
      <c r="CW48" s="1372"/>
      <c r="CX48" s="1372">
        <v>0</v>
      </c>
      <c r="CY48" s="1372"/>
      <c r="CZ48" s="1372"/>
      <c r="DA48" s="1372">
        <v>0</v>
      </c>
      <c r="DB48" s="1372"/>
      <c r="DC48" s="1372"/>
      <c r="DD48" s="1372"/>
      <c r="DE48" s="1372">
        <v>0</v>
      </c>
      <c r="DF48" s="1372">
        <v>0</v>
      </c>
      <c r="DG48" s="1372"/>
      <c r="DH48" s="1372"/>
      <c r="DI48" s="1372">
        <v>0</v>
      </c>
      <c r="DJ48" s="1372"/>
      <c r="DK48" s="1372"/>
      <c r="DL48" s="1372">
        <v>0</v>
      </c>
      <c r="DM48" s="1372"/>
      <c r="DN48" s="1372"/>
      <c r="DO48" s="1372"/>
      <c r="DP48" s="1372"/>
      <c r="DQ48" s="1372"/>
      <c r="DR48" s="1372">
        <v>0</v>
      </c>
      <c r="DS48" s="1372"/>
      <c r="DT48" s="1372">
        <v>0</v>
      </c>
      <c r="DU48" s="1372"/>
      <c r="DV48" s="1372"/>
      <c r="DW48" s="1372">
        <v>0</v>
      </c>
      <c r="DX48" s="1372"/>
      <c r="DY48" s="1372"/>
      <c r="DZ48" s="1372"/>
      <c r="EA48" s="1372"/>
      <c r="EB48" s="1372">
        <v>0</v>
      </c>
      <c r="EC48" s="1372"/>
      <c r="ED48" s="1372"/>
      <c r="EE48" s="1372"/>
      <c r="EF48" s="1372">
        <v>0</v>
      </c>
      <c r="EG48" s="1372">
        <v>0</v>
      </c>
      <c r="EH48" s="1372"/>
      <c r="EI48" s="1372"/>
      <c r="EJ48" s="1372">
        <v>0</v>
      </c>
      <c r="EK48" s="1372"/>
      <c r="EL48" s="1372"/>
      <c r="EM48" s="1372">
        <v>0</v>
      </c>
      <c r="EN48" s="1372"/>
      <c r="EO48" s="1372"/>
      <c r="EP48" s="1372"/>
      <c r="EQ48" s="1372"/>
      <c r="ER48" s="1372"/>
      <c r="ES48" s="1372">
        <v>26927517.523636099</v>
      </c>
      <c r="ET48" s="1372">
        <v>52181627.999999993</v>
      </c>
      <c r="EU48" s="1372">
        <v>5024796.4000000004</v>
      </c>
      <c r="EV48" s="1372">
        <v>47156831.599999994</v>
      </c>
      <c r="EW48" s="1372">
        <v>0</v>
      </c>
      <c r="EX48" s="1372"/>
      <c r="EY48" s="1372"/>
      <c r="EZ48" s="1372">
        <v>-26382979.874000005</v>
      </c>
      <c r="FA48" s="1372"/>
      <c r="FB48" s="1372"/>
      <c r="FC48" s="1372">
        <v>-26382979.874000005</v>
      </c>
      <c r="FD48" s="1372">
        <v>1128869.3976361107</v>
      </c>
      <c r="FE48" s="1372"/>
      <c r="FF48" s="1372">
        <v>48001276.015723355</v>
      </c>
      <c r="FG48" s="1372"/>
      <c r="FH48" s="1372"/>
      <c r="FI48" s="1372"/>
      <c r="FJ48" s="1372"/>
      <c r="FK48" s="1372"/>
      <c r="FL48" s="1372">
        <v>74928793.53935945</v>
      </c>
      <c r="FM48" s="1366">
        <v>0</v>
      </c>
    </row>
    <row r="49" spans="2:169" s="1366" customFormat="1">
      <c r="B49" s="1359">
        <v>43191</v>
      </c>
      <c r="C49" s="1372">
        <v>0</v>
      </c>
      <c r="D49" s="1372">
        <v>0</v>
      </c>
      <c r="E49" s="1372">
        <v>0</v>
      </c>
      <c r="F49" s="1372">
        <v>0</v>
      </c>
      <c r="G49" s="1372"/>
      <c r="H49" s="1372"/>
      <c r="I49" s="1372"/>
      <c r="J49" s="1372"/>
      <c r="K49" s="1372"/>
      <c r="L49" s="1372"/>
      <c r="M49" s="1372"/>
      <c r="N49" s="1372"/>
      <c r="O49" s="1372"/>
      <c r="P49" s="1372"/>
      <c r="Q49" s="1372">
        <v>0</v>
      </c>
      <c r="R49" s="1372">
        <v>0</v>
      </c>
      <c r="S49" s="1372">
        <v>0</v>
      </c>
      <c r="T49" s="1372"/>
      <c r="U49" s="1372"/>
      <c r="V49" s="1372"/>
      <c r="W49" s="1372">
        <v>0</v>
      </c>
      <c r="X49" s="1372"/>
      <c r="Y49" s="1372"/>
      <c r="Z49" s="1372"/>
      <c r="AA49" s="1372">
        <v>0</v>
      </c>
      <c r="AB49" s="1372"/>
      <c r="AC49" s="1372"/>
      <c r="AD49" s="1372"/>
      <c r="AE49" s="1372">
        <v>0</v>
      </c>
      <c r="AF49" s="1372"/>
      <c r="AG49" s="1372"/>
      <c r="AH49" s="1372"/>
      <c r="AI49" s="1372">
        <v>0</v>
      </c>
      <c r="AJ49" s="1372"/>
      <c r="AK49" s="1372"/>
      <c r="AL49" s="1372"/>
      <c r="AM49" s="1372">
        <v>0</v>
      </c>
      <c r="AN49" s="1372"/>
      <c r="AO49" s="1372"/>
      <c r="AP49" s="1372"/>
      <c r="AQ49" s="1372">
        <v>0</v>
      </c>
      <c r="AR49" s="1372"/>
      <c r="AS49" s="1372"/>
      <c r="AT49" s="1372"/>
      <c r="AU49" s="1372">
        <v>0</v>
      </c>
      <c r="AV49" s="1372"/>
      <c r="AW49" s="1372"/>
      <c r="AX49" s="1372"/>
      <c r="AY49" s="1372">
        <v>0</v>
      </c>
      <c r="AZ49" s="1372"/>
      <c r="BA49" s="1372"/>
      <c r="BB49" s="1372"/>
      <c r="BC49" s="1372">
        <v>0</v>
      </c>
      <c r="BD49" s="1372"/>
      <c r="BE49" s="1372"/>
      <c r="BF49" s="1372"/>
      <c r="BG49" s="1372">
        <v>0</v>
      </c>
      <c r="BH49" s="1372"/>
      <c r="BI49" s="1372"/>
      <c r="BJ49" s="1372"/>
      <c r="BK49" s="1372"/>
      <c r="BL49" s="1372">
        <v>0</v>
      </c>
      <c r="BM49" s="1372">
        <v>0</v>
      </c>
      <c r="BN49" s="1372"/>
      <c r="BO49" s="1372">
        <v>0</v>
      </c>
      <c r="BP49" s="1372"/>
      <c r="BQ49" s="1372"/>
      <c r="BR49" s="1372"/>
      <c r="BS49" s="1372"/>
      <c r="BT49" s="1372">
        <v>0</v>
      </c>
      <c r="BU49" s="1372"/>
      <c r="BV49" s="1372">
        <v>0</v>
      </c>
      <c r="BW49" s="1372"/>
      <c r="BX49" s="1372"/>
      <c r="BY49" s="1372"/>
      <c r="BZ49" s="1372"/>
      <c r="CA49" s="1372">
        <v>0</v>
      </c>
      <c r="CB49" s="1372"/>
      <c r="CC49" s="1372">
        <v>0</v>
      </c>
      <c r="CD49" s="1372"/>
      <c r="CE49" s="1372"/>
      <c r="CF49" s="1372"/>
      <c r="CG49" s="1372"/>
      <c r="CH49" s="1372"/>
      <c r="CI49" s="1372">
        <v>0</v>
      </c>
      <c r="CJ49" s="1372"/>
      <c r="CK49" s="1372"/>
      <c r="CL49" s="1372"/>
      <c r="CM49" s="1372"/>
      <c r="CN49" s="1372"/>
      <c r="CO49" s="1372">
        <v>0</v>
      </c>
      <c r="CP49" s="1372"/>
      <c r="CQ49" s="1372"/>
      <c r="CR49" s="1372"/>
      <c r="CS49" s="1372"/>
      <c r="CT49" s="1372">
        <v>0</v>
      </c>
      <c r="CU49" s="1372">
        <v>0</v>
      </c>
      <c r="CV49" s="1372"/>
      <c r="CW49" s="1372"/>
      <c r="CX49" s="1372">
        <v>0</v>
      </c>
      <c r="CY49" s="1372"/>
      <c r="CZ49" s="1372"/>
      <c r="DA49" s="1372">
        <v>0</v>
      </c>
      <c r="DB49" s="1372"/>
      <c r="DC49" s="1372"/>
      <c r="DD49" s="1372"/>
      <c r="DE49" s="1372">
        <v>0</v>
      </c>
      <c r="DF49" s="1372">
        <v>0</v>
      </c>
      <c r="DG49" s="1372"/>
      <c r="DH49" s="1372"/>
      <c r="DI49" s="1372">
        <v>0</v>
      </c>
      <c r="DJ49" s="1372"/>
      <c r="DK49" s="1372"/>
      <c r="DL49" s="1372">
        <v>0</v>
      </c>
      <c r="DM49" s="1372"/>
      <c r="DN49" s="1372"/>
      <c r="DO49" s="1372"/>
      <c r="DP49" s="1372"/>
      <c r="DQ49" s="1372"/>
      <c r="DR49" s="1372">
        <v>0</v>
      </c>
      <c r="DS49" s="1372"/>
      <c r="DT49" s="1372">
        <v>0</v>
      </c>
      <c r="DU49" s="1372"/>
      <c r="DV49" s="1372"/>
      <c r="DW49" s="1372">
        <v>0</v>
      </c>
      <c r="DX49" s="1372"/>
      <c r="DY49" s="1372"/>
      <c r="DZ49" s="1372"/>
      <c r="EA49" s="1372"/>
      <c r="EB49" s="1372">
        <v>0</v>
      </c>
      <c r="EC49" s="1372"/>
      <c r="ED49" s="1372"/>
      <c r="EE49" s="1372"/>
      <c r="EF49" s="1372">
        <v>0</v>
      </c>
      <c r="EG49" s="1372">
        <v>0</v>
      </c>
      <c r="EH49" s="1372"/>
      <c r="EI49" s="1372"/>
      <c r="EJ49" s="1372">
        <v>0</v>
      </c>
      <c r="EK49" s="1372"/>
      <c r="EL49" s="1372"/>
      <c r="EM49" s="1372">
        <v>0</v>
      </c>
      <c r="EN49" s="1372"/>
      <c r="EO49" s="1372"/>
      <c r="EP49" s="1372"/>
      <c r="EQ49" s="1372"/>
      <c r="ER49" s="1372"/>
      <c r="ES49" s="1372">
        <v>26960523.551690541</v>
      </c>
      <c r="ET49" s="1372">
        <v>52181627.999999993</v>
      </c>
      <c r="EU49" s="1372">
        <v>5024796.4000000004</v>
      </c>
      <c r="EV49" s="1372">
        <v>47156831.599999994</v>
      </c>
      <c r="EW49" s="1372">
        <v>0</v>
      </c>
      <c r="EX49" s="1372"/>
      <c r="EY49" s="1372"/>
      <c r="EZ49" s="1372">
        <v>-26382979.874000005</v>
      </c>
      <c r="FA49" s="1372"/>
      <c r="FB49" s="1372"/>
      <c r="FC49" s="1372">
        <v>-26382979.874000005</v>
      </c>
      <c r="FD49" s="1372">
        <v>1161875.425690555</v>
      </c>
      <c r="FE49" s="1372"/>
      <c r="FF49" s="1372">
        <v>48001276.037668906</v>
      </c>
      <c r="FG49" s="1372"/>
      <c r="FH49" s="1372"/>
      <c r="FI49" s="1372"/>
      <c r="FJ49" s="1372"/>
      <c r="FK49" s="1372"/>
      <c r="FL49" s="1372">
        <v>74961799.589359447</v>
      </c>
      <c r="FM49" s="1366">
        <v>0</v>
      </c>
    </row>
    <row r="50" spans="2:169" s="1366" customFormat="1">
      <c r="B50" s="1359">
        <v>43221</v>
      </c>
      <c r="C50" s="1362">
        <v>0</v>
      </c>
      <c r="D50" s="1362">
        <v>0</v>
      </c>
      <c r="E50" s="1362">
        <v>0</v>
      </c>
      <c r="F50" s="1362">
        <v>0</v>
      </c>
      <c r="G50" s="1362"/>
      <c r="H50" s="1362"/>
      <c r="I50" s="1362"/>
      <c r="J50" s="1362"/>
      <c r="K50" s="1362"/>
      <c r="L50" s="1362"/>
      <c r="M50" s="1362"/>
      <c r="N50" s="1362"/>
      <c r="O50" s="1362"/>
      <c r="P50" s="1362"/>
      <c r="Q50" s="1362">
        <v>0</v>
      </c>
      <c r="R50" s="1362">
        <v>0</v>
      </c>
      <c r="S50" s="1362">
        <v>0</v>
      </c>
      <c r="T50" s="1362"/>
      <c r="U50" s="1362"/>
      <c r="V50" s="1362"/>
      <c r="W50" s="1362">
        <v>0</v>
      </c>
      <c r="X50" s="1362"/>
      <c r="Y50" s="1362"/>
      <c r="Z50" s="1362"/>
      <c r="AA50" s="1362">
        <v>0</v>
      </c>
      <c r="AB50" s="1362"/>
      <c r="AC50" s="1362"/>
      <c r="AD50" s="1362"/>
      <c r="AE50" s="1362">
        <v>0</v>
      </c>
      <c r="AF50" s="1362"/>
      <c r="AG50" s="1362"/>
      <c r="AH50" s="1362"/>
      <c r="AI50" s="1362">
        <v>0</v>
      </c>
      <c r="AJ50" s="1362"/>
      <c r="AK50" s="1362"/>
      <c r="AL50" s="1362"/>
      <c r="AM50" s="1362">
        <v>0</v>
      </c>
      <c r="AN50" s="1362"/>
      <c r="AO50" s="1362"/>
      <c r="AP50" s="1362"/>
      <c r="AQ50" s="1362">
        <v>0</v>
      </c>
      <c r="AR50" s="1362"/>
      <c r="AS50" s="1362"/>
      <c r="AT50" s="1362"/>
      <c r="AU50" s="1362">
        <v>0</v>
      </c>
      <c r="AV50" s="1362"/>
      <c r="AW50" s="1362"/>
      <c r="AX50" s="1362"/>
      <c r="AY50" s="1362">
        <v>0</v>
      </c>
      <c r="AZ50" s="1362"/>
      <c r="BA50" s="1362"/>
      <c r="BB50" s="1362"/>
      <c r="BC50" s="1362">
        <v>0</v>
      </c>
      <c r="BD50" s="1362"/>
      <c r="BE50" s="1362"/>
      <c r="BF50" s="1362"/>
      <c r="BG50" s="1362">
        <v>0</v>
      </c>
      <c r="BH50" s="1362"/>
      <c r="BI50" s="1362"/>
      <c r="BJ50" s="1362"/>
      <c r="BK50" s="1362"/>
      <c r="BL50" s="1362">
        <v>0</v>
      </c>
      <c r="BM50" s="1362">
        <v>0</v>
      </c>
      <c r="BN50" s="1362"/>
      <c r="BO50" s="1362">
        <v>0</v>
      </c>
      <c r="BP50" s="1362"/>
      <c r="BQ50" s="1362"/>
      <c r="BR50" s="1362"/>
      <c r="BS50" s="1362"/>
      <c r="BT50" s="1362">
        <v>0</v>
      </c>
      <c r="BU50" s="1362"/>
      <c r="BV50" s="1362">
        <v>0</v>
      </c>
      <c r="BW50" s="1362"/>
      <c r="BX50" s="1362"/>
      <c r="BY50" s="1362"/>
      <c r="BZ50" s="1362"/>
      <c r="CA50" s="1362">
        <v>0</v>
      </c>
      <c r="CB50" s="1362"/>
      <c r="CC50" s="1362">
        <v>0</v>
      </c>
      <c r="CD50" s="1362"/>
      <c r="CE50" s="1362"/>
      <c r="CF50" s="1362"/>
      <c r="CG50" s="1362"/>
      <c r="CH50" s="1362"/>
      <c r="CI50" s="1362">
        <v>0</v>
      </c>
      <c r="CJ50" s="1362"/>
      <c r="CK50" s="1362"/>
      <c r="CL50" s="1362"/>
      <c r="CM50" s="1362"/>
      <c r="CN50" s="1362"/>
      <c r="CO50" s="1362">
        <v>0</v>
      </c>
      <c r="CP50" s="1362"/>
      <c r="CQ50" s="1362"/>
      <c r="CR50" s="1362"/>
      <c r="CS50" s="1362"/>
      <c r="CT50" s="1362">
        <v>0</v>
      </c>
      <c r="CU50" s="1362">
        <v>0</v>
      </c>
      <c r="CV50" s="1362"/>
      <c r="CW50" s="1362"/>
      <c r="CX50" s="1362">
        <v>0</v>
      </c>
      <c r="CY50" s="1362"/>
      <c r="CZ50" s="1362"/>
      <c r="DA50" s="1362">
        <v>0</v>
      </c>
      <c r="DB50" s="1362"/>
      <c r="DC50" s="1362"/>
      <c r="DD50" s="1362"/>
      <c r="DE50" s="1362">
        <v>0</v>
      </c>
      <c r="DF50" s="1362">
        <v>0</v>
      </c>
      <c r="DG50" s="1362"/>
      <c r="DH50" s="1362"/>
      <c r="DI50" s="1362">
        <v>0</v>
      </c>
      <c r="DJ50" s="1362"/>
      <c r="DK50" s="1362"/>
      <c r="DL50" s="1362">
        <v>0</v>
      </c>
      <c r="DM50" s="1362"/>
      <c r="DN50" s="1362"/>
      <c r="DO50" s="1362"/>
      <c r="DP50" s="1362"/>
      <c r="DQ50" s="1362"/>
      <c r="DR50" s="1362">
        <v>0</v>
      </c>
      <c r="DS50" s="1362"/>
      <c r="DT50" s="1362">
        <v>0</v>
      </c>
      <c r="DU50" s="1362"/>
      <c r="DV50" s="1362"/>
      <c r="DW50" s="1362">
        <v>0</v>
      </c>
      <c r="DX50" s="1362"/>
      <c r="DY50" s="1362"/>
      <c r="DZ50" s="1362"/>
      <c r="EA50" s="1362"/>
      <c r="EB50" s="1362">
        <v>0</v>
      </c>
      <c r="EC50" s="1362"/>
      <c r="ED50" s="1362"/>
      <c r="EE50" s="1362"/>
      <c r="EF50" s="1362">
        <v>0</v>
      </c>
      <c r="EG50" s="1362">
        <v>0</v>
      </c>
      <c r="EH50" s="1362"/>
      <c r="EI50" s="1362"/>
      <c r="EJ50" s="1362">
        <v>0</v>
      </c>
      <c r="EK50" s="1362"/>
      <c r="EL50" s="1362"/>
      <c r="EM50" s="1362">
        <v>0</v>
      </c>
      <c r="EN50" s="1362"/>
      <c r="EO50" s="1362"/>
      <c r="EP50" s="1362"/>
      <c r="EQ50" s="1362"/>
      <c r="ER50" s="1362"/>
      <c r="ES50" s="1362">
        <v>27041973.499744985</v>
      </c>
      <c r="ET50" s="1362">
        <v>52181627.999999993</v>
      </c>
      <c r="EU50" s="1362">
        <v>5024796.4000000004</v>
      </c>
      <c r="EV50" s="1362">
        <v>47156831.599999994</v>
      </c>
      <c r="EW50" s="1362">
        <v>0</v>
      </c>
      <c r="EX50" s="1362"/>
      <c r="EY50" s="1362"/>
      <c r="EZ50" s="1362">
        <v>-26382979.874000005</v>
      </c>
      <c r="FA50" s="1362"/>
      <c r="FB50" s="1362"/>
      <c r="FC50" s="1362">
        <v>-26382979.874000005</v>
      </c>
      <c r="FD50" s="1362">
        <v>1243325.3737449995</v>
      </c>
      <c r="FE50" s="1362"/>
      <c r="FF50" s="1362">
        <v>48001276.473503344</v>
      </c>
      <c r="FG50" s="1362"/>
      <c r="FH50" s="1362"/>
      <c r="FI50" s="1362"/>
      <c r="FJ50" s="1362"/>
      <c r="FK50" s="1362"/>
      <c r="FL50" s="1362">
        <v>75043249.973248333</v>
      </c>
      <c r="FM50" s="1362">
        <v>0</v>
      </c>
    </row>
    <row r="51" spans="2:169">
      <c r="B51" s="1359">
        <v>43252</v>
      </c>
      <c r="C51" s="1205">
        <v>0</v>
      </c>
      <c r="D51" s="1205">
        <v>0</v>
      </c>
      <c r="E51" s="1205">
        <v>0</v>
      </c>
      <c r="F51" s="1205">
        <v>0</v>
      </c>
      <c r="G51" s="1205"/>
      <c r="H51" s="1205"/>
      <c r="I51" s="1205"/>
      <c r="J51" s="1205"/>
      <c r="K51" s="1205"/>
      <c r="L51" s="1205"/>
      <c r="M51" s="1205"/>
      <c r="N51" s="1205"/>
      <c r="O51" s="1205"/>
      <c r="P51" s="1205"/>
      <c r="Q51" s="1205">
        <v>0</v>
      </c>
      <c r="R51" s="1205">
        <v>0</v>
      </c>
      <c r="S51" s="1205">
        <v>0</v>
      </c>
      <c r="T51" s="1205"/>
      <c r="U51" s="1205"/>
      <c r="V51" s="1205"/>
      <c r="W51" s="1205">
        <v>0</v>
      </c>
      <c r="X51" s="1205"/>
      <c r="Y51" s="1205"/>
      <c r="Z51" s="1205"/>
      <c r="AA51" s="1205">
        <v>0</v>
      </c>
      <c r="AB51" s="1205"/>
      <c r="AC51" s="1205"/>
      <c r="AD51" s="1205"/>
      <c r="AE51" s="1205">
        <v>0</v>
      </c>
      <c r="AF51" s="1205"/>
      <c r="AG51" s="1205"/>
      <c r="AH51" s="1205"/>
      <c r="AI51" s="1205">
        <v>0</v>
      </c>
      <c r="AJ51" s="1205"/>
      <c r="AK51" s="1205"/>
      <c r="AL51" s="1205"/>
      <c r="AM51" s="1205">
        <v>0</v>
      </c>
      <c r="AN51" s="1205"/>
      <c r="AO51" s="1205"/>
      <c r="AP51" s="1205"/>
      <c r="AQ51" s="1205">
        <v>0</v>
      </c>
      <c r="AR51" s="1205"/>
      <c r="AS51" s="1205"/>
      <c r="AT51" s="1205"/>
      <c r="AU51" s="1205">
        <v>0</v>
      </c>
      <c r="AV51" s="1205"/>
      <c r="AW51" s="1205"/>
      <c r="AX51" s="1205"/>
      <c r="AY51" s="1205">
        <v>0</v>
      </c>
      <c r="AZ51" s="1205"/>
      <c r="BA51" s="1205"/>
      <c r="BB51" s="1205"/>
      <c r="BC51" s="1205">
        <v>0</v>
      </c>
      <c r="BD51" s="1205"/>
      <c r="BE51" s="1205"/>
      <c r="BF51" s="1205"/>
      <c r="BG51" s="1205">
        <v>0</v>
      </c>
      <c r="BH51" s="1205"/>
      <c r="BI51" s="1205"/>
      <c r="BJ51" s="1205"/>
      <c r="BK51" s="1205"/>
      <c r="BL51" s="1205">
        <v>0</v>
      </c>
      <c r="BM51" s="1205">
        <v>0</v>
      </c>
      <c r="BN51" s="1205"/>
      <c r="BO51" s="1205">
        <v>0</v>
      </c>
      <c r="BP51" s="1205"/>
      <c r="BQ51" s="1205"/>
      <c r="BR51" s="1205"/>
      <c r="BS51" s="1205"/>
      <c r="BT51" s="1205">
        <v>0</v>
      </c>
      <c r="BU51" s="1205"/>
      <c r="BV51" s="1205">
        <v>0</v>
      </c>
      <c r="BW51" s="1205"/>
      <c r="BX51" s="1205"/>
      <c r="BY51" s="1205"/>
      <c r="BZ51" s="1205"/>
      <c r="CA51" s="1205">
        <v>0</v>
      </c>
      <c r="CB51" s="1205"/>
      <c r="CC51" s="1205">
        <v>0</v>
      </c>
      <c r="CD51" s="1205"/>
      <c r="CE51" s="1205"/>
      <c r="CF51" s="1205"/>
      <c r="CG51" s="1205"/>
      <c r="CH51" s="1205"/>
      <c r="CI51" s="1205">
        <v>0</v>
      </c>
      <c r="CJ51" s="1205"/>
      <c r="CK51" s="1205"/>
      <c r="CL51" s="1205"/>
      <c r="CM51" s="1205"/>
      <c r="CN51" s="1205"/>
      <c r="CO51" s="1205">
        <v>0</v>
      </c>
      <c r="CP51" s="1205"/>
      <c r="CQ51" s="1205"/>
      <c r="CR51" s="1205"/>
      <c r="CS51" s="1205"/>
      <c r="CT51" s="1205">
        <v>0</v>
      </c>
      <c r="CU51" s="1205">
        <v>0</v>
      </c>
      <c r="CV51" s="1205"/>
      <c r="CW51" s="1205"/>
      <c r="CX51" s="1205">
        <v>0</v>
      </c>
      <c r="CY51" s="1205"/>
      <c r="CZ51" s="1205"/>
      <c r="DA51" s="1205">
        <v>0</v>
      </c>
      <c r="DB51" s="1205"/>
      <c r="DC51" s="1205"/>
      <c r="DD51" s="1205"/>
      <c r="DE51" s="1205">
        <v>0</v>
      </c>
      <c r="DF51" s="1205">
        <v>0</v>
      </c>
      <c r="DG51" s="1205"/>
      <c r="DH51" s="1205"/>
      <c r="DI51" s="1205">
        <v>0</v>
      </c>
      <c r="DJ51" s="1205"/>
      <c r="DK51" s="1205"/>
      <c r="DL51" s="1205">
        <v>0</v>
      </c>
      <c r="DM51" s="1205"/>
      <c r="DN51" s="1205"/>
      <c r="DO51" s="1205"/>
      <c r="DP51" s="1205"/>
      <c r="DQ51" s="1205"/>
      <c r="DR51" s="1205">
        <v>0</v>
      </c>
      <c r="DS51" s="1205"/>
      <c r="DT51" s="1205">
        <v>0</v>
      </c>
      <c r="DU51" s="1205"/>
      <c r="DV51" s="1205"/>
      <c r="DW51" s="1205">
        <v>0</v>
      </c>
      <c r="DX51" s="1205"/>
      <c r="DY51" s="1205"/>
      <c r="DZ51" s="1205"/>
      <c r="EA51" s="1205"/>
      <c r="EB51" s="1205">
        <v>0</v>
      </c>
      <c r="EC51" s="1205"/>
      <c r="ED51" s="1205"/>
      <c r="EE51" s="1205"/>
      <c r="EF51" s="1205">
        <v>0</v>
      </c>
      <c r="EG51" s="1205">
        <v>0</v>
      </c>
      <c r="EH51" s="1205"/>
      <c r="EI51" s="1205"/>
      <c r="EJ51" s="1205">
        <v>0</v>
      </c>
      <c r="EK51" s="1205"/>
      <c r="EL51" s="1205"/>
      <c r="EM51" s="1205">
        <v>0</v>
      </c>
      <c r="EN51" s="1205"/>
      <c r="EO51" s="1205"/>
      <c r="EP51" s="1205"/>
      <c r="EQ51" s="1205"/>
      <c r="ER51" s="1205"/>
      <c r="ES51" s="1205">
        <v>27264354.789744988</v>
      </c>
      <c r="ET51" s="1205">
        <v>52181627.999999993</v>
      </c>
      <c r="EU51" s="1205">
        <v>5024796.4000000004</v>
      </c>
      <c r="EV51" s="1205">
        <v>47156831.599999994</v>
      </c>
      <c r="EW51" s="1205">
        <v>0</v>
      </c>
      <c r="EX51" s="1205"/>
      <c r="EY51" s="1205"/>
      <c r="EZ51" s="1205">
        <v>-26620206.874000005</v>
      </c>
      <c r="FA51" s="1205"/>
      <c r="FB51" s="1205"/>
      <c r="FC51" s="1205">
        <v>-26620206.874000005</v>
      </c>
      <c r="FD51" s="1205">
        <v>1702933.6637449996</v>
      </c>
      <c r="FE51" s="1205"/>
      <c r="FF51" s="1205">
        <v>46485887.173999995</v>
      </c>
      <c r="FG51" s="1205"/>
      <c r="FH51" s="1205"/>
      <c r="FI51" s="1205"/>
      <c r="FJ51" s="1205"/>
      <c r="FK51" s="1205"/>
      <c r="FL51" s="1205">
        <v>73750241.963744983</v>
      </c>
      <c r="FM51" s="1028">
        <v>-4.9665570259094238E-4</v>
      </c>
    </row>
    <row r="52" spans="2:169">
      <c r="B52" s="1359">
        <v>43282</v>
      </c>
      <c r="C52" s="1205">
        <v>0</v>
      </c>
      <c r="D52" s="1205">
        <v>0</v>
      </c>
      <c r="E52" s="1205">
        <v>0</v>
      </c>
      <c r="F52" s="1205">
        <v>0</v>
      </c>
      <c r="G52" s="1205"/>
      <c r="H52" s="1205"/>
      <c r="I52" s="1205"/>
      <c r="J52" s="1205"/>
      <c r="K52" s="1205"/>
      <c r="L52" s="1205"/>
      <c r="M52" s="1205"/>
      <c r="N52" s="1205"/>
      <c r="O52" s="1205"/>
      <c r="P52" s="1205"/>
      <c r="Q52" s="1205">
        <v>0</v>
      </c>
      <c r="R52" s="1205">
        <v>0</v>
      </c>
      <c r="S52" s="1205">
        <v>0</v>
      </c>
      <c r="T52" s="1205"/>
      <c r="U52" s="1205"/>
      <c r="V52" s="1205"/>
      <c r="W52" s="1205">
        <v>0</v>
      </c>
      <c r="X52" s="1205"/>
      <c r="Y52" s="1205"/>
      <c r="Z52" s="1205"/>
      <c r="AA52" s="1205">
        <v>0</v>
      </c>
      <c r="AB52" s="1205"/>
      <c r="AC52" s="1205"/>
      <c r="AD52" s="1205"/>
      <c r="AE52" s="1205">
        <v>0</v>
      </c>
      <c r="AF52" s="1205"/>
      <c r="AG52" s="1205"/>
      <c r="AH52" s="1205"/>
      <c r="AI52" s="1205">
        <v>0</v>
      </c>
      <c r="AJ52" s="1205"/>
      <c r="AK52" s="1205"/>
      <c r="AL52" s="1205"/>
      <c r="AM52" s="1205">
        <v>0</v>
      </c>
      <c r="AN52" s="1205"/>
      <c r="AO52" s="1205"/>
      <c r="AP52" s="1205"/>
      <c r="AQ52" s="1205">
        <v>0</v>
      </c>
      <c r="AR52" s="1205"/>
      <c r="AS52" s="1205"/>
      <c r="AT52" s="1205"/>
      <c r="AU52" s="1205">
        <v>0</v>
      </c>
      <c r="AV52" s="1205"/>
      <c r="AW52" s="1205"/>
      <c r="AX52" s="1205"/>
      <c r="AY52" s="1205">
        <v>0</v>
      </c>
      <c r="AZ52" s="1205"/>
      <c r="BA52" s="1205"/>
      <c r="BB52" s="1205"/>
      <c r="BC52" s="1205">
        <v>0</v>
      </c>
      <c r="BD52" s="1205"/>
      <c r="BE52" s="1205"/>
      <c r="BF52" s="1205"/>
      <c r="BG52" s="1205">
        <v>0</v>
      </c>
      <c r="BH52" s="1205"/>
      <c r="BI52" s="1205"/>
      <c r="BJ52" s="1205"/>
      <c r="BK52" s="1205"/>
      <c r="BL52" s="1205">
        <v>0</v>
      </c>
      <c r="BM52" s="1205">
        <v>0</v>
      </c>
      <c r="BN52" s="1205"/>
      <c r="BO52" s="1205">
        <v>0</v>
      </c>
      <c r="BP52" s="1205"/>
      <c r="BQ52" s="1205"/>
      <c r="BR52" s="1205"/>
      <c r="BS52" s="1205"/>
      <c r="BT52" s="1205">
        <v>0</v>
      </c>
      <c r="BU52" s="1205"/>
      <c r="BV52" s="1205">
        <v>0</v>
      </c>
      <c r="BW52" s="1205"/>
      <c r="BX52" s="1205"/>
      <c r="BY52" s="1205"/>
      <c r="BZ52" s="1205"/>
      <c r="CA52" s="1205">
        <v>0</v>
      </c>
      <c r="CB52" s="1205"/>
      <c r="CC52" s="1205">
        <v>0</v>
      </c>
      <c r="CD52" s="1205"/>
      <c r="CE52" s="1205"/>
      <c r="CF52" s="1205"/>
      <c r="CG52" s="1205"/>
      <c r="CH52" s="1205"/>
      <c r="CI52" s="1205">
        <v>0</v>
      </c>
      <c r="CJ52" s="1205"/>
      <c r="CK52" s="1205"/>
      <c r="CL52" s="1205"/>
      <c r="CM52" s="1205"/>
      <c r="CN52" s="1205"/>
      <c r="CO52" s="1205">
        <v>0</v>
      </c>
      <c r="CP52" s="1205"/>
      <c r="CQ52" s="1205"/>
      <c r="CR52" s="1205"/>
      <c r="CS52" s="1205"/>
      <c r="CT52" s="1205">
        <v>0</v>
      </c>
      <c r="CU52" s="1205">
        <v>0</v>
      </c>
      <c r="CV52" s="1205"/>
      <c r="CW52" s="1205"/>
      <c r="CX52" s="1205">
        <v>0</v>
      </c>
      <c r="CY52" s="1205"/>
      <c r="CZ52" s="1205"/>
      <c r="DA52" s="1205">
        <v>0</v>
      </c>
      <c r="DB52" s="1205"/>
      <c r="DC52" s="1205"/>
      <c r="DD52" s="1205"/>
      <c r="DE52" s="1205">
        <v>0</v>
      </c>
      <c r="DF52" s="1205">
        <v>0</v>
      </c>
      <c r="DG52" s="1205"/>
      <c r="DH52" s="1205"/>
      <c r="DI52" s="1205">
        <v>0</v>
      </c>
      <c r="DJ52" s="1205"/>
      <c r="DK52" s="1205"/>
      <c r="DL52" s="1205">
        <v>0</v>
      </c>
      <c r="DM52" s="1205"/>
      <c r="DN52" s="1205"/>
      <c r="DO52" s="1205"/>
      <c r="DP52" s="1205"/>
      <c r="DQ52" s="1205"/>
      <c r="DR52" s="1205">
        <v>0</v>
      </c>
      <c r="DS52" s="1205"/>
      <c r="DT52" s="1205">
        <v>0</v>
      </c>
      <c r="DU52" s="1205"/>
      <c r="DV52" s="1205"/>
      <c r="DW52" s="1205">
        <v>0</v>
      </c>
      <c r="DX52" s="1205"/>
      <c r="DY52" s="1205"/>
      <c r="DZ52" s="1205"/>
      <c r="EA52" s="1205"/>
      <c r="EB52" s="1205">
        <v>0</v>
      </c>
      <c r="EC52" s="1205"/>
      <c r="ED52" s="1205"/>
      <c r="EE52" s="1205"/>
      <c r="EF52" s="1205">
        <v>0</v>
      </c>
      <c r="EG52" s="1205">
        <v>0</v>
      </c>
      <c r="EH52" s="1205"/>
      <c r="EI52" s="1205"/>
      <c r="EJ52" s="1205">
        <v>0</v>
      </c>
      <c r="EK52" s="1205"/>
      <c r="EL52" s="1205"/>
      <c r="EM52" s="1205">
        <v>0</v>
      </c>
      <c r="EN52" s="1205"/>
      <c r="EO52" s="1205"/>
      <c r="EP52" s="1205"/>
      <c r="EQ52" s="1205"/>
      <c r="ER52" s="1205"/>
      <c r="ES52" s="1205">
        <v>27534859.999999993</v>
      </c>
      <c r="ET52" s="1205">
        <v>52181627.999999993</v>
      </c>
      <c r="EU52" s="1205">
        <v>5024796.4000000004</v>
      </c>
      <c r="EV52" s="1205">
        <v>47156831.599999994</v>
      </c>
      <c r="EW52" s="1205">
        <v>0</v>
      </c>
      <c r="EX52" s="1205"/>
      <c r="EY52" s="1205"/>
      <c r="EZ52" s="1205">
        <v>-26620207</v>
      </c>
      <c r="FA52" s="1205"/>
      <c r="FB52" s="1205"/>
      <c r="FC52" s="1205">
        <v>-26620207</v>
      </c>
      <c r="FD52" s="1205">
        <v>1973439</v>
      </c>
      <c r="FE52" s="1205"/>
      <c r="FF52" s="1205">
        <v>46464242.813248336</v>
      </c>
      <c r="FG52" s="1205"/>
      <c r="FH52" s="1205"/>
      <c r="FI52" s="1205"/>
      <c r="FJ52" s="1205"/>
      <c r="FK52" s="1205"/>
      <c r="FL52" s="1205">
        <v>73999102.813248336</v>
      </c>
      <c r="FM52" s="1028">
        <v>0</v>
      </c>
    </row>
    <row r="53" spans="2:169">
      <c r="B53" s="1359">
        <v>43313</v>
      </c>
      <c r="C53" s="1205">
        <v>0</v>
      </c>
      <c r="D53" s="1205">
        <v>0</v>
      </c>
      <c r="E53" s="1205">
        <v>0</v>
      </c>
      <c r="F53" s="1205">
        <v>0</v>
      </c>
      <c r="G53" s="1205"/>
      <c r="H53" s="1205"/>
      <c r="I53" s="1205"/>
      <c r="J53" s="1205"/>
      <c r="K53" s="1205"/>
      <c r="L53" s="1205"/>
      <c r="M53" s="1205"/>
      <c r="N53" s="1205"/>
      <c r="O53" s="1205"/>
      <c r="P53" s="1205"/>
      <c r="Q53" s="1205">
        <v>0</v>
      </c>
      <c r="R53" s="1205">
        <v>0</v>
      </c>
      <c r="S53" s="1205">
        <v>0</v>
      </c>
      <c r="T53" s="1205"/>
      <c r="U53" s="1205"/>
      <c r="V53" s="1205"/>
      <c r="W53" s="1205">
        <v>0</v>
      </c>
      <c r="X53" s="1205"/>
      <c r="Y53" s="1205"/>
      <c r="Z53" s="1205"/>
      <c r="AA53" s="1205">
        <v>0</v>
      </c>
      <c r="AB53" s="1205"/>
      <c r="AC53" s="1205"/>
      <c r="AD53" s="1205"/>
      <c r="AE53" s="1205">
        <v>0</v>
      </c>
      <c r="AF53" s="1205"/>
      <c r="AG53" s="1205"/>
      <c r="AH53" s="1205"/>
      <c r="AI53" s="1205">
        <v>0</v>
      </c>
      <c r="AJ53" s="1205"/>
      <c r="AK53" s="1205"/>
      <c r="AL53" s="1205"/>
      <c r="AM53" s="1205">
        <v>0</v>
      </c>
      <c r="AN53" s="1205"/>
      <c r="AO53" s="1205"/>
      <c r="AP53" s="1205"/>
      <c r="AQ53" s="1205">
        <v>0</v>
      </c>
      <c r="AR53" s="1205"/>
      <c r="AS53" s="1205"/>
      <c r="AT53" s="1205"/>
      <c r="AU53" s="1205">
        <v>0</v>
      </c>
      <c r="AV53" s="1205"/>
      <c r="AW53" s="1205"/>
      <c r="AX53" s="1205"/>
      <c r="AY53" s="1205">
        <v>0</v>
      </c>
      <c r="AZ53" s="1205"/>
      <c r="BA53" s="1205"/>
      <c r="BB53" s="1205"/>
      <c r="BC53" s="1205">
        <v>0</v>
      </c>
      <c r="BD53" s="1205"/>
      <c r="BE53" s="1205"/>
      <c r="BF53" s="1205"/>
      <c r="BG53" s="1205">
        <v>0</v>
      </c>
      <c r="BH53" s="1205"/>
      <c r="BI53" s="1205"/>
      <c r="BJ53" s="1205"/>
      <c r="BK53" s="1205"/>
      <c r="BL53" s="1205">
        <v>0</v>
      </c>
      <c r="BM53" s="1205">
        <v>0</v>
      </c>
      <c r="BN53" s="1205"/>
      <c r="BO53" s="1205">
        <v>0</v>
      </c>
      <c r="BP53" s="1205"/>
      <c r="BQ53" s="1205"/>
      <c r="BR53" s="1205"/>
      <c r="BS53" s="1205"/>
      <c r="BT53" s="1205">
        <v>0</v>
      </c>
      <c r="BU53" s="1205"/>
      <c r="BV53" s="1205">
        <v>0</v>
      </c>
      <c r="BW53" s="1205"/>
      <c r="BX53" s="1205"/>
      <c r="BY53" s="1205"/>
      <c r="BZ53" s="1205"/>
      <c r="CA53" s="1205">
        <v>0</v>
      </c>
      <c r="CB53" s="1205"/>
      <c r="CC53" s="1205">
        <v>0</v>
      </c>
      <c r="CD53" s="1205"/>
      <c r="CE53" s="1205"/>
      <c r="CF53" s="1205"/>
      <c r="CG53" s="1205"/>
      <c r="CH53" s="1205"/>
      <c r="CI53" s="1205">
        <v>0</v>
      </c>
      <c r="CJ53" s="1205"/>
      <c r="CK53" s="1205"/>
      <c r="CL53" s="1205"/>
      <c r="CM53" s="1205"/>
      <c r="CN53" s="1205"/>
      <c r="CO53" s="1205">
        <v>0</v>
      </c>
      <c r="CP53" s="1205"/>
      <c r="CQ53" s="1205"/>
      <c r="CR53" s="1205"/>
      <c r="CS53" s="1205"/>
      <c r="CT53" s="1205">
        <v>0</v>
      </c>
      <c r="CU53" s="1205">
        <v>0</v>
      </c>
      <c r="CV53" s="1205"/>
      <c r="CW53" s="1205"/>
      <c r="CX53" s="1205">
        <v>0</v>
      </c>
      <c r="CY53" s="1205"/>
      <c r="CZ53" s="1205"/>
      <c r="DA53" s="1205">
        <v>0</v>
      </c>
      <c r="DB53" s="1205"/>
      <c r="DC53" s="1205"/>
      <c r="DD53" s="1205"/>
      <c r="DE53" s="1205">
        <v>0</v>
      </c>
      <c r="DF53" s="1205">
        <v>0</v>
      </c>
      <c r="DG53" s="1205"/>
      <c r="DH53" s="1205"/>
      <c r="DI53" s="1205">
        <v>0</v>
      </c>
      <c r="DJ53" s="1205"/>
      <c r="DK53" s="1205"/>
      <c r="DL53" s="1205">
        <v>0</v>
      </c>
      <c r="DM53" s="1205"/>
      <c r="DN53" s="1205"/>
      <c r="DO53" s="1205"/>
      <c r="DP53" s="1205"/>
      <c r="DQ53" s="1205"/>
      <c r="DR53" s="1205">
        <v>0</v>
      </c>
      <c r="DS53" s="1205"/>
      <c r="DT53" s="1205">
        <v>0</v>
      </c>
      <c r="DU53" s="1205"/>
      <c r="DV53" s="1205"/>
      <c r="DW53" s="1205">
        <v>0</v>
      </c>
      <c r="DX53" s="1205"/>
      <c r="DY53" s="1205"/>
      <c r="DZ53" s="1205"/>
      <c r="EA53" s="1205"/>
      <c r="EB53" s="1205">
        <v>0</v>
      </c>
      <c r="EC53" s="1205"/>
      <c r="ED53" s="1205"/>
      <c r="EE53" s="1205"/>
      <c r="EF53" s="1205">
        <v>0</v>
      </c>
      <c r="EG53" s="1205">
        <v>0</v>
      </c>
      <c r="EH53" s="1205"/>
      <c r="EI53" s="1205"/>
      <c r="EJ53" s="1205">
        <v>0</v>
      </c>
      <c r="EK53" s="1205"/>
      <c r="EL53" s="1205"/>
      <c r="EM53" s="1205">
        <v>0</v>
      </c>
      <c r="EN53" s="1205"/>
      <c r="EO53" s="1205"/>
      <c r="EP53" s="1205"/>
      <c r="EQ53" s="1205"/>
      <c r="ER53" s="1205"/>
      <c r="ES53" s="1205">
        <v>27520952.999999993</v>
      </c>
      <c r="ET53" s="1205">
        <v>52181627.999999993</v>
      </c>
      <c r="EU53" s="1205">
        <v>5024796.4000000004</v>
      </c>
      <c r="EV53" s="1205">
        <v>47156831.599999994</v>
      </c>
      <c r="EW53" s="1205">
        <v>0</v>
      </c>
      <c r="EX53" s="1205"/>
      <c r="EY53" s="1205"/>
      <c r="EZ53" s="1205">
        <v>-26620207</v>
      </c>
      <c r="FA53" s="1205"/>
      <c r="FB53" s="1205"/>
      <c r="FC53" s="1205">
        <v>-26620207</v>
      </c>
      <c r="FD53" s="1205">
        <v>1959532</v>
      </c>
      <c r="FE53" s="1205"/>
      <c r="FF53" s="1205">
        <v>46464243.5</v>
      </c>
      <c r="FG53" s="1205"/>
      <c r="FH53" s="1205"/>
      <c r="FI53" s="1205"/>
      <c r="FJ53" s="1205"/>
      <c r="FK53" s="1205"/>
      <c r="FL53" s="1205">
        <v>73985196.5</v>
      </c>
      <c r="FM53" s="1028">
        <v>0</v>
      </c>
    </row>
    <row r="54" spans="2:169">
      <c r="B54" s="1359">
        <v>43344</v>
      </c>
      <c r="C54" s="1205">
        <v>0</v>
      </c>
      <c r="D54" s="1205">
        <v>0</v>
      </c>
      <c r="E54" s="1205">
        <v>0</v>
      </c>
      <c r="F54" s="1205">
        <v>0</v>
      </c>
      <c r="G54" s="1205"/>
      <c r="H54" s="1205"/>
      <c r="I54" s="1205"/>
      <c r="J54" s="1205"/>
      <c r="K54" s="1205"/>
      <c r="L54" s="1205"/>
      <c r="M54" s="1205"/>
      <c r="N54" s="1205"/>
      <c r="O54" s="1205"/>
      <c r="P54" s="1205"/>
      <c r="Q54" s="1205">
        <v>0</v>
      </c>
      <c r="R54" s="1205">
        <v>0</v>
      </c>
      <c r="S54" s="1205">
        <v>0</v>
      </c>
      <c r="T54" s="1205"/>
      <c r="U54" s="1205"/>
      <c r="V54" s="1205"/>
      <c r="W54" s="1205">
        <v>0</v>
      </c>
      <c r="X54" s="1205"/>
      <c r="Y54" s="1205"/>
      <c r="Z54" s="1205"/>
      <c r="AA54" s="1205">
        <v>0</v>
      </c>
      <c r="AB54" s="1205"/>
      <c r="AC54" s="1205"/>
      <c r="AD54" s="1205"/>
      <c r="AE54" s="1205">
        <v>0</v>
      </c>
      <c r="AF54" s="1205"/>
      <c r="AG54" s="1205"/>
      <c r="AH54" s="1205"/>
      <c r="AI54" s="1205">
        <v>0</v>
      </c>
      <c r="AJ54" s="1205"/>
      <c r="AK54" s="1205"/>
      <c r="AL54" s="1205"/>
      <c r="AM54" s="1205">
        <v>0</v>
      </c>
      <c r="AN54" s="1205"/>
      <c r="AO54" s="1205"/>
      <c r="AP54" s="1205"/>
      <c r="AQ54" s="1205">
        <v>0</v>
      </c>
      <c r="AR54" s="1205"/>
      <c r="AS54" s="1205"/>
      <c r="AT54" s="1205"/>
      <c r="AU54" s="1205">
        <v>0</v>
      </c>
      <c r="AV54" s="1205"/>
      <c r="AW54" s="1205"/>
      <c r="AX54" s="1205"/>
      <c r="AY54" s="1205">
        <v>0</v>
      </c>
      <c r="AZ54" s="1205"/>
      <c r="BA54" s="1205"/>
      <c r="BB54" s="1205"/>
      <c r="BC54" s="1205">
        <v>0</v>
      </c>
      <c r="BD54" s="1205"/>
      <c r="BE54" s="1205"/>
      <c r="BF54" s="1205"/>
      <c r="BG54" s="1205">
        <v>0</v>
      </c>
      <c r="BH54" s="1205"/>
      <c r="BI54" s="1205"/>
      <c r="BJ54" s="1205"/>
      <c r="BK54" s="1205"/>
      <c r="BL54" s="1205">
        <v>0</v>
      </c>
      <c r="BM54" s="1205">
        <v>0</v>
      </c>
      <c r="BN54" s="1205"/>
      <c r="BO54" s="1205">
        <v>0</v>
      </c>
      <c r="BP54" s="1205"/>
      <c r="BQ54" s="1205"/>
      <c r="BR54" s="1205"/>
      <c r="BS54" s="1205"/>
      <c r="BT54" s="1205">
        <v>0</v>
      </c>
      <c r="BU54" s="1205"/>
      <c r="BV54" s="1205">
        <v>0</v>
      </c>
      <c r="BW54" s="1205"/>
      <c r="BX54" s="1205"/>
      <c r="BY54" s="1205"/>
      <c r="BZ54" s="1205"/>
      <c r="CA54" s="1205">
        <v>0</v>
      </c>
      <c r="CB54" s="1205"/>
      <c r="CC54" s="1205">
        <v>0</v>
      </c>
      <c r="CD54" s="1205"/>
      <c r="CE54" s="1205"/>
      <c r="CF54" s="1205"/>
      <c r="CG54" s="1205"/>
      <c r="CH54" s="1205"/>
      <c r="CI54" s="1205">
        <v>0</v>
      </c>
      <c r="CJ54" s="1205"/>
      <c r="CK54" s="1205"/>
      <c r="CL54" s="1205"/>
      <c r="CM54" s="1205"/>
      <c r="CN54" s="1205"/>
      <c r="CO54" s="1205">
        <v>0</v>
      </c>
      <c r="CP54" s="1205"/>
      <c r="CQ54" s="1205"/>
      <c r="CR54" s="1205"/>
      <c r="CS54" s="1205"/>
      <c r="CT54" s="1205">
        <v>0</v>
      </c>
      <c r="CU54" s="1205">
        <v>0</v>
      </c>
      <c r="CV54" s="1205"/>
      <c r="CW54" s="1205"/>
      <c r="CX54" s="1205">
        <v>0</v>
      </c>
      <c r="CY54" s="1205"/>
      <c r="CZ54" s="1205"/>
      <c r="DA54" s="1205">
        <v>0</v>
      </c>
      <c r="DB54" s="1205"/>
      <c r="DC54" s="1205"/>
      <c r="DD54" s="1205"/>
      <c r="DE54" s="1205">
        <v>0</v>
      </c>
      <c r="DF54" s="1205">
        <v>0</v>
      </c>
      <c r="DG54" s="1205"/>
      <c r="DH54" s="1205"/>
      <c r="DI54" s="1205">
        <v>0</v>
      </c>
      <c r="DJ54" s="1205"/>
      <c r="DK54" s="1205"/>
      <c r="DL54" s="1205">
        <v>0</v>
      </c>
      <c r="DM54" s="1205"/>
      <c r="DN54" s="1205"/>
      <c r="DO54" s="1205"/>
      <c r="DP54" s="1205"/>
      <c r="DQ54" s="1205"/>
      <c r="DR54" s="1205">
        <v>0</v>
      </c>
      <c r="DS54" s="1205"/>
      <c r="DT54" s="1205">
        <v>0</v>
      </c>
      <c r="DU54" s="1205"/>
      <c r="DV54" s="1205"/>
      <c r="DW54" s="1205">
        <v>0</v>
      </c>
      <c r="DX54" s="1205"/>
      <c r="DY54" s="1205"/>
      <c r="DZ54" s="1205"/>
      <c r="EA54" s="1205"/>
      <c r="EB54" s="1205">
        <v>0</v>
      </c>
      <c r="EC54" s="1205"/>
      <c r="ED54" s="1205"/>
      <c r="EE54" s="1205"/>
      <c r="EF54" s="1205">
        <v>0</v>
      </c>
      <c r="EG54" s="1205">
        <v>0</v>
      </c>
      <c r="EH54" s="1205"/>
      <c r="EI54" s="1205"/>
      <c r="EJ54" s="1205">
        <v>0</v>
      </c>
      <c r="EK54" s="1205"/>
      <c r="EL54" s="1205"/>
      <c r="EM54" s="1205">
        <v>0</v>
      </c>
      <c r="EN54" s="1205"/>
      <c r="EO54" s="1205"/>
      <c r="EP54" s="1205"/>
      <c r="EQ54" s="1205"/>
      <c r="ER54" s="1205"/>
      <c r="ES54" s="1205">
        <v>27633106.68529832</v>
      </c>
      <c r="ET54" s="1205">
        <v>52181627.999999993</v>
      </c>
      <c r="EU54" s="1205">
        <v>5024796.4000000004</v>
      </c>
      <c r="EV54" s="1205">
        <v>47156831.599999994</v>
      </c>
      <c r="EW54" s="1205">
        <v>0</v>
      </c>
      <c r="EX54" s="1205"/>
      <c r="EY54" s="1205"/>
      <c r="EZ54" s="1205">
        <v>-26620206.874000005</v>
      </c>
      <c r="FA54" s="1205"/>
      <c r="FB54" s="1205"/>
      <c r="FC54" s="1205">
        <v>-26620206.874000005</v>
      </c>
      <c r="FD54" s="1205">
        <v>2071685.5592983328</v>
      </c>
      <c r="FE54" s="1205"/>
      <c r="FF54" s="1205">
        <v>46464242.3426167</v>
      </c>
      <c r="FG54" s="1205"/>
      <c r="FH54" s="1205"/>
      <c r="FI54" s="1205"/>
      <c r="FJ54" s="1205"/>
      <c r="FK54" s="1205"/>
      <c r="FL54" s="1205">
        <v>74097349.027915016</v>
      </c>
      <c r="FM54" s="1028">
        <v>0</v>
      </c>
    </row>
    <row r="55" spans="2:169" s="3" customFormat="1" ht="15">
      <c r="B55" s="1408">
        <v>43374</v>
      </c>
      <c r="C55" s="949">
        <v>0</v>
      </c>
      <c r="D55" s="949">
        <v>0</v>
      </c>
      <c r="E55" s="949">
        <v>0</v>
      </c>
      <c r="F55" s="949">
        <v>0</v>
      </c>
      <c r="G55" s="949"/>
      <c r="H55" s="949"/>
      <c r="I55" s="949"/>
      <c r="J55" s="949"/>
      <c r="K55" s="949"/>
      <c r="L55" s="949"/>
      <c r="M55" s="949"/>
      <c r="N55" s="949"/>
      <c r="O55" s="949"/>
      <c r="P55" s="949"/>
      <c r="Q55" s="949">
        <v>0</v>
      </c>
      <c r="R55" s="949">
        <v>0</v>
      </c>
      <c r="S55" s="949">
        <v>0</v>
      </c>
      <c r="T55" s="949"/>
      <c r="U55" s="949"/>
      <c r="V55" s="949"/>
      <c r="W55" s="949">
        <v>0</v>
      </c>
      <c r="X55" s="949"/>
      <c r="Y55" s="949"/>
      <c r="Z55" s="949"/>
      <c r="AA55" s="949">
        <v>0</v>
      </c>
      <c r="AB55" s="949"/>
      <c r="AC55" s="949"/>
      <c r="AD55" s="949"/>
      <c r="AE55" s="949">
        <v>0</v>
      </c>
      <c r="AF55" s="949"/>
      <c r="AG55" s="949"/>
      <c r="AH55" s="949"/>
      <c r="AI55" s="949">
        <v>0</v>
      </c>
      <c r="AJ55" s="949"/>
      <c r="AK55" s="949"/>
      <c r="AL55" s="949"/>
      <c r="AM55" s="949">
        <v>0</v>
      </c>
      <c r="AN55" s="949"/>
      <c r="AO55" s="949"/>
      <c r="AP55" s="949"/>
      <c r="AQ55" s="949">
        <v>0</v>
      </c>
      <c r="AR55" s="949"/>
      <c r="AS55" s="949"/>
      <c r="AT55" s="949"/>
      <c r="AU55" s="949">
        <v>0</v>
      </c>
      <c r="AV55" s="949"/>
      <c r="AW55" s="949"/>
      <c r="AX55" s="949"/>
      <c r="AY55" s="949">
        <v>0</v>
      </c>
      <c r="AZ55" s="949"/>
      <c r="BA55" s="949"/>
      <c r="BB55" s="949"/>
      <c r="BC55" s="949">
        <v>0</v>
      </c>
      <c r="BD55" s="949"/>
      <c r="BE55" s="949"/>
      <c r="BF55" s="949"/>
      <c r="BG55" s="949">
        <v>0</v>
      </c>
      <c r="BH55" s="949"/>
      <c r="BI55" s="949"/>
      <c r="BJ55" s="949"/>
      <c r="BK55" s="949"/>
      <c r="BL55" s="949">
        <v>0</v>
      </c>
      <c r="BM55" s="949">
        <v>0</v>
      </c>
      <c r="BN55" s="949"/>
      <c r="BO55" s="949">
        <v>0</v>
      </c>
      <c r="BP55" s="949"/>
      <c r="BQ55" s="949"/>
      <c r="BR55" s="949"/>
      <c r="BS55" s="949"/>
      <c r="BT55" s="949">
        <v>0</v>
      </c>
      <c r="BU55" s="949"/>
      <c r="BV55" s="949">
        <v>0</v>
      </c>
      <c r="BW55" s="949"/>
      <c r="BX55" s="949"/>
      <c r="BY55" s="949"/>
      <c r="BZ55" s="949"/>
      <c r="CA55" s="949">
        <v>0</v>
      </c>
      <c r="CB55" s="949"/>
      <c r="CC55" s="949">
        <v>0</v>
      </c>
      <c r="CD55" s="949"/>
      <c r="CE55" s="949"/>
      <c r="CF55" s="949"/>
      <c r="CG55" s="949"/>
      <c r="CH55" s="949"/>
      <c r="CI55" s="949">
        <v>0</v>
      </c>
      <c r="CJ55" s="949"/>
      <c r="CK55" s="949"/>
      <c r="CL55" s="949"/>
      <c r="CM55" s="949"/>
      <c r="CN55" s="949"/>
      <c r="CO55" s="949">
        <v>0</v>
      </c>
      <c r="CP55" s="949"/>
      <c r="CQ55" s="949"/>
      <c r="CR55" s="949"/>
      <c r="CS55" s="949"/>
      <c r="CT55" s="949">
        <v>0</v>
      </c>
      <c r="CU55" s="949">
        <v>0</v>
      </c>
      <c r="CV55" s="949"/>
      <c r="CW55" s="949"/>
      <c r="CX55" s="949">
        <v>0</v>
      </c>
      <c r="CY55" s="949"/>
      <c r="CZ55" s="949"/>
      <c r="DA55" s="949">
        <v>0</v>
      </c>
      <c r="DB55" s="949"/>
      <c r="DC55" s="949"/>
      <c r="DD55" s="949"/>
      <c r="DE55" s="949">
        <v>0</v>
      </c>
      <c r="DF55" s="949">
        <v>0</v>
      </c>
      <c r="DG55" s="949"/>
      <c r="DH55" s="949"/>
      <c r="DI55" s="949">
        <v>0</v>
      </c>
      <c r="DJ55" s="949"/>
      <c r="DK55" s="949"/>
      <c r="DL55" s="949">
        <v>0</v>
      </c>
      <c r="DM55" s="949"/>
      <c r="DN55" s="949"/>
      <c r="DO55" s="949"/>
      <c r="DP55" s="949"/>
      <c r="DQ55" s="949"/>
      <c r="DR55" s="949">
        <v>0</v>
      </c>
      <c r="DS55" s="949"/>
      <c r="DT55" s="949">
        <v>0</v>
      </c>
      <c r="DU55" s="949"/>
      <c r="DV55" s="949"/>
      <c r="DW55" s="949">
        <v>0</v>
      </c>
      <c r="DX55" s="949"/>
      <c r="DY55" s="949"/>
      <c r="DZ55" s="949"/>
      <c r="EA55" s="949"/>
      <c r="EB55" s="949">
        <v>0</v>
      </c>
      <c r="EC55" s="949"/>
      <c r="ED55" s="949"/>
      <c r="EE55" s="949"/>
      <c r="EF55" s="949">
        <v>0</v>
      </c>
      <c r="EG55" s="949">
        <v>0</v>
      </c>
      <c r="EH55" s="949"/>
      <c r="EI55" s="949"/>
      <c r="EJ55" s="949">
        <v>0</v>
      </c>
      <c r="EK55" s="949"/>
      <c r="EL55" s="949"/>
      <c r="EM55" s="949">
        <v>0</v>
      </c>
      <c r="EN55" s="949"/>
      <c r="EO55" s="949"/>
      <c r="EP55" s="949"/>
      <c r="EQ55" s="949"/>
      <c r="ER55" s="949"/>
      <c r="ES55" s="949">
        <v>41103323.188499995</v>
      </c>
      <c r="ET55" s="949">
        <v>47369513.960000001</v>
      </c>
      <c r="EU55" s="949">
        <v>5024823.0000000009</v>
      </c>
      <c r="EV55" s="949">
        <v>42344690.960000001</v>
      </c>
      <c r="EW55" s="949">
        <v>0</v>
      </c>
      <c r="EX55" s="949"/>
      <c r="EY55" s="949"/>
      <c r="EZ55" s="949">
        <v>-12387196.945000008</v>
      </c>
      <c r="FA55" s="949"/>
      <c r="FB55" s="949"/>
      <c r="FC55" s="949">
        <v>-12387196.945000008</v>
      </c>
      <c r="FD55" s="949">
        <v>6121006.1735000024</v>
      </c>
      <c r="FE55" s="949"/>
      <c r="FF55" s="949">
        <v>44272355.549999997</v>
      </c>
      <c r="FG55" s="949"/>
      <c r="FH55" s="949"/>
      <c r="FI55" s="949"/>
      <c r="FJ55" s="949"/>
      <c r="FK55" s="949"/>
      <c r="FL55" s="949">
        <v>85375678.738499999</v>
      </c>
      <c r="FM55" s="3">
        <v>0</v>
      </c>
    </row>
    <row r="56" spans="2:169" s="3" customFormat="1" ht="15">
      <c r="B56" s="1408">
        <v>43405</v>
      </c>
      <c r="C56" s="3">
        <v>0</v>
      </c>
      <c r="D56" s="3">
        <v>0</v>
      </c>
      <c r="E56" s="3">
        <v>0</v>
      </c>
      <c r="F56" s="3">
        <v>0</v>
      </c>
      <c r="Q56" s="3">
        <v>0</v>
      </c>
      <c r="R56" s="3">
        <v>0</v>
      </c>
      <c r="S56" s="3">
        <v>0</v>
      </c>
      <c r="W56" s="3">
        <v>0</v>
      </c>
      <c r="AA56" s="3">
        <v>0</v>
      </c>
      <c r="AE56" s="3">
        <v>0</v>
      </c>
      <c r="AI56" s="3">
        <v>0</v>
      </c>
      <c r="AM56" s="3">
        <v>0</v>
      </c>
      <c r="AQ56" s="3">
        <v>0</v>
      </c>
      <c r="AU56" s="3">
        <v>0</v>
      </c>
      <c r="AY56" s="3">
        <v>0</v>
      </c>
      <c r="BC56" s="3">
        <v>0</v>
      </c>
      <c r="BG56" s="3">
        <v>0</v>
      </c>
      <c r="BL56" s="3">
        <v>0</v>
      </c>
      <c r="BM56" s="3">
        <v>0</v>
      </c>
      <c r="BO56" s="3">
        <v>0</v>
      </c>
      <c r="BT56" s="3">
        <v>0</v>
      </c>
      <c r="BV56" s="3">
        <v>0</v>
      </c>
      <c r="CA56" s="3">
        <v>0</v>
      </c>
      <c r="CC56" s="3">
        <v>0</v>
      </c>
      <c r="CI56" s="3">
        <v>0</v>
      </c>
      <c r="CO56" s="3">
        <v>0</v>
      </c>
      <c r="CT56" s="3">
        <v>0</v>
      </c>
      <c r="CU56" s="3">
        <v>0</v>
      </c>
      <c r="CX56" s="3">
        <v>0</v>
      </c>
      <c r="DA56" s="3">
        <v>0</v>
      </c>
      <c r="DE56" s="3">
        <v>0</v>
      </c>
      <c r="DF56" s="3">
        <v>0</v>
      </c>
      <c r="DI56" s="3">
        <v>0</v>
      </c>
      <c r="DL56" s="3">
        <v>0</v>
      </c>
      <c r="DR56" s="3">
        <v>0</v>
      </c>
      <c r="DT56" s="3">
        <v>0</v>
      </c>
      <c r="DW56" s="3">
        <v>0</v>
      </c>
      <c r="EB56" s="3">
        <v>0</v>
      </c>
      <c r="EF56" s="3">
        <v>0</v>
      </c>
      <c r="EG56" s="3">
        <v>0</v>
      </c>
      <c r="EJ56" s="3">
        <v>0</v>
      </c>
      <c r="EM56" s="3">
        <v>0</v>
      </c>
      <c r="ES56" s="3">
        <v>38817442.522500008</v>
      </c>
      <c r="ET56" s="3">
        <v>50248230</v>
      </c>
      <c r="EU56" s="3">
        <v>5024823.0000000009</v>
      </c>
      <c r="EV56" s="3">
        <v>45223407</v>
      </c>
      <c r="EW56" s="3">
        <v>0</v>
      </c>
      <c r="EZ56" s="3">
        <v>-18048725.084999993</v>
      </c>
      <c r="FC56" s="3">
        <v>-18048725.084999993</v>
      </c>
      <c r="FD56" s="3">
        <v>6617937.6075000018</v>
      </c>
      <c r="FF56" s="3">
        <v>44555034.120000005</v>
      </c>
      <c r="FL56" s="3">
        <v>83372476.642500013</v>
      </c>
      <c r="FM56" s="3">
        <v>0</v>
      </c>
    </row>
    <row r="57" spans="2:169" s="3" customFormat="1" ht="15">
      <c r="B57" s="1408">
        <v>43435</v>
      </c>
      <c r="C57" s="3">
        <v>0</v>
      </c>
      <c r="D57" s="3">
        <v>0</v>
      </c>
      <c r="E57" s="3">
        <v>0</v>
      </c>
      <c r="F57" s="3">
        <v>0</v>
      </c>
      <c r="Q57" s="3">
        <v>0</v>
      </c>
      <c r="R57" s="3">
        <v>0</v>
      </c>
      <c r="S57" s="3">
        <v>0</v>
      </c>
      <c r="W57" s="3">
        <v>0</v>
      </c>
      <c r="AA57" s="3">
        <v>0</v>
      </c>
      <c r="AE57" s="3">
        <v>0</v>
      </c>
      <c r="AI57" s="3">
        <v>0</v>
      </c>
      <c r="AM57" s="3">
        <v>0</v>
      </c>
      <c r="AQ57" s="3">
        <v>0</v>
      </c>
      <c r="AU57" s="3">
        <v>0</v>
      </c>
      <c r="AY57" s="3">
        <v>0</v>
      </c>
      <c r="BC57" s="3">
        <v>0</v>
      </c>
      <c r="BG57" s="3">
        <v>0</v>
      </c>
      <c r="BL57" s="3">
        <v>0</v>
      </c>
      <c r="BM57" s="3">
        <v>0</v>
      </c>
      <c r="BO57" s="3">
        <v>0</v>
      </c>
      <c r="BT57" s="3">
        <v>0</v>
      </c>
      <c r="BV57" s="3">
        <v>0</v>
      </c>
      <c r="CA57" s="3">
        <v>0</v>
      </c>
      <c r="CC57" s="3">
        <v>0</v>
      </c>
      <c r="CI57" s="3">
        <v>0</v>
      </c>
      <c r="CO57" s="3">
        <v>0</v>
      </c>
      <c r="CT57" s="3">
        <v>0</v>
      </c>
      <c r="CU57" s="3">
        <v>0</v>
      </c>
      <c r="CX57" s="3">
        <v>0</v>
      </c>
      <c r="DA57" s="3">
        <v>0</v>
      </c>
      <c r="DE57" s="3">
        <v>0</v>
      </c>
      <c r="DF57" s="3">
        <v>0</v>
      </c>
      <c r="DI57" s="3">
        <v>0</v>
      </c>
      <c r="DL57" s="3">
        <v>0</v>
      </c>
      <c r="DR57" s="3">
        <v>0</v>
      </c>
      <c r="DT57" s="3">
        <v>0</v>
      </c>
      <c r="DW57" s="3">
        <v>0</v>
      </c>
      <c r="EB57" s="3">
        <v>0</v>
      </c>
      <c r="EF57" s="3">
        <v>0</v>
      </c>
      <c r="EG57" s="3">
        <v>0</v>
      </c>
      <c r="EJ57" s="3">
        <v>0</v>
      </c>
      <c r="EM57" s="3">
        <v>0</v>
      </c>
      <c r="ES57" s="3">
        <v>36628316.060000002</v>
      </c>
      <c r="ET57" s="3">
        <v>50248230</v>
      </c>
      <c r="EU57" s="3">
        <v>5024823.0000000009</v>
      </c>
      <c r="EV57" s="3">
        <v>45223407</v>
      </c>
      <c r="EW57" s="3">
        <v>0</v>
      </c>
      <c r="EZ57" s="3">
        <v>-19657099.037499987</v>
      </c>
      <c r="FC57" s="3">
        <v>-19657099.037499987</v>
      </c>
      <c r="FD57" s="3">
        <v>6037185.0974999908</v>
      </c>
      <c r="FF57" s="3">
        <v>44787930.550000004</v>
      </c>
      <c r="FL57" s="3">
        <v>81416246.610000014</v>
      </c>
    </row>
    <row r="60" spans="2:169" s="1364" customFormat="1" ht="15.6">
      <c r="B60" s="1408">
        <v>43466</v>
      </c>
      <c r="C60" s="1364">
        <v>0</v>
      </c>
      <c r="D60" s="1364">
        <v>0</v>
      </c>
      <c r="E60" s="1364">
        <v>0</v>
      </c>
      <c r="F60" s="1364">
        <v>0</v>
      </c>
      <c r="Q60" s="1364">
        <v>0</v>
      </c>
      <c r="R60" s="1364">
        <v>0</v>
      </c>
      <c r="S60" s="1364">
        <v>0</v>
      </c>
      <c r="W60" s="1364">
        <v>0</v>
      </c>
      <c r="AA60" s="1364">
        <v>0</v>
      </c>
      <c r="AE60" s="1364">
        <v>0</v>
      </c>
      <c r="AI60" s="1364">
        <v>0</v>
      </c>
      <c r="AM60" s="1364">
        <v>0</v>
      </c>
      <c r="AQ60" s="1364">
        <v>0</v>
      </c>
      <c r="AU60" s="1364">
        <v>0</v>
      </c>
      <c r="AY60" s="1364">
        <v>0</v>
      </c>
      <c r="BC60" s="1364">
        <v>0</v>
      </c>
      <c r="BG60" s="1364">
        <v>0</v>
      </c>
      <c r="BL60" s="1364">
        <v>0</v>
      </c>
      <c r="BM60" s="1364">
        <v>0</v>
      </c>
      <c r="BO60" s="1364">
        <v>0</v>
      </c>
      <c r="BT60" s="1364">
        <v>0</v>
      </c>
      <c r="BV60" s="1364">
        <v>0</v>
      </c>
      <c r="CA60" s="1364">
        <v>0</v>
      </c>
      <c r="CC60" s="1364">
        <v>0</v>
      </c>
      <c r="CI60" s="1364">
        <v>0</v>
      </c>
      <c r="CO60" s="1364">
        <v>0</v>
      </c>
      <c r="CT60" s="1364">
        <v>0</v>
      </c>
      <c r="CU60" s="1364">
        <v>0</v>
      </c>
      <c r="CX60" s="1364">
        <v>0</v>
      </c>
      <c r="DA60" s="1364">
        <v>0</v>
      </c>
      <c r="DE60" s="1364">
        <v>0</v>
      </c>
      <c r="DF60" s="1364">
        <v>0</v>
      </c>
      <c r="DI60" s="1364">
        <v>0</v>
      </c>
      <c r="DL60" s="1364">
        <v>0</v>
      </c>
      <c r="DR60" s="1364">
        <v>0</v>
      </c>
      <c r="DT60" s="1364">
        <v>0</v>
      </c>
      <c r="DW60" s="1364">
        <v>0</v>
      </c>
      <c r="EB60" s="1364">
        <v>0</v>
      </c>
      <c r="EF60" s="1364">
        <v>0</v>
      </c>
      <c r="EG60" s="1364">
        <v>0</v>
      </c>
      <c r="EJ60" s="1364">
        <v>0</v>
      </c>
      <c r="EM60" s="1364">
        <v>0</v>
      </c>
      <c r="ES60" s="1364">
        <v>37471910.779999994</v>
      </c>
      <c r="ET60" s="1364">
        <v>50248230</v>
      </c>
      <c r="EU60" s="1364">
        <v>5024823.0000000009</v>
      </c>
      <c r="EV60" s="1364">
        <v>45223407</v>
      </c>
      <c r="EW60" s="1364">
        <v>0</v>
      </c>
      <c r="EZ60" s="1364">
        <v>-15345408.857499994</v>
      </c>
      <c r="FC60" s="1364">
        <v>-15345408.857499994</v>
      </c>
      <c r="FD60" s="1364">
        <v>2569089.6374999862</v>
      </c>
      <c r="FF60" s="1364">
        <v>44860954.130000003</v>
      </c>
      <c r="FL60" s="1364">
        <v>82332864.909999996</v>
      </c>
    </row>
    <row r="61" spans="2:169" ht="15.6">
      <c r="B61" s="1408">
        <v>43497</v>
      </c>
      <c r="C61" s="1028">
        <v>0</v>
      </c>
      <c r="D61" s="1028">
        <v>0</v>
      </c>
      <c r="E61" s="1028">
        <v>0</v>
      </c>
      <c r="F61" s="1028">
        <v>0</v>
      </c>
      <c r="Q61" s="1028">
        <v>0</v>
      </c>
      <c r="R61" s="1028">
        <v>0</v>
      </c>
      <c r="S61" s="1028">
        <v>0</v>
      </c>
      <c r="W61" s="1028">
        <v>0</v>
      </c>
      <c r="AA61" s="1028">
        <v>0</v>
      </c>
      <c r="AE61" s="1028">
        <v>0</v>
      </c>
      <c r="AI61" s="1028">
        <v>0</v>
      </c>
      <c r="AM61" s="1028">
        <v>0</v>
      </c>
      <c r="AQ61" s="1028">
        <v>0</v>
      </c>
      <c r="AU61" s="1028">
        <v>0</v>
      </c>
      <c r="AY61" s="1028">
        <v>0</v>
      </c>
      <c r="BC61" s="1028">
        <v>0</v>
      </c>
      <c r="BG61" s="1028">
        <v>0</v>
      </c>
      <c r="BL61" s="1028">
        <v>0</v>
      </c>
      <c r="BM61" s="1028">
        <v>0</v>
      </c>
      <c r="BO61" s="1028">
        <v>0</v>
      </c>
      <c r="BT61" s="1028">
        <v>0</v>
      </c>
      <c r="BV61" s="1028">
        <v>0</v>
      </c>
      <c r="CA61" s="1028">
        <v>0</v>
      </c>
      <c r="CC61" s="1028">
        <v>0</v>
      </c>
      <c r="CI61" s="1028">
        <v>0</v>
      </c>
      <c r="CO61" s="1028">
        <v>0</v>
      </c>
      <c r="CT61" s="1028">
        <v>0</v>
      </c>
      <c r="CU61" s="1028">
        <v>0</v>
      </c>
      <c r="CX61" s="1028">
        <v>0</v>
      </c>
      <c r="DA61" s="1028">
        <v>0</v>
      </c>
      <c r="DE61" s="1028">
        <v>0</v>
      </c>
      <c r="DF61" s="1028">
        <v>0</v>
      </c>
      <c r="DI61" s="1028">
        <v>0</v>
      </c>
      <c r="DL61" s="1028">
        <v>0</v>
      </c>
      <c r="DR61" s="1028">
        <v>0</v>
      </c>
      <c r="DT61" s="1028">
        <v>0</v>
      </c>
      <c r="DW61" s="1028">
        <v>0</v>
      </c>
      <c r="EB61" s="1028">
        <v>0</v>
      </c>
      <c r="EF61" s="1028">
        <v>0</v>
      </c>
      <c r="EG61" s="1028">
        <v>0</v>
      </c>
      <c r="EJ61" s="1028">
        <v>0</v>
      </c>
      <c r="EM61" s="1028">
        <v>0</v>
      </c>
      <c r="ES61" s="1028">
        <v>79418788.75999999</v>
      </c>
      <c r="ET61" s="1028">
        <v>50248230</v>
      </c>
      <c r="EU61" s="1028">
        <v>5024823.0000000009</v>
      </c>
      <c r="EV61" s="1028">
        <v>45223407</v>
      </c>
      <c r="EW61" s="1028">
        <v>0</v>
      </c>
      <c r="EZ61" s="1028">
        <v>26486351.12250001</v>
      </c>
      <c r="FA61" s="1028">
        <v>41831759.980000004</v>
      </c>
      <c r="FC61" s="1028">
        <v>-15345408.857499994</v>
      </c>
      <c r="FD61" s="1028">
        <v>2684207.6374999862</v>
      </c>
      <c r="FF61" s="1028">
        <v>3029193.9300000016</v>
      </c>
      <c r="FL61" s="1028">
        <v>82447982.689999998</v>
      </c>
      <c r="FM61" s="1028">
        <v>0</v>
      </c>
    </row>
    <row r="62" spans="2:169" ht="15.6">
      <c r="B62" s="1408">
        <v>43525</v>
      </c>
      <c r="C62" s="1028">
        <v>0</v>
      </c>
      <c r="D62" s="1028">
        <v>0</v>
      </c>
      <c r="E62" s="1028">
        <v>0</v>
      </c>
      <c r="F62" s="1028">
        <v>0</v>
      </c>
      <c r="Q62" s="1028">
        <v>0</v>
      </c>
      <c r="R62" s="1028">
        <v>0</v>
      </c>
      <c r="S62" s="1028">
        <v>0</v>
      </c>
      <c r="W62" s="1028">
        <v>0</v>
      </c>
      <c r="AA62" s="1028">
        <v>0</v>
      </c>
      <c r="AE62" s="1028">
        <v>0</v>
      </c>
      <c r="AI62" s="1028">
        <v>0</v>
      </c>
      <c r="AM62" s="1028">
        <v>0</v>
      </c>
      <c r="AQ62" s="1028">
        <v>0</v>
      </c>
      <c r="AU62" s="1028">
        <v>0</v>
      </c>
      <c r="AY62" s="1028">
        <v>0</v>
      </c>
      <c r="BC62" s="1028">
        <v>0</v>
      </c>
      <c r="BG62" s="1028">
        <v>0</v>
      </c>
      <c r="BL62" s="1028">
        <v>0</v>
      </c>
      <c r="BM62" s="1028">
        <v>0</v>
      </c>
      <c r="BO62" s="1028">
        <v>0</v>
      </c>
      <c r="BT62" s="1028">
        <v>0</v>
      </c>
      <c r="BV62" s="1028">
        <v>0</v>
      </c>
      <c r="CA62" s="1028">
        <v>0</v>
      </c>
      <c r="CC62" s="1028">
        <v>0</v>
      </c>
      <c r="CI62" s="1028">
        <v>0</v>
      </c>
      <c r="CO62" s="1028">
        <v>0</v>
      </c>
      <c r="CT62" s="1028">
        <v>0</v>
      </c>
      <c r="CU62" s="1028">
        <v>0</v>
      </c>
      <c r="CX62" s="1028">
        <v>0</v>
      </c>
      <c r="DA62" s="1028">
        <v>0</v>
      </c>
      <c r="DE62" s="1028">
        <v>0</v>
      </c>
      <c r="DF62" s="1028">
        <v>0</v>
      </c>
      <c r="DI62" s="1028">
        <v>0</v>
      </c>
      <c r="DL62" s="1028">
        <v>0</v>
      </c>
      <c r="DR62" s="1028">
        <v>0</v>
      </c>
      <c r="DT62" s="1028">
        <v>0</v>
      </c>
      <c r="DW62" s="1028">
        <v>0</v>
      </c>
      <c r="EB62" s="1028">
        <v>0</v>
      </c>
      <c r="EF62" s="1028">
        <v>0</v>
      </c>
      <c r="EG62" s="1028">
        <v>0</v>
      </c>
      <c r="EJ62" s="1028">
        <v>0</v>
      </c>
      <c r="EM62" s="1028">
        <v>0</v>
      </c>
      <c r="ES62" s="1028">
        <v>79569996.839999989</v>
      </c>
      <c r="ET62" s="1028">
        <v>50248230</v>
      </c>
      <c r="EU62" s="1028">
        <v>5024823.0000000009</v>
      </c>
      <c r="EV62" s="1028">
        <v>45223407</v>
      </c>
      <c r="EW62" s="1028">
        <v>0</v>
      </c>
      <c r="EZ62" s="1028">
        <v>26486351.202500001</v>
      </c>
      <c r="FA62" s="1028">
        <v>41831759.980000004</v>
      </c>
      <c r="FC62" s="1028">
        <v>-15345408.777500004</v>
      </c>
      <c r="FD62" s="1028">
        <v>2835415.6374999862</v>
      </c>
      <c r="FF62" s="1028">
        <v>3029193.8499999885</v>
      </c>
      <c r="FL62" s="1028">
        <v>82599190.689999983</v>
      </c>
      <c r="FM62" s="1028">
        <v>0</v>
      </c>
    </row>
    <row r="63" spans="2:169" ht="15.6">
      <c r="B63" s="1408">
        <v>43556</v>
      </c>
      <c r="C63" s="1028">
        <v>0</v>
      </c>
      <c r="D63" s="1028">
        <v>0</v>
      </c>
      <c r="E63" s="1028">
        <v>0</v>
      </c>
      <c r="F63" s="1028">
        <v>0</v>
      </c>
      <c r="Q63" s="1028">
        <v>0</v>
      </c>
      <c r="R63" s="1028">
        <v>0</v>
      </c>
      <c r="S63" s="1028">
        <v>0</v>
      </c>
      <c r="W63" s="1028">
        <v>0</v>
      </c>
      <c r="AA63" s="1028">
        <v>0</v>
      </c>
      <c r="AE63" s="1028">
        <v>0</v>
      </c>
      <c r="AI63" s="1028">
        <v>0</v>
      </c>
      <c r="AM63" s="1028">
        <v>0</v>
      </c>
      <c r="AQ63" s="1028">
        <v>0</v>
      </c>
      <c r="AU63" s="1028">
        <v>0</v>
      </c>
      <c r="AY63" s="1028">
        <v>0</v>
      </c>
      <c r="BC63" s="1028">
        <v>0</v>
      </c>
      <c r="BG63" s="1028">
        <v>0</v>
      </c>
      <c r="BL63" s="1028">
        <v>0</v>
      </c>
      <c r="BM63" s="1028">
        <v>0</v>
      </c>
      <c r="BO63" s="1028">
        <v>0</v>
      </c>
      <c r="BT63" s="1028">
        <v>0</v>
      </c>
      <c r="BV63" s="1028">
        <v>0</v>
      </c>
      <c r="CA63" s="1028">
        <v>0</v>
      </c>
      <c r="CC63" s="1028">
        <v>0</v>
      </c>
      <c r="CI63" s="1028">
        <v>0</v>
      </c>
      <c r="CO63" s="1028">
        <v>0</v>
      </c>
      <c r="CT63" s="1028">
        <v>0</v>
      </c>
      <c r="CU63" s="1028">
        <v>0</v>
      </c>
      <c r="CX63" s="1028">
        <v>0</v>
      </c>
      <c r="DA63" s="1028">
        <v>0</v>
      </c>
      <c r="DE63" s="1028">
        <v>0</v>
      </c>
      <c r="DF63" s="1028">
        <v>0</v>
      </c>
      <c r="DI63" s="1028">
        <v>0</v>
      </c>
      <c r="DL63" s="1028">
        <v>0</v>
      </c>
      <c r="DR63" s="1028">
        <v>0</v>
      </c>
      <c r="DT63" s="1028">
        <v>0</v>
      </c>
      <c r="DW63" s="1028">
        <v>0</v>
      </c>
      <c r="EB63" s="1028">
        <v>0</v>
      </c>
      <c r="EF63" s="1028">
        <v>0</v>
      </c>
      <c r="EG63" s="1028">
        <v>0</v>
      </c>
      <c r="EJ63" s="1028">
        <v>0</v>
      </c>
      <c r="EM63" s="1028">
        <v>0</v>
      </c>
      <c r="ES63" s="1028">
        <v>80265687.599999994</v>
      </c>
      <c r="ET63" s="1028">
        <v>50248230</v>
      </c>
      <c r="EU63" s="1028">
        <v>5024823.0000000009</v>
      </c>
      <c r="EV63" s="1028">
        <v>45223407</v>
      </c>
      <c r="EW63" s="1028">
        <v>0</v>
      </c>
      <c r="EZ63" s="1028">
        <v>28997811.102500007</v>
      </c>
      <c r="FA63" s="1028">
        <v>42343577.690000005</v>
      </c>
      <c r="FC63" s="1028">
        <v>-13345766.587499999</v>
      </c>
      <c r="FD63" s="1028">
        <v>1019646.4974999845</v>
      </c>
      <c r="FF63" s="1028">
        <v>3033873.11</v>
      </c>
      <c r="FL63" s="1028">
        <v>83299560.709999993</v>
      </c>
      <c r="FM63" s="1028">
        <v>-7.9999983310699463E-2</v>
      </c>
    </row>
    <row r="64" spans="2:169" ht="15.6">
      <c r="B64" s="1408">
        <v>43586</v>
      </c>
      <c r="C64" s="1028">
        <v>0</v>
      </c>
      <c r="D64" s="1028">
        <v>0</v>
      </c>
      <c r="E64" s="1028">
        <v>0</v>
      </c>
      <c r="F64" s="1028">
        <v>0</v>
      </c>
      <c r="Q64" s="1028">
        <v>0</v>
      </c>
      <c r="R64" s="1028">
        <v>0</v>
      </c>
      <c r="S64" s="1028">
        <v>0</v>
      </c>
      <c r="W64" s="1028">
        <v>0</v>
      </c>
      <c r="AA64" s="1028">
        <v>0</v>
      </c>
      <c r="AE64" s="1028">
        <v>0</v>
      </c>
      <c r="AI64" s="1028">
        <v>0</v>
      </c>
      <c r="AM64" s="1028">
        <v>0</v>
      </c>
      <c r="AQ64" s="1028">
        <v>0</v>
      </c>
      <c r="AU64" s="1028">
        <v>0</v>
      </c>
      <c r="AY64" s="1028">
        <v>0</v>
      </c>
      <c r="BC64" s="1028">
        <v>0</v>
      </c>
      <c r="BG64" s="1028">
        <v>0</v>
      </c>
      <c r="BL64" s="1028">
        <v>0</v>
      </c>
      <c r="BM64" s="1028">
        <v>0</v>
      </c>
      <c r="BO64" s="1028">
        <v>0</v>
      </c>
      <c r="BT64" s="1028">
        <v>0</v>
      </c>
      <c r="BV64" s="1028">
        <v>0</v>
      </c>
      <c r="CA64" s="1028">
        <v>0</v>
      </c>
      <c r="CC64" s="1028">
        <v>0</v>
      </c>
      <c r="CI64" s="1028">
        <v>0</v>
      </c>
      <c r="CO64" s="1028">
        <v>0</v>
      </c>
      <c r="CT64" s="1028">
        <v>0</v>
      </c>
      <c r="CU64" s="1028">
        <v>0</v>
      </c>
      <c r="CX64" s="1028">
        <v>0</v>
      </c>
      <c r="DA64" s="1028">
        <v>0</v>
      </c>
      <c r="DE64" s="1028">
        <v>0</v>
      </c>
      <c r="DF64" s="1028">
        <v>0</v>
      </c>
      <c r="DI64" s="1028">
        <v>0</v>
      </c>
      <c r="DL64" s="1028">
        <v>0</v>
      </c>
      <c r="DR64" s="1028">
        <v>0</v>
      </c>
      <c r="DT64" s="1028">
        <v>0</v>
      </c>
      <c r="DW64" s="1028">
        <v>0</v>
      </c>
      <c r="EB64" s="1028">
        <v>0</v>
      </c>
      <c r="EF64" s="1028">
        <v>0</v>
      </c>
      <c r="EG64" s="1028">
        <v>0</v>
      </c>
      <c r="EJ64" s="1028">
        <v>0</v>
      </c>
      <c r="EM64" s="1028">
        <v>0</v>
      </c>
      <c r="ES64" s="1028">
        <v>78629713.277499989</v>
      </c>
      <c r="ET64" s="1028">
        <v>50248230</v>
      </c>
      <c r="EU64" s="1028">
        <v>5024823.0000000009</v>
      </c>
      <c r="EV64" s="1028">
        <v>45223407</v>
      </c>
      <c r="EW64" s="1028">
        <v>0</v>
      </c>
      <c r="EZ64" s="1028">
        <v>26020711.950000003</v>
      </c>
      <c r="FA64" s="1028">
        <v>41043824.950000003</v>
      </c>
      <c r="FC64" s="1028">
        <v>-15023113</v>
      </c>
      <c r="FD64" s="1028">
        <v>2360771.3274999801</v>
      </c>
      <c r="FF64" s="1028">
        <v>3033872.8225000207</v>
      </c>
      <c r="FL64" s="1028">
        <v>81663586.100000009</v>
      </c>
      <c r="FM64" s="1028">
        <v>0</v>
      </c>
    </row>
    <row r="65" spans="2:188" s="3" customFormat="1" ht="15.6">
      <c r="B65" s="1408">
        <v>43617</v>
      </c>
      <c r="C65" s="1028">
        <v>0</v>
      </c>
      <c r="D65" s="3">
        <v>0</v>
      </c>
      <c r="E65" s="3">
        <v>0</v>
      </c>
      <c r="F65" s="3">
        <v>0</v>
      </c>
      <c r="Q65" s="3">
        <v>0</v>
      </c>
      <c r="R65" s="3">
        <v>0</v>
      </c>
      <c r="S65" s="3">
        <v>0</v>
      </c>
      <c r="W65" s="3">
        <v>0</v>
      </c>
      <c r="AA65" s="3">
        <v>0</v>
      </c>
      <c r="AE65" s="3">
        <v>0</v>
      </c>
      <c r="AI65" s="3">
        <v>0</v>
      </c>
      <c r="AM65" s="3">
        <v>0</v>
      </c>
      <c r="AQ65" s="3">
        <v>0</v>
      </c>
      <c r="AU65" s="3">
        <v>0</v>
      </c>
      <c r="AY65" s="3">
        <v>0</v>
      </c>
      <c r="BC65" s="3">
        <v>0</v>
      </c>
      <c r="BG65" s="3">
        <v>0</v>
      </c>
      <c r="BL65" s="3">
        <v>0</v>
      </c>
      <c r="BM65" s="3">
        <v>0</v>
      </c>
      <c r="BO65" s="3">
        <v>0</v>
      </c>
      <c r="BT65" s="3">
        <v>0</v>
      </c>
      <c r="BV65" s="3">
        <v>0</v>
      </c>
      <c r="CA65" s="3">
        <v>0</v>
      </c>
      <c r="CC65" s="3">
        <v>0</v>
      </c>
      <c r="CI65" s="3">
        <v>0</v>
      </c>
      <c r="CO65" s="3">
        <v>0</v>
      </c>
      <c r="CT65" s="3">
        <v>0</v>
      </c>
      <c r="CU65" s="3">
        <v>0</v>
      </c>
      <c r="CX65" s="3">
        <v>0</v>
      </c>
      <c r="DA65" s="3">
        <v>0</v>
      </c>
      <c r="DE65" s="3">
        <v>0</v>
      </c>
      <c r="DF65" s="3">
        <v>0</v>
      </c>
      <c r="DI65" s="3">
        <v>0</v>
      </c>
      <c r="DL65" s="3">
        <v>0</v>
      </c>
      <c r="DR65" s="3">
        <v>0</v>
      </c>
      <c r="DT65" s="3">
        <v>0</v>
      </c>
      <c r="DW65" s="3">
        <v>0</v>
      </c>
      <c r="EB65" s="3">
        <v>0</v>
      </c>
      <c r="EF65" s="3">
        <v>0</v>
      </c>
      <c r="EG65" s="3">
        <v>0</v>
      </c>
      <c r="EJ65" s="3">
        <v>0</v>
      </c>
      <c r="EM65" s="3">
        <v>0</v>
      </c>
      <c r="ES65" s="3">
        <v>81564152.174999997</v>
      </c>
      <c r="ET65" s="3">
        <v>49730108</v>
      </c>
      <c r="EU65" s="3">
        <v>4978411</v>
      </c>
      <c r="EV65" s="3">
        <v>44751697</v>
      </c>
      <c r="EW65" s="3">
        <v>0</v>
      </c>
      <c r="EX65" s="3">
        <v>0</v>
      </c>
      <c r="EY65" s="3">
        <v>0</v>
      </c>
      <c r="EZ65" s="3">
        <v>26148027.782500014</v>
      </c>
      <c r="FA65" s="3">
        <v>41194579.210000008</v>
      </c>
      <c r="FB65" s="3">
        <v>0</v>
      </c>
      <c r="FC65" s="3">
        <v>-15046551.427499995</v>
      </c>
      <c r="FD65" s="3">
        <v>5686016.3924999852</v>
      </c>
      <c r="FF65" s="3">
        <v>3041688.4500000025</v>
      </c>
      <c r="FL65" s="3">
        <v>84605840.625</v>
      </c>
      <c r="FM65" s="3">
        <v>0</v>
      </c>
    </row>
    <row r="66" spans="2:188" ht="15.6">
      <c r="B66" s="1408">
        <v>43647</v>
      </c>
      <c r="C66" s="1028">
        <v>0</v>
      </c>
      <c r="D66" s="1028">
        <v>0</v>
      </c>
      <c r="E66" s="1028">
        <v>0</v>
      </c>
      <c r="F66" s="1028">
        <v>0</v>
      </c>
      <c r="Q66" s="1028">
        <v>0</v>
      </c>
      <c r="R66" s="1028">
        <v>0</v>
      </c>
      <c r="S66" s="1028">
        <v>0</v>
      </c>
      <c r="W66" s="1028">
        <v>0</v>
      </c>
      <c r="AA66" s="1028">
        <v>0</v>
      </c>
      <c r="AE66" s="1028">
        <v>0</v>
      </c>
      <c r="AI66" s="1028">
        <v>0</v>
      </c>
      <c r="AM66" s="1028">
        <v>0</v>
      </c>
      <c r="AQ66" s="1028">
        <v>0</v>
      </c>
      <c r="AU66" s="1028">
        <v>0</v>
      </c>
      <c r="AY66" s="1028">
        <v>0</v>
      </c>
      <c r="BC66" s="1028">
        <v>0</v>
      </c>
      <c r="BG66" s="1028">
        <v>0</v>
      </c>
      <c r="BL66" s="1028">
        <v>0</v>
      </c>
      <c r="BM66" s="1028">
        <v>0</v>
      </c>
      <c r="BO66" s="1028">
        <v>0</v>
      </c>
      <c r="BT66" s="1028">
        <v>0</v>
      </c>
      <c r="BV66" s="1028">
        <v>0</v>
      </c>
      <c r="CA66" s="1028">
        <v>0</v>
      </c>
      <c r="CC66" s="1028">
        <v>0</v>
      </c>
      <c r="CI66" s="1028">
        <v>0</v>
      </c>
      <c r="CO66" s="1028">
        <v>0</v>
      </c>
      <c r="CT66" s="1028">
        <v>0</v>
      </c>
      <c r="CU66" s="1028">
        <v>0</v>
      </c>
      <c r="CX66" s="1028">
        <v>0</v>
      </c>
      <c r="DA66" s="1028">
        <v>0</v>
      </c>
      <c r="DE66" s="1028">
        <v>0</v>
      </c>
      <c r="DF66" s="1028">
        <v>0</v>
      </c>
      <c r="DI66" s="1028">
        <v>0</v>
      </c>
      <c r="DL66" s="1028">
        <v>0</v>
      </c>
      <c r="DR66" s="1028">
        <v>0</v>
      </c>
      <c r="DT66" s="1028">
        <v>0</v>
      </c>
      <c r="DW66" s="1028">
        <v>0</v>
      </c>
      <c r="EB66" s="1028">
        <v>0</v>
      </c>
      <c r="EF66" s="1028">
        <v>0</v>
      </c>
      <c r="EG66" s="1028">
        <v>0</v>
      </c>
      <c r="EJ66" s="1028">
        <v>0</v>
      </c>
      <c r="EM66" s="1028">
        <v>0</v>
      </c>
      <c r="ES66" s="1028">
        <v>76811683</v>
      </c>
      <c r="ET66" s="1028">
        <v>49730108</v>
      </c>
      <c r="EU66" s="1028">
        <v>4978411</v>
      </c>
      <c r="EV66" s="1028">
        <v>44751697</v>
      </c>
      <c r="EW66" s="1028">
        <v>0</v>
      </c>
      <c r="EX66" s="1028">
        <v>0</v>
      </c>
      <c r="EY66" s="1028">
        <v>0</v>
      </c>
      <c r="EZ66" s="1028">
        <v>28226543</v>
      </c>
      <c r="FA66" s="1028">
        <v>1389425</v>
      </c>
      <c r="FB66" s="1028">
        <v>39414520</v>
      </c>
      <c r="FC66" s="1028">
        <v>-12577402</v>
      </c>
      <c r="FD66" s="1028">
        <v>-1144968</v>
      </c>
      <c r="FF66" s="1028">
        <v>3070983.6899999976</v>
      </c>
      <c r="FL66" s="1028">
        <v>79882666.689999998</v>
      </c>
      <c r="FM66" s="1028">
        <v>0</v>
      </c>
    </row>
    <row r="67" spans="2:188" ht="15.6">
      <c r="B67" s="1408">
        <v>43678</v>
      </c>
    </row>
    <row r="68" spans="2:188" ht="15.6">
      <c r="B68" s="1408">
        <v>43709</v>
      </c>
      <c r="C68" s="1028">
        <v>0</v>
      </c>
      <c r="D68" s="1028">
        <v>0</v>
      </c>
      <c r="E68" s="1028">
        <v>0</v>
      </c>
      <c r="F68" s="1028">
        <v>0</v>
      </c>
      <c r="Q68" s="1028">
        <v>0</v>
      </c>
      <c r="R68" s="1028">
        <v>0</v>
      </c>
      <c r="S68" s="1028">
        <v>0</v>
      </c>
      <c r="W68" s="1028">
        <v>0</v>
      </c>
      <c r="AA68" s="1028">
        <v>0</v>
      </c>
      <c r="AE68" s="1028">
        <v>0</v>
      </c>
      <c r="AI68" s="1028">
        <v>0</v>
      </c>
      <c r="AM68" s="1028">
        <v>0</v>
      </c>
      <c r="AQ68" s="1028">
        <v>0</v>
      </c>
      <c r="AU68" s="1028">
        <v>0</v>
      </c>
      <c r="AY68" s="1028">
        <v>0</v>
      </c>
      <c r="BC68" s="1028">
        <v>0</v>
      </c>
      <c r="BG68" s="1028">
        <v>0</v>
      </c>
      <c r="BL68" s="1028">
        <v>0</v>
      </c>
      <c r="BM68" s="1028">
        <v>0</v>
      </c>
      <c r="BO68" s="1028">
        <v>0</v>
      </c>
      <c r="BT68" s="1028">
        <v>0</v>
      </c>
      <c r="BV68" s="1028">
        <v>0</v>
      </c>
      <c r="CA68" s="1028">
        <v>0</v>
      </c>
      <c r="CC68" s="1028">
        <v>0</v>
      </c>
      <c r="CI68" s="1028">
        <v>0</v>
      </c>
      <c r="CO68" s="1028">
        <v>0</v>
      </c>
      <c r="CT68" s="1028">
        <v>0</v>
      </c>
      <c r="CU68" s="1028">
        <v>0</v>
      </c>
      <c r="CX68" s="1028">
        <v>0</v>
      </c>
      <c r="DA68" s="1028">
        <v>0</v>
      </c>
      <c r="DE68" s="1028">
        <v>0</v>
      </c>
      <c r="DF68" s="1028">
        <v>0</v>
      </c>
      <c r="DI68" s="1028">
        <v>0</v>
      </c>
      <c r="DL68" s="1028">
        <v>0</v>
      </c>
      <c r="DR68" s="1028">
        <v>0</v>
      </c>
      <c r="DT68" s="1028">
        <v>0</v>
      </c>
      <c r="DW68" s="1028">
        <v>0</v>
      </c>
      <c r="EB68" s="1028">
        <v>0</v>
      </c>
      <c r="EF68" s="1028">
        <v>0</v>
      </c>
      <c r="EG68" s="1028">
        <v>0</v>
      </c>
      <c r="EJ68" s="1028">
        <v>0</v>
      </c>
      <c r="EM68" s="1028">
        <v>0</v>
      </c>
      <c r="ES68" s="1028">
        <v>77809430.620000005</v>
      </c>
      <c r="ET68" s="1028">
        <v>49730108</v>
      </c>
      <c r="EU68" s="1028">
        <v>4978411.0000000009</v>
      </c>
      <c r="EV68" s="1028">
        <v>44751697</v>
      </c>
      <c r="EW68" s="1028">
        <v>0</v>
      </c>
      <c r="EX68" s="1028">
        <v>0</v>
      </c>
      <c r="EY68" s="1028">
        <v>0</v>
      </c>
      <c r="EZ68" s="1028">
        <v>27916227.432500012</v>
      </c>
      <c r="FA68" s="1028">
        <v>1389425.2700000005</v>
      </c>
      <c r="FB68" s="1028">
        <v>39598034.040000007</v>
      </c>
      <c r="FC68" s="1028">
        <v>-13071231.877499998</v>
      </c>
      <c r="FD68" s="1028">
        <v>163095.18749999258</v>
      </c>
      <c r="FF68" s="1028">
        <v>3049097.589999998</v>
      </c>
      <c r="FL68" s="1028">
        <v>80858528.210000008</v>
      </c>
      <c r="FO68" s="1028">
        <v>0</v>
      </c>
      <c r="FW68" s="1028">
        <v>18212852.990000002</v>
      </c>
      <c r="FX68" s="1028">
        <v>18212859.400000002</v>
      </c>
      <c r="FY68" s="1028">
        <v>-5.6900000004097819</v>
      </c>
      <c r="FZ68" s="1028">
        <v>-0.72000000003026798</v>
      </c>
      <c r="GB68" s="1028">
        <v>14552045.840000002</v>
      </c>
      <c r="GF68" s="1028">
        <v>80858528.210000008</v>
      </c>
    </row>
    <row r="69" spans="2:188" ht="15.6">
      <c r="B69" s="1408">
        <v>43739</v>
      </c>
      <c r="C69" s="1028">
        <v>0</v>
      </c>
      <c r="D69" s="1028">
        <v>0</v>
      </c>
      <c r="E69" s="1028">
        <v>0</v>
      </c>
      <c r="F69" s="1028">
        <v>0</v>
      </c>
      <c r="Q69" s="1028">
        <v>0</v>
      </c>
      <c r="R69" s="1028">
        <v>0</v>
      </c>
      <c r="S69" s="1028">
        <v>0</v>
      </c>
      <c r="W69" s="1028">
        <v>0</v>
      </c>
      <c r="AA69" s="1028">
        <v>0</v>
      </c>
      <c r="AE69" s="1028">
        <v>0</v>
      </c>
      <c r="AI69" s="1028">
        <v>0</v>
      </c>
      <c r="AM69" s="1028">
        <v>0</v>
      </c>
      <c r="AQ69" s="1028">
        <v>0</v>
      </c>
      <c r="AU69" s="1028">
        <v>0</v>
      </c>
      <c r="AY69" s="1028">
        <v>0</v>
      </c>
      <c r="BC69" s="1028">
        <v>0</v>
      </c>
      <c r="BG69" s="1028">
        <v>0</v>
      </c>
      <c r="BL69" s="1028">
        <v>0</v>
      </c>
      <c r="BM69" s="1028">
        <v>0</v>
      </c>
      <c r="BO69" s="1028">
        <v>0</v>
      </c>
      <c r="BT69" s="1028">
        <v>0</v>
      </c>
      <c r="BV69" s="1028">
        <v>0</v>
      </c>
      <c r="CA69" s="1028">
        <v>0</v>
      </c>
      <c r="CC69" s="1028">
        <v>0</v>
      </c>
      <c r="CI69" s="1028">
        <v>0</v>
      </c>
      <c r="CO69" s="1028">
        <v>0</v>
      </c>
      <c r="CT69" s="1028">
        <v>0</v>
      </c>
      <c r="CU69" s="1028">
        <v>0</v>
      </c>
      <c r="CX69" s="1028">
        <v>0</v>
      </c>
      <c r="DA69" s="1028">
        <v>0</v>
      </c>
      <c r="DE69" s="1028">
        <v>0</v>
      </c>
      <c r="DF69" s="1028">
        <v>0</v>
      </c>
      <c r="DI69" s="1028">
        <v>0</v>
      </c>
      <c r="DL69" s="1028">
        <v>0</v>
      </c>
      <c r="DR69" s="1028">
        <v>0</v>
      </c>
      <c r="DT69" s="1028">
        <v>0</v>
      </c>
      <c r="DW69" s="1028">
        <v>0</v>
      </c>
      <c r="EB69" s="1028">
        <v>0</v>
      </c>
      <c r="EF69" s="1028">
        <v>0</v>
      </c>
      <c r="EG69" s="1028">
        <v>0</v>
      </c>
      <c r="EJ69" s="1028">
        <v>0</v>
      </c>
      <c r="EM69" s="1028">
        <v>0</v>
      </c>
      <c r="ES69" s="1028">
        <v>76219277.360000014</v>
      </c>
      <c r="ET69" s="1028">
        <v>49730108</v>
      </c>
      <c r="EU69" s="1028">
        <v>4978411.0000000009</v>
      </c>
      <c r="EV69" s="1028">
        <v>44751697</v>
      </c>
      <c r="EW69" s="1028">
        <v>0</v>
      </c>
      <c r="EX69" s="1028">
        <v>0</v>
      </c>
      <c r="EY69" s="1028">
        <v>0</v>
      </c>
      <c r="EZ69" s="1028">
        <v>26221831.172500014</v>
      </c>
      <c r="FA69" s="1028">
        <v>1389425.2700000005</v>
      </c>
      <c r="FB69" s="1028">
        <v>39598034.040000007</v>
      </c>
      <c r="FC69" s="1028">
        <v>-14765628.137499996</v>
      </c>
      <c r="FD69" s="1028">
        <v>267338.18749999302</v>
      </c>
      <c r="FF69" s="1028">
        <v>3049098.0699999873</v>
      </c>
      <c r="FL69" s="1028">
        <v>79268375.430000007</v>
      </c>
    </row>
    <row r="70" spans="2:188" ht="15.6">
      <c r="B70" s="1408">
        <v>43770</v>
      </c>
      <c r="C70" s="1028">
        <v>0</v>
      </c>
      <c r="D70" s="1028">
        <v>0</v>
      </c>
      <c r="E70" s="1028">
        <v>0</v>
      </c>
      <c r="F70" s="1028">
        <v>0</v>
      </c>
      <c r="Q70" s="1028">
        <v>0</v>
      </c>
      <c r="R70" s="1028">
        <v>0</v>
      </c>
      <c r="S70" s="1028">
        <v>0</v>
      </c>
      <c r="W70" s="1028">
        <v>0</v>
      </c>
      <c r="AA70" s="1028">
        <v>0</v>
      </c>
      <c r="AE70" s="1028">
        <v>0</v>
      </c>
      <c r="AI70" s="1028">
        <v>0</v>
      </c>
      <c r="AM70" s="1028">
        <v>0</v>
      </c>
      <c r="AQ70" s="1028">
        <v>0</v>
      </c>
      <c r="AU70" s="1028">
        <v>0</v>
      </c>
      <c r="AY70" s="1028">
        <v>0</v>
      </c>
      <c r="BC70" s="1028">
        <v>0</v>
      </c>
      <c r="BG70" s="1028">
        <v>0</v>
      </c>
      <c r="BL70" s="1028">
        <v>0</v>
      </c>
      <c r="BM70" s="1028">
        <v>0</v>
      </c>
      <c r="BO70" s="1028">
        <v>0</v>
      </c>
      <c r="BT70" s="1028">
        <v>0</v>
      </c>
      <c r="BV70" s="1028">
        <v>0</v>
      </c>
      <c r="CA70" s="1028">
        <v>0</v>
      </c>
      <c r="CC70" s="1028">
        <v>0</v>
      </c>
      <c r="CI70" s="1028">
        <v>0</v>
      </c>
      <c r="CO70" s="1028">
        <v>0</v>
      </c>
      <c r="CT70" s="1028">
        <v>0</v>
      </c>
      <c r="CU70" s="1028">
        <v>0</v>
      </c>
      <c r="CX70" s="1028">
        <v>0</v>
      </c>
      <c r="DA70" s="1028">
        <v>0</v>
      </c>
      <c r="DE70" s="1028">
        <v>0</v>
      </c>
      <c r="DF70" s="1028">
        <v>0</v>
      </c>
      <c r="DI70" s="1028">
        <v>0</v>
      </c>
      <c r="DL70" s="1028">
        <v>0</v>
      </c>
      <c r="DR70" s="1028">
        <v>0</v>
      </c>
      <c r="DT70" s="1028">
        <v>0</v>
      </c>
      <c r="DW70" s="1028">
        <v>0</v>
      </c>
      <c r="EB70" s="1028">
        <v>0</v>
      </c>
      <c r="EF70" s="1028">
        <v>0</v>
      </c>
      <c r="EG70" s="1028">
        <v>0</v>
      </c>
      <c r="EJ70" s="1028">
        <v>0</v>
      </c>
      <c r="EM70" s="1028">
        <v>0</v>
      </c>
      <c r="ES70" s="1028">
        <v>76505277.360000014</v>
      </c>
      <c r="ET70" s="1028">
        <v>49730108</v>
      </c>
      <c r="EU70" s="1028">
        <v>4978411.0000000009</v>
      </c>
      <c r="EV70" s="1028">
        <v>44751697</v>
      </c>
      <c r="EW70" s="1028">
        <v>0</v>
      </c>
      <c r="EX70" s="1028">
        <v>0</v>
      </c>
      <c r="EY70" s="1028">
        <v>0</v>
      </c>
      <c r="EZ70" s="1028">
        <v>26221831.172500014</v>
      </c>
      <c r="FA70" s="1028">
        <v>1389425.2700000005</v>
      </c>
      <c r="FB70" s="1028">
        <v>39598034.040000007</v>
      </c>
      <c r="FC70" s="1028">
        <v>-14765628.137499996</v>
      </c>
      <c r="FD70" s="1028">
        <v>553338.18749999302</v>
      </c>
      <c r="FF70" s="1028">
        <v>3049098.139999995</v>
      </c>
      <c r="FL70" s="1028">
        <v>79554375.500000015</v>
      </c>
    </row>
    <row r="71" spans="2:188" ht="15.6">
      <c r="B71" s="1408">
        <v>43800</v>
      </c>
      <c r="C71" s="1028">
        <v>0</v>
      </c>
      <c r="D71" s="1028">
        <v>0</v>
      </c>
      <c r="E71" s="1028">
        <v>0</v>
      </c>
      <c r="F71" s="1028">
        <v>0</v>
      </c>
      <c r="Q71" s="1028">
        <v>0</v>
      </c>
      <c r="R71" s="1028">
        <v>0</v>
      </c>
      <c r="S71" s="1028">
        <v>0</v>
      </c>
      <c r="W71" s="1028">
        <v>0</v>
      </c>
      <c r="AA71" s="1028">
        <v>0</v>
      </c>
      <c r="AE71" s="1028">
        <v>0</v>
      </c>
      <c r="AI71" s="1028">
        <v>0</v>
      </c>
      <c r="AM71" s="1028">
        <v>0</v>
      </c>
      <c r="AQ71" s="1028">
        <v>0</v>
      </c>
      <c r="AU71" s="1028">
        <v>0</v>
      </c>
      <c r="AY71" s="1028">
        <v>0</v>
      </c>
      <c r="BC71" s="1028">
        <v>0</v>
      </c>
      <c r="BG71" s="1028">
        <v>0</v>
      </c>
      <c r="BL71" s="1028">
        <v>0</v>
      </c>
      <c r="BM71" s="1028">
        <v>0</v>
      </c>
      <c r="BO71" s="1028">
        <v>0</v>
      </c>
      <c r="BT71" s="1028">
        <v>0</v>
      </c>
      <c r="BV71" s="1028">
        <v>0</v>
      </c>
      <c r="CA71" s="1028">
        <v>0</v>
      </c>
      <c r="CC71" s="1028">
        <v>0</v>
      </c>
      <c r="CI71" s="1028">
        <v>0</v>
      </c>
      <c r="CO71" s="1028">
        <v>0</v>
      </c>
      <c r="CT71" s="1028">
        <v>0</v>
      </c>
      <c r="CU71" s="1028">
        <v>0</v>
      </c>
      <c r="CX71" s="1028">
        <v>0</v>
      </c>
      <c r="DA71" s="1028">
        <v>0</v>
      </c>
      <c r="DE71" s="1028">
        <v>0</v>
      </c>
      <c r="DF71" s="1028">
        <v>0</v>
      </c>
      <c r="DI71" s="1028">
        <v>0</v>
      </c>
      <c r="DL71" s="1028">
        <v>0</v>
      </c>
      <c r="DR71" s="1028">
        <v>0</v>
      </c>
      <c r="DT71" s="1028">
        <v>0</v>
      </c>
      <c r="DW71" s="1028">
        <v>0</v>
      </c>
      <c r="EB71" s="1028">
        <v>0</v>
      </c>
      <c r="EF71" s="1028">
        <v>0</v>
      </c>
      <c r="EG71" s="1028">
        <v>0</v>
      </c>
      <c r="EJ71" s="1028">
        <v>0</v>
      </c>
      <c r="EM71" s="1028">
        <v>0</v>
      </c>
      <c r="ES71" s="1028">
        <v>79320530.982500002</v>
      </c>
      <c r="ET71" s="1028">
        <v>49730108</v>
      </c>
      <c r="EU71" s="1028">
        <v>4978411.0000000009</v>
      </c>
      <c r="EV71" s="1028">
        <v>44751697</v>
      </c>
      <c r="EW71" s="1028">
        <v>0</v>
      </c>
      <c r="EX71" s="1028">
        <v>0</v>
      </c>
      <c r="EY71" s="1028">
        <v>0</v>
      </c>
      <c r="EZ71" s="1028">
        <v>31893846.982500002</v>
      </c>
      <c r="FA71" s="1028">
        <v>1391725.2700000005</v>
      </c>
      <c r="FB71" s="1028">
        <v>41598034.039999999</v>
      </c>
      <c r="FC71" s="1028">
        <v>-11095912.327500001</v>
      </c>
      <c r="FD71" s="1028">
        <v>-2303424</v>
      </c>
      <c r="FF71" s="1028">
        <v>3061627.3499999996</v>
      </c>
      <c r="FL71" s="1028">
        <v>82382158.332499996</v>
      </c>
      <c r="FM71" s="1028">
        <v>0.30630001425743103</v>
      </c>
    </row>
    <row r="74" spans="2:188">
      <c r="B74" s="1781">
        <v>43831</v>
      </c>
      <c r="C74" s="1028">
        <v>0</v>
      </c>
      <c r="D74" s="1028">
        <v>0</v>
      </c>
      <c r="E74" s="1028">
        <v>0</v>
      </c>
      <c r="F74" s="1028">
        <v>0</v>
      </c>
      <c r="Q74" s="1028">
        <v>0</v>
      </c>
      <c r="R74" s="1028">
        <v>0</v>
      </c>
      <c r="S74" s="1028">
        <v>0</v>
      </c>
      <c r="W74" s="1028">
        <v>0</v>
      </c>
      <c r="AA74" s="1028">
        <v>0</v>
      </c>
      <c r="AE74" s="1028">
        <v>0</v>
      </c>
      <c r="AI74" s="1028">
        <v>0</v>
      </c>
      <c r="AM74" s="1028">
        <v>0</v>
      </c>
      <c r="AQ74" s="1028">
        <v>0</v>
      </c>
      <c r="AU74" s="1028">
        <v>0</v>
      </c>
      <c r="AY74" s="1028">
        <v>0</v>
      </c>
      <c r="BC74" s="1028">
        <v>0</v>
      </c>
      <c r="BG74" s="1028">
        <v>0</v>
      </c>
      <c r="BL74" s="1028">
        <v>0</v>
      </c>
      <c r="BM74" s="1028">
        <v>0</v>
      </c>
      <c r="BO74" s="1028">
        <v>0</v>
      </c>
      <c r="BT74" s="1028">
        <v>0</v>
      </c>
      <c r="BV74" s="1028">
        <v>0</v>
      </c>
      <c r="CA74" s="1028">
        <v>0</v>
      </c>
      <c r="CC74" s="1028">
        <v>0</v>
      </c>
      <c r="CI74" s="1028">
        <v>0</v>
      </c>
      <c r="CO74" s="1028">
        <v>0</v>
      </c>
      <c r="CT74" s="1028">
        <v>0</v>
      </c>
      <c r="CU74" s="1028">
        <v>0</v>
      </c>
      <c r="CX74" s="1028">
        <v>0</v>
      </c>
      <c r="DA74" s="1028">
        <v>0</v>
      </c>
      <c r="DE74" s="1028">
        <v>0</v>
      </c>
      <c r="DF74" s="1028">
        <v>0</v>
      </c>
      <c r="DI74" s="1028">
        <v>0</v>
      </c>
      <c r="DL74" s="1028">
        <v>0</v>
      </c>
      <c r="DR74" s="1028">
        <v>0</v>
      </c>
      <c r="DT74" s="1028">
        <v>0</v>
      </c>
      <c r="DW74" s="1028">
        <v>0</v>
      </c>
      <c r="EB74" s="1028">
        <v>0</v>
      </c>
      <c r="EF74" s="1028">
        <v>0</v>
      </c>
      <c r="EG74" s="1028">
        <v>0</v>
      </c>
      <c r="EJ74" s="1028">
        <v>0</v>
      </c>
      <c r="EM74" s="1028">
        <v>0</v>
      </c>
      <c r="ES74" s="1028">
        <v>71805400.293434799</v>
      </c>
      <c r="ET74" s="1028">
        <v>49730108</v>
      </c>
      <c r="EU74" s="1028">
        <v>4978411.0000000009</v>
      </c>
      <c r="EV74" s="1028">
        <v>44751697</v>
      </c>
      <c r="EW74" s="1028">
        <v>0</v>
      </c>
      <c r="EX74" s="1028">
        <v>0</v>
      </c>
      <c r="EY74" s="1028">
        <v>0</v>
      </c>
      <c r="EZ74" s="1028">
        <v>23635979.712599993</v>
      </c>
      <c r="FA74" s="1028">
        <v>3486414</v>
      </c>
      <c r="FB74" s="1028">
        <v>39198682.600099996</v>
      </c>
      <c r="FC74" s="1028">
        <v>-19049116.887500003</v>
      </c>
      <c r="FD74" s="1028">
        <v>-1560687.4191652001</v>
      </c>
      <c r="FF74" s="1028">
        <v>5760823.6100000013</v>
      </c>
      <c r="FL74" s="1028">
        <v>77566223.903434798</v>
      </c>
      <c r="FM74" s="1028">
        <v>0.64739999175071716</v>
      </c>
    </row>
    <row r="75" spans="2:188">
      <c r="B75" s="1781">
        <v>43862</v>
      </c>
      <c r="C75" s="1028">
        <v>0</v>
      </c>
      <c r="D75" s="1028">
        <v>0</v>
      </c>
      <c r="E75" s="1028">
        <v>0</v>
      </c>
      <c r="F75" s="1028">
        <v>0</v>
      </c>
      <c r="Q75" s="1028">
        <v>0</v>
      </c>
      <c r="R75" s="1028">
        <v>0</v>
      </c>
      <c r="S75" s="1028">
        <v>0</v>
      </c>
      <c r="W75" s="1028">
        <v>0</v>
      </c>
      <c r="AA75" s="1028">
        <v>0</v>
      </c>
      <c r="AE75" s="1028">
        <v>0</v>
      </c>
      <c r="AI75" s="1028">
        <v>0</v>
      </c>
      <c r="AM75" s="1028">
        <v>0</v>
      </c>
      <c r="AQ75" s="1028">
        <v>0</v>
      </c>
      <c r="AU75" s="1028">
        <v>0</v>
      </c>
      <c r="AY75" s="1028">
        <v>0</v>
      </c>
      <c r="BC75" s="1028">
        <v>0</v>
      </c>
      <c r="BG75" s="1028">
        <v>0</v>
      </c>
      <c r="BL75" s="1028">
        <v>0</v>
      </c>
      <c r="BM75" s="1028">
        <v>0</v>
      </c>
      <c r="BO75" s="1028">
        <v>0</v>
      </c>
      <c r="BT75" s="1028">
        <v>0</v>
      </c>
      <c r="BV75" s="1028">
        <v>0</v>
      </c>
      <c r="CA75" s="1028">
        <v>0</v>
      </c>
      <c r="CC75" s="1028">
        <v>0</v>
      </c>
      <c r="CI75" s="1028">
        <v>0</v>
      </c>
      <c r="CO75" s="1028">
        <v>0</v>
      </c>
      <c r="CT75" s="1028">
        <v>0</v>
      </c>
      <c r="CU75" s="1028">
        <v>0</v>
      </c>
      <c r="CX75" s="1028">
        <v>0</v>
      </c>
      <c r="DA75" s="1028">
        <v>0</v>
      </c>
      <c r="DE75" s="1028">
        <v>0</v>
      </c>
      <c r="DF75" s="1028">
        <v>0</v>
      </c>
      <c r="DI75" s="1028">
        <v>0</v>
      </c>
      <c r="DL75" s="1028">
        <v>0</v>
      </c>
      <c r="DR75" s="1028">
        <v>0</v>
      </c>
      <c r="DT75" s="1028">
        <v>0</v>
      </c>
      <c r="DW75" s="1028">
        <v>0</v>
      </c>
      <c r="EB75" s="1028">
        <v>0</v>
      </c>
      <c r="EF75" s="1028">
        <v>0</v>
      </c>
      <c r="EG75" s="1028">
        <v>0</v>
      </c>
      <c r="EJ75" s="1028">
        <v>0</v>
      </c>
      <c r="EM75" s="1028">
        <v>0</v>
      </c>
      <c r="ES75" s="1028">
        <v>79946876.600099996</v>
      </c>
      <c r="ET75" s="1028">
        <v>49730108</v>
      </c>
      <c r="EU75" s="1028">
        <v>4978411.0000000009</v>
      </c>
      <c r="EV75" s="1028">
        <v>44751697</v>
      </c>
      <c r="EW75" s="1028">
        <v>0</v>
      </c>
      <c r="EX75" s="1028">
        <v>0</v>
      </c>
      <c r="EY75" s="1028">
        <v>0</v>
      </c>
      <c r="EZ75" s="1028">
        <v>30216768.600099996</v>
      </c>
      <c r="FA75" s="1028">
        <v>3486414</v>
      </c>
      <c r="FB75" s="1028">
        <v>39198682.600099996</v>
      </c>
      <c r="FC75" s="1028">
        <v>-12468328</v>
      </c>
      <c r="FF75" s="1028">
        <v>5760823.7599000186</v>
      </c>
      <c r="FL75" s="1028">
        <v>85707700.360000014</v>
      </c>
      <c r="FM75" s="1028">
        <v>0</v>
      </c>
    </row>
    <row r="76" spans="2:188">
      <c r="B76" s="1781">
        <v>43891</v>
      </c>
      <c r="C76" s="1028">
        <v>0</v>
      </c>
      <c r="D76" s="1028">
        <v>0</v>
      </c>
      <c r="E76" s="1028">
        <v>0</v>
      </c>
      <c r="F76" s="1028">
        <v>0</v>
      </c>
      <c r="Q76" s="1028">
        <v>0</v>
      </c>
      <c r="R76" s="1028">
        <v>0</v>
      </c>
      <c r="S76" s="1028">
        <v>0</v>
      </c>
      <c r="W76" s="1028">
        <v>0</v>
      </c>
      <c r="AA76" s="1028">
        <v>0</v>
      </c>
      <c r="AE76" s="1028">
        <v>0</v>
      </c>
      <c r="AI76" s="1028">
        <v>0</v>
      </c>
      <c r="AM76" s="1028">
        <v>0</v>
      </c>
      <c r="AQ76" s="1028">
        <v>0</v>
      </c>
      <c r="AU76" s="1028">
        <v>0</v>
      </c>
      <c r="AY76" s="1028">
        <v>0</v>
      </c>
      <c r="BC76" s="1028">
        <v>0</v>
      </c>
      <c r="BG76" s="1028">
        <v>0</v>
      </c>
      <c r="BL76" s="1028">
        <v>0</v>
      </c>
      <c r="BM76" s="1028">
        <v>0</v>
      </c>
      <c r="BO76" s="1028">
        <v>0</v>
      </c>
      <c r="BT76" s="1028">
        <v>0</v>
      </c>
      <c r="BV76" s="1028">
        <v>0</v>
      </c>
      <c r="CA76" s="1028">
        <v>0</v>
      </c>
      <c r="CC76" s="1028">
        <v>0</v>
      </c>
      <c r="CI76" s="1028">
        <v>0</v>
      </c>
      <c r="CO76" s="1028">
        <v>0</v>
      </c>
      <c r="CT76" s="1028">
        <v>0</v>
      </c>
      <c r="CU76" s="1028">
        <v>0</v>
      </c>
      <c r="CX76" s="1028">
        <v>0</v>
      </c>
      <c r="DA76" s="1028">
        <v>0</v>
      </c>
      <c r="DE76" s="1028">
        <v>0</v>
      </c>
      <c r="DF76" s="1028">
        <v>0</v>
      </c>
      <c r="DI76" s="1028">
        <v>0</v>
      </c>
      <c r="DL76" s="1028">
        <v>0</v>
      </c>
      <c r="DR76" s="1028">
        <v>0</v>
      </c>
      <c r="DT76" s="1028">
        <v>0</v>
      </c>
      <c r="DW76" s="1028">
        <v>0</v>
      </c>
      <c r="EB76" s="1028">
        <v>0</v>
      </c>
      <c r="EF76" s="1028">
        <v>0</v>
      </c>
      <c r="EG76" s="1028">
        <v>0</v>
      </c>
      <c r="EJ76" s="1028">
        <v>0</v>
      </c>
      <c r="EM76" s="1028">
        <v>0</v>
      </c>
      <c r="ES76" s="1028">
        <v>78632199</v>
      </c>
      <c r="ET76" s="1028">
        <v>49730108</v>
      </c>
      <c r="EU76" s="1028">
        <v>4978411.0000000009</v>
      </c>
      <c r="EV76" s="1028">
        <v>44751697</v>
      </c>
      <c r="EW76" s="1028">
        <v>0</v>
      </c>
      <c r="EX76" s="1028">
        <v>0</v>
      </c>
      <c r="EY76" s="1028">
        <v>0</v>
      </c>
      <c r="EZ76" s="1028">
        <v>28502122</v>
      </c>
      <c r="FA76" s="1028">
        <v>0</v>
      </c>
      <c r="FB76" s="1028">
        <v>39598034</v>
      </c>
      <c r="FC76" s="1028">
        <v>-11095912</v>
      </c>
      <c r="FD76" s="1028">
        <v>399969</v>
      </c>
      <c r="FF76" s="1028">
        <v>4453353.3500000089</v>
      </c>
      <c r="FL76" s="1028">
        <v>83085552.350000009</v>
      </c>
      <c r="FM76" s="1028">
        <v>0</v>
      </c>
    </row>
    <row r="77" spans="2:188">
      <c r="B77" s="1781">
        <v>43922</v>
      </c>
      <c r="C77" s="1028">
        <v>0</v>
      </c>
      <c r="D77" s="1028">
        <v>0</v>
      </c>
      <c r="E77" s="1028">
        <v>0</v>
      </c>
      <c r="F77" s="1028">
        <v>0</v>
      </c>
      <c r="Q77" s="1028">
        <v>0</v>
      </c>
      <c r="R77" s="1028">
        <v>0</v>
      </c>
      <c r="S77" s="1028">
        <v>0</v>
      </c>
      <c r="W77" s="1028">
        <v>0</v>
      </c>
      <c r="AA77" s="1028">
        <v>0</v>
      </c>
      <c r="AE77" s="1028">
        <v>0</v>
      </c>
      <c r="AI77" s="1028">
        <v>0</v>
      </c>
      <c r="AM77" s="1028">
        <v>0</v>
      </c>
      <c r="AQ77" s="1028">
        <v>0</v>
      </c>
      <c r="AU77" s="1028">
        <v>0</v>
      </c>
      <c r="AY77" s="1028">
        <v>0</v>
      </c>
      <c r="BC77" s="1028">
        <v>0</v>
      </c>
      <c r="BG77" s="1028">
        <v>0</v>
      </c>
      <c r="BL77" s="1028">
        <v>0</v>
      </c>
      <c r="BM77" s="1028">
        <v>0</v>
      </c>
      <c r="BO77" s="1028">
        <v>0</v>
      </c>
      <c r="BT77" s="1028">
        <v>0</v>
      </c>
      <c r="BV77" s="1028">
        <v>0</v>
      </c>
      <c r="CA77" s="1028">
        <v>0</v>
      </c>
      <c r="CC77" s="1028">
        <v>0</v>
      </c>
      <c r="CI77" s="1028">
        <v>0</v>
      </c>
      <c r="CO77" s="1028">
        <v>0</v>
      </c>
      <c r="CT77" s="1028">
        <v>0</v>
      </c>
      <c r="CU77" s="1028">
        <v>0</v>
      </c>
      <c r="CX77" s="1028">
        <v>0</v>
      </c>
      <c r="DA77" s="1028">
        <v>0</v>
      </c>
      <c r="DE77" s="1028">
        <v>0</v>
      </c>
      <c r="DF77" s="1028">
        <v>0</v>
      </c>
      <c r="DI77" s="1028">
        <v>0</v>
      </c>
      <c r="DL77" s="1028">
        <v>0</v>
      </c>
      <c r="DR77" s="1028">
        <v>0</v>
      </c>
      <c r="DT77" s="1028">
        <v>0</v>
      </c>
      <c r="DW77" s="1028">
        <v>0</v>
      </c>
      <c r="EB77" s="1028">
        <v>0</v>
      </c>
      <c r="EF77" s="1028">
        <v>0</v>
      </c>
      <c r="EG77" s="1028">
        <v>0</v>
      </c>
      <c r="EJ77" s="1028">
        <v>0</v>
      </c>
      <c r="EM77" s="1028">
        <v>0</v>
      </c>
      <c r="ES77" s="1028">
        <v>78632199</v>
      </c>
      <c r="ET77" s="1028">
        <v>49730108</v>
      </c>
      <c r="EU77" s="1028">
        <v>4978411.0000000009</v>
      </c>
      <c r="EV77" s="1028">
        <v>44751697</v>
      </c>
      <c r="EW77" s="1028">
        <v>0</v>
      </c>
      <c r="EX77" s="1028">
        <v>0</v>
      </c>
      <c r="EY77" s="1028">
        <v>0</v>
      </c>
      <c r="EZ77" s="1028">
        <v>28502122</v>
      </c>
      <c r="FA77" s="1028">
        <v>0</v>
      </c>
      <c r="FB77" s="1028">
        <v>39598034</v>
      </c>
      <c r="FC77" s="1028">
        <v>-11095912</v>
      </c>
      <c r="FD77" s="1028">
        <v>399969</v>
      </c>
      <c r="FF77" s="1028">
        <v>4453353.3500000089</v>
      </c>
      <c r="FL77" s="1028">
        <v>83085552.350000009</v>
      </c>
      <c r="FM77" s="1028">
        <v>0</v>
      </c>
    </row>
    <row r="78" spans="2:188">
      <c r="B78" s="1781">
        <v>43952</v>
      </c>
      <c r="C78" s="1028">
        <v>0</v>
      </c>
      <c r="D78" s="1028">
        <v>0</v>
      </c>
      <c r="E78" s="1028">
        <v>0</v>
      </c>
      <c r="F78" s="1028">
        <v>0</v>
      </c>
      <c r="Q78" s="1028">
        <v>0</v>
      </c>
      <c r="R78" s="1028">
        <v>0</v>
      </c>
      <c r="S78" s="1028">
        <v>0</v>
      </c>
      <c r="W78" s="1028">
        <v>0</v>
      </c>
      <c r="AA78" s="1028">
        <v>0</v>
      </c>
      <c r="AE78" s="1028">
        <v>0</v>
      </c>
      <c r="AI78" s="1028">
        <v>0</v>
      </c>
      <c r="AM78" s="1028">
        <v>0</v>
      </c>
      <c r="AQ78" s="1028">
        <v>0</v>
      </c>
      <c r="AU78" s="1028">
        <v>0</v>
      </c>
      <c r="AY78" s="1028">
        <v>0</v>
      </c>
      <c r="BC78" s="1028">
        <v>0</v>
      </c>
      <c r="BG78" s="1028">
        <v>0</v>
      </c>
      <c r="BL78" s="1028">
        <v>0</v>
      </c>
      <c r="BM78" s="1028">
        <v>0</v>
      </c>
      <c r="BO78" s="1028">
        <v>0</v>
      </c>
      <c r="BT78" s="1028">
        <v>0</v>
      </c>
      <c r="BV78" s="1028">
        <v>0</v>
      </c>
      <c r="CA78" s="1028">
        <v>0</v>
      </c>
      <c r="CC78" s="1028">
        <v>0</v>
      </c>
      <c r="CI78" s="1028">
        <v>0</v>
      </c>
      <c r="CO78" s="1028">
        <v>0</v>
      </c>
      <c r="CT78" s="1028">
        <v>0</v>
      </c>
      <c r="CU78" s="1028">
        <v>0</v>
      </c>
      <c r="CX78" s="1028">
        <v>0</v>
      </c>
      <c r="DA78" s="1028">
        <v>0</v>
      </c>
      <c r="DE78" s="1028">
        <v>0</v>
      </c>
      <c r="DF78" s="1028">
        <v>0</v>
      </c>
      <c r="DI78" s="1028">
        <v>0</v>
      </c>
      <c r="DL78" s="1028">
        <v>0</v>
      </c>
      <c r="DR78" s="1028">
        <v>0</v>
      </c>
      <c r="DT78" s="1028">
        <v>0</v>
      </c>
      <c r="DW78" s="1028">
        <v>0</v>
      </c>
      <c r="EB78" s="1028">
        <v>0</v>
      </c>
      <c r="EF78" s="1028">
        <v>0</v>
      </c>
      <c r="EG78" s="1028">
        <v>0</v>
      </c>
      <c r="EJ78" s="1028">
        <v>0</v>
      </c>
      <c r="EM78" s="1028">
        <v>0</v>
      </c>
      <c r="ES78" s="1028">
        <v>75433980.930834785</v>
      </c>
      <c r="ET78" s="1028">
        <v>49730108</v>
      </c>
      <c r="EU78" s="1028">
        <v>4978411.0000000009</v>
      </c>
      <c r="EV78" s="1028">
        <v>44751697</v>
      </c>
      <c r="EW78" s="1028">
        <v>0</v>
      </c>
      <c r="EX78" s="1028">
        <v>0</v>
      </c>
      <c r="EY78" s="1028">
        <v>0</v>
      </c>
      <c r="EZ78" s="1028">
        <v>29365602.109999985</v>
      </c>
      <c r="FA78" s="1028">
        <v>18799.720000000205</v>
      </c>
      <c r="FB78" s="1028">
        <v>39337497.889999986</v>
      </c>
      <c r="FC78" s="1028">
        <v>-9990695.5</v>
      </c>
      <c r="FD78" s="1028">
        <v>-3661729.1791652041</v>
      </c>
      <c r="FF78" s="1028">
        <v>2820288.91</v>
      </c>
      <c r="FL78" s="1028">
        <v>78254269.840834782</v>
      </c>
      <c r="FM78" s="1028">
        <v>0</v>
      </c>
    </row>
    <row r="79" spans="2:188">
      <c r="B79" s="1781">
        <v>43983</v>
      </c>
      <c r="C79" s="1028">
        <v>0</v>
      </c>
      <c r="D79" s="1028">
        <v>0</v>
      </c>
      <c r="E79" s="1028">
        <v>0</v>
      </c>
      <c r="F79" s="1028">
        <v>0</v>
      </c>
      <c r="Q79" s="1028">
        <v>0</v>
      </c>
      <c r="R79" s="1028">
        <v>0</v>
      </c>
      <c r="S79" s="1028">
        <v>0</v>
      </c>
      <c r="W79" s="1028">
        <v>0</v>
      </c>
      <c r="AA79" s="1028">
        <v>0</v>
      </c>
      <c r="AE79" s="1028">
        <v>0</v>
      </c>
      <c r="AI79" s="1028">
        <v>0</v>
      </c>
      <c r="AM79" s="1028">
        <v>0</v>
      </c>
      <c r="AQ79" s="1028">
        <v>0</v>
      </c>
      <c r="AU79" s="1028">
        <v>0</v>
      </c>
      <c r="AY79" s="1028">
        <v>0</v>
      </c>
      <c r="BC79" s="1028">
        <v>0</v>
      </c>
      <c r="BG79" s="1028">
        <v>0</v>
      </c>
      <c r="BL79" s="1028">
        <v>0</v>
      </c>
      <c r="BM79" s="1028">
        <v>0</v>
      </c>
      <c r="BO79" s="1028">
        <v>0</v>
      </c>
      <c r="BT79" s="1028">
        <v>0</v>
      </c>
      <c r="BV79" s="1028">
        <v>0</v>
      </c>
      <c r="CA79" s="1028">
        <v>0</v>
      </c>
      <c r="CC79" s="1028">
        <v>0</v>
      </c>
      <c r="CI79" s="1028">
        <v>0</v>
      </c>
      <c r="CO79" s="1028">
        <v>0</v>
      </c>
      <c r="CT79" s="1028">
        <v>0</v>
      </c>
      <c r="CU79" s="1028">
        <v>0</v>
      </c>
      <c r="CX79" s="1028">
        <v>0</v>
      </c>
      <c r="DA79" s="1028">
        <v>0</v>
      </c>
      <c r="DE79" s="1028">
        <v>0</v>
      </c>
      <c r="DF79" s="1028">
        <v>0</v>
      </c>
      <c r="DI79" s="1028">
        <v>0</v>
      </c>
      <c r="DL79" s="1028">
        <v>0</v>
      </c>
      <c r="DR79" s="1028">
        <v>0</v>
      </c>
      <c r="DT79" s="1028">
        <v>0</v>
      </c>
      <c r="DW79" s="1028">
        <v>0</v>
      </c>
      <c r="EB79" s="1028">
        <v>0</v>
      </c>
      <c r="EF79" s="1028">
        <v>0</v>
      </c>
      <c r="EG79" s="1028">
        <v>0</v>
      </c>
      <c r="EJ79" s="1028">
        <v>0</v>
      </c>
      <c r="EM79" s="1028">
        <v>0</v>
      </c>
      <c r="ES79" s="1028">
        <v>74971515.250834778</v>
      </c>
      <c r="ET79" s="1028">
        <v>49730108</v>
      </c>
      <c r="EU79" s="1028">
        <v>4978411.0000000009</v>
      </c>
      <c r="EV79" s="1028">
        <v>44751697</v>
      </c>
      <c r="EW79" s="1028">
        <v>0</v>
      </c>
      <c r="EX79" s="1028">
        <v>0</v>
      </c>
      <c r="EY79" s="1028">
        <v>0</v>
      </c>
      <c r="EZ79" s="1028">
        <v>29779734.559999987</v>
      </c>
      <c r="FA79" s="1028">
        <v>1525729.75</v>
      </c>
      <c r="FB79" s="1028">
        <v>37655418.75999999</v>
      </c>
      <c r="FC79" s="1028">
        <v>-9401413.950000003</v>
      </c>
      <c r="FD79" s="1028">
        <v>-4538327.3091652039</v>
      </c>
      <c r="FF79" s="1028">
        <v>2970993.4</v>
      </c>
      <c r="FL79" s="1028">
        <v>77942508.650834784</v>
      </c>
    </row>
    <row r="80" spans="2:188">
      <c r="B80" s="1781">
        <v>44013</v>
      </c>
      <c r="C80" s="1028">
        <v>0</v>
      </c>
      <c r="D80" s="1028">
        <v>0</v>
      </c>
      <c r="E80" s="1028">
        <v>0</v>
      </c>
      <c r="F80" s="1028">
        <v>0</v>
      </c>
      <c r="Q80" s="1028">
        <v>0</v>
      </c>
      <c r="R80" s="1028">
        <v>0</v>
      </c>
      <c r="S80" s="1028">
        <v>0</v>
      </c>
      <c r="W80" s="1028">
        <v>0</v>
      </c>
      <c r="AA80" s="1028">
        <v>0</v>
      </c>
      <c r="AE80" s="1028">
        <v>0</v>
      </c>
      <c r="AI80" s="1028">
        <v>0</v>
      </c>
      <c r="AM80" s="1028">
        <v>0</v>
      </c>
      <c r="AQ80" s="1028">
        <v>0</v>
      </c>
      <c r="AU80" s="1028">
        <v>0</v>
      </c>
      <c r="AY80" s="1028">
        <v>0</v>
      </c>
      <c r="BC80" s="1028">
        <v>0</v>
      </c>
      <c r="BG80" s="1028">
        <v>0</v>
      </c>
      <c r="BL80" s="1028">
        <v>0</v>
      </c>
      <c r="BM80" s="1028">
        <v>0</v>
      </c>
      <c r="BO80" s="1028">
        <v>0</v>
      </c>
      <c r="BT80" s="1028">
        <v>0</v>
      </c>
      <c r="BV80" s="1028">
        <v>0</v>
      </c>
      <c r="CA80" s="1028">
        <v>0</v>
      </c>
      <c r="CC80" s="1028">
        <v>0</v>
      </c>
      <c r="CI80" s="1028">
        <v>0</v>
      </c>
      <c r="CO80" s="1028">
        <v>0</v>
      </c>
      <c r="CT80" s="1028">
        <v>0</v>
      </c>
      <c r="CU80" s="1028">
        <v>0</v>
      </c>
      <c r="CX80" s="1028">
        <v>0</v>
      </c>
      <c r="DA80" s="1028">
        <v>0</v>
      </c>
      <c r="DE80" s="1028">
        <v>0</v>
      </c>
      <c r="DF80" s="1028">
        <v>0</v>
      </c>
      <c r="DI80" s="1028">
        <v>0</v>
      </c>
      <c r="DL80" s="1028">
        <v>0</v>
      </c>
      <c r="DR80" s="1028">
        <v>0</v>
      </c>
      <c r="DT80" s="1028">
        <v>0</v>
      </c>
      <c r="DW80" s="1028">
        <v>0</v>
      </c>
      <c r="EB80" s="1028">
        <v>0</v>
      </c>
      <c r="EF80" s="1028">
        <v>0</v>
      </c>
      <c r="EG80" s="1028">
        <v>0</v>
      </c>
      <c r="EJ80" s="1028">
        <v>0</v>
      </c>
      <c r="EM80" s="1028">
        <v>0</v>
      </c>
      <c r="ES80" s="1028">
        <v>111655390.75083481</v>
      </c>
      <c r="ET80" s="1028">
        <v>49730108</v>
      </c>
      <c r="EU80" s="1028">
        <v>4978411.0000000009</v>
      </c>
      <c r="EV80" s="1028">
        <v>44751697</v>
      </c>
      <c r="EW80" s="1028">
        <v>0</v>
      </c>
      <c r="EX80" s="1028">
        <v>0</v>
      </c>
      <c r="EY80" s="1028">
        <v>0</v>
      </c>
      <c r="EZ80" s="1028">
        <v>56156881.37000002</v>
      </c>
      <c r="FA80" s="1028">
        <v>89249355.602500007</v>
      </c>
      <c r="FB80" s="1028">
        <v>36216307.440000005</v>
      </c>
      <c r="FC80" s="1028">
        <v>-69308781.672499999</v>
      </c>
      <c r="FD80" s="1028">
        <v>5768401.3808347834</v>
      </c>
      <c r="FF80" s="1028">
        <v>2931871.2491651983</v>
      </c>
      <c r="FL80" s="1028">
        <v>114587262</v>
      </c>
    </row>
    <row r="81" spans="2:169">
      <c r="B81" s="1781">
        <v>44044</v>
      </c>
      <c r="C81" s="1028">
        <f>+D81+I81+J81+K81+L81+M81+N81+O81</f>
        <v>0</v>
      </c>
      <c r="D81" s="1028">
        <f>+E81+F81+G81+H81</f>
        <v>0</v>
      </c>
      <c r="E81" s="1028">
        <v>0</v>
      </c>
      <c r="F81" s="1028">
        <v>0</v>
      </c>
      <c r="Q81" s="1028">
        <f>+R81+AI81+AM81+AQ81+AU81+AY81+BC81+BG81</f>
        <v>0</v>
      </c>
      <c r="R81" s="1028">
        <f>+S81+W81+AA81+AE81</f>
        <v>0</v>
      </c>
      <c r="S81" s="1028">
        <f>+T81+U81+V81</f>
        <v>0</v>
      </c>
      <c r="W81" s="1028">
        <f>+X81+Y81+Z81</f>
        <v>0</v>
      </c>
      <c r="AA81" s="1028">
        <f>+AB81+AC81+AD81</f>
        <v>0</v>
      </c>
      <c r="AE81" s="1028">
        <f>+AF81+AG81+AH81</f>
        <v>0</v>
      </c>
      <c r="AI81" s="1028">
        <f>+AJ81+AK81+AL81</f>
        <v>0</v>
      </c>
      <c r="AM81" s="1028">
        <f>+AN81+AO81+AP81</f>
        <v>0</v>
      </c>
      <c r="AQ81" s="1028">
        <f>+AR81+AS81+AT81</f>
        <v>0</v>
      </c>
      <c r="AU81" s="1028">
        <f>+AV81+AW81+AX81</f>
        <v>0</v>
      </c>
      <c r="AY81" s="1028">
        <f>+AZ81+BA81+BB81</f>
        <v>0</v>
      </c>
      <c r="BC81" s="1028">
        <f>+BD81+BE81+BF81</f>
        <v>0</v>
      </c>
      <c r="BG81" s="1028">
        <f>+BH81+BI81+BJ81</f>
        <v>0</v>
      </c>
      <c r="BL81" s="1028">
        <f>+BM81+BT81+CA81</f>
        <v>0</v>
      </c>
      <c r="BM81" s="1028">
        <f>+BN81+BO81</f>
        <v>0</v>
      </c>
      <c r="BO81" s="1028">
        <f>+BP81+BQ81+BR81</f>
        <v>0</v>
      </c>
      <c r="BT81" s="1028">
        <f>+BU81+BV81</f>
        <v>0</v>
      </c>
      <c r="BV81" s="1028">
        <f>+BW81+BX81+BY81</f>
        <v>0</v>
      </c>
      <c r="CA81" s="1028">
        <f>+CB81+CC81</f>
        <v>0</v>
      </c>
      <c r="CC81" s="1028">
        <f>+CD81+CE81+CF81</f>
        <v>0</v>
      </c>
      <c r="CI81" s="1028">
        <f>+CK81+CL81+CM81</f>
        <v>0</v>
      </c>
      <c r="CO81" s="1028">
        <f>+CP81+CQ81+CR81</f>
        <v>0</v>
      </c>
      <c r="CT81" s="1028">
        <f>+CU81+CX81+DA81</f>
        <v>0</v>
      </c>
      <c r="CU81" s="1028">
        <f>+CV81+CW81</f>
        <v>0</v>
      </c>
      <c r="CX81" s="1028">
        <f>+CY81+CZ81</f>
        <v>0</v>
      </c>
      <c r="DA81" s="1028">
        <f>+DB81+DC81</f>
        <v>0</v>
      </c>
      <c r="DE81" s="1028">
        <f>+DF81+DI81+DL81</f>
        <v>0</v>
      </c>
      <c r="DF81" s="1028">
        <f>+DG81+DH81</f>
        <v>0</v>
      </c>
      <c r="DI81" s="1028">
        <f>+DJ81+DK81</f>
        <v>0</v>
      </c>
      <c r="DL81" s="1028">
        <f>+DM81+DN81</f>
        <v>0</v>
      </c>
      <c r="DR81" s="1028">
        <f>+DT81+DW81+DZ81+EA81+EB81</f>
        <v>0</v>
      </c>
      <c r="DT81" s="1028">
        <f>+DU81+DV81</f>
        <v>0</v>
      </c>
      <c r="DW81" s="1028">
        <f>+DX81+DY81</f>
        <v>0</v>
      </c>
      <c r="EB81" s="1028">
        <f>+EC81+ED81</f>
        <v>0</v>
      </c>
      <c r="EF81" s="1028">
        <f>+EG81+EJ81+EM81</f>
        <v>0</v>
      </c>
      <c r="EG81" s="1028">
        <f>+EH81+EI81</f>
        <v>0</v>
      </c>
      <c r="EJ81" s="1028">
        <f>+EK81+EL81</f>
        <v>0</v>
      </c>
      <c r="EM81" s="1028">
        <f>+EN81+EO81</f>
        <v>0</v>
      </c>
      <c r="ES81" s="1028">
        <f>+ET81+EW81+EZ81+FD81</f>
        <v>111655391.75083481</v>
      </c>
      <c r="ET81" s="1028">
        <f>+EU81+EV81</f>
        <v>49730108</v>
      </c>
      <c r="EU81" s="1028">
        <v>4978411.0000000009</v>
      </c>
      <c r="EV81" s="1028">
        <v>44751697</v>
      </c>
      <c r="EW81" s="1028">
        <f>+EX81+EY81</f>
        <v>0</v>
      </c>
      <c r="EX81" s="1028">
        <v>0</v>
      </c>
      <c r="EY81" s="1028">
        <v>0</v>
      </c>
      <c r="EZ81" s="1028">
        <f>+FA81+FB81+FC81</f>
        <v>56156882.37000002</v>
      </c>
      <c r="FA81" s="1028">
        <v>89249355.602500007</v>
      </c>
      <c r="FB81" s="1028">
        <v>36216308.440000005</v>
      </c>
      <c r="FC81" s="1028">
        <v>-69308781.672499999</v>
      </c>
      <c r="FD81" s="1028">
        <v>5768401.3808347834</v>
      </c>
      <c r="FF81" s="1028">
        <v>2931869.7899999828</v>
      </c>
      <c r="FL81" s="1028">
        <f>+C81+Q81+BL81+CI81+CO81+CT81+DE81+DP81+DR81+EF81+EQ81+ES81+FF81</f>
        <v>114587261.54083478</v>
      </c>
    </row>
    <row r="82" spans="2:169">
      <c r="B82" s="1781">
        <v>44075</v>
      </c>
      <c r="C82" s="1028">
        <v>0</v>
      </c>
      <c r="D82" s="1028">
        <v>0</v>
      </c>
      <c r="E82" s="1028">
        <v>0</v>
      </c>
      <c r="F82" s="1028">
        <v>0</v>
      </c>
      <c r="Q82" s="1028">
        <v>0</v>
      </c>
      <c r="R82" s="1028">
        <v>0</v>
      </c>
      <c r="S82" s="1028">
        <v>0</v>
      </c>
      <c r="W82" s="1028">
        <v>0</v>
      </c>
      <c r="AA82" s="1028">
        <v>0</v>
      </c>
      <c r="AE82" s="1028">
        <v>0</v>
      </c>
      <c r="AI82" s="1028">
        <v>0</v>
      </c>
      <c r="AM82" s="1028">
        <v>0</v>
      </c>
      <c r="AQ82" s="1028">
        <v>0</v>
      </c>
      <c r="AU82" s="1028">
        <v>0</v>
      </c>
      <c r="AY82" s="1028">
        <v>0</v>
      </c>
      <c r="BC82" s="1028">
        <v>0</v>
      </c>
      <c r="BG82" s="1028">
        <v>0</v>
      </c>
      <c r="BL82" s="1028">
        <v>0</v>
      </c>
      <c r="BM82" s="1028">
        <v>0</v>
      </c>
      <c r="BO82" s="1028">
        <v>0</v>
      </c>
      <c r="BT82" s="1028">
        <v>0</v>
      </c>
      <c r="BV82" s="1028">
        <v>0</v>
      </c>
      <c r="CA82" s="1028">
        <v>0</v>
      </c>
      <c r="CC82" s="1028">
        <v>0</v>
      </c>
      <c r="CI82" s="1028">
        <v>0</v>
      </c>
      <c r="CO82" s="1028">
        <v>0</v>
      </c>
      <c r="CT82" s="1028">
        <v>0</v>
      </c>
      <c r="CU82" s="1028">
        <v>0</v>
      </c>
      <c r="CX82" s="1028">
        <v>0</v>
      </c>
      <c r="DA82" s="1028">
        <v>0</v>
      </c>
      <c r="DE82" s="1028">
        <v>0</v>
      </c>
      <c r="DF82" s="1028">
        <v>0</v>
      </c>
      <c r="DI82" s="1028">
        <v>0</v>
      </c>
      <c r="DL82" s="1028">
        <v>0</v>
      </c>
      <c r="DR82" s="1028">
        <v>0</v>
      </c>
      <c r="DT82" s="1028">
        <v>0</v>
      </c>
      <c r="DW82" s="1028">
        <v>0</v>
      </c>
      <c r="EB82" s="1028">
        <v>0</v>
      </c>
      <c r="EF82" s="1028">
        <v>0</v>
      </c>
      <c r="EG82" s="1028">
        <v>0</v>
      </c>
      <c r="EJ82" s="1028">
        <v>0</v>
      </c>
      <c r="EM82" s="1028">
        <v>0</v>
      </c>
      <c r="ES82" s="1028">
        <v>965582773.74000001</v>
      </c>
      <c r="ET82" s="1028">
        <v>50306580</v>
      </c>
      <c r="EU82" s="1028">
        <v>5030658</v>
      </c>
      <c r="EV82" s="1028">
        <v>45275922</v>
      </c>
      <c r="EW82" s="1028">
        <v>0</v>
      </c>
      <c r="EX82" s="1028">
        <v>0</v>
      </c>
      <c r="EY82" s="1028">
        <v>0</v>
      </c>
      <c r="EZ82" s="1028">
        <v>912777950.74000001</v>
      </c>
      <c r="FA82" s="1028">
        <v>951644714</v>
      </c>
      <c r="FB82" s="1028">
        <v>38293128.74000001</v>
      </c>
      <c r="FC82" s="1028">
        <v>-77159892</v>
      </c>
      <c r="FD82" s="1028">
        <v>2498243</v>
      </c>
      <c r="FF82" s="1028">
        <v>4538604.7999999523</v>
      </c>
      <c r="FL82" s="1028">
        <v>970121378.53999996</v>
      </c>
      <c r="FM82" s="1028">
        <v>0</v>
      </c>
    </row>
    <row r="83" spans="2:169">
      <c r="B83" s="1781">
        <v>44105</v>
      </c>
      <c r="C83" s="1028">
        <v>0</v>
      </c>
      <c r="D83" s="1028">
        <v>0</v>
      </c>
      <c r="E83" s="1028">
        <v>0</v>
      </c>
      <c r="F83" s="1028">
        <v>0</v>
      </c>
      <c r="Q83" s="1028">
        <v>0</v>
      </c>
      <c r="R83" s="1028">
        <v>0</v>
      </c>
      <c r="S83" s="1028">
        <v>0</v>
      </c>
      <c r="W83" s="1028">
        <v>0</v>
      </c>
      <c r="AA83" s="1028">
        <v>0</v>
      </c>
      <c r="AE83" s="1028">
        <v>0</v>
      </c>
      <c r="AI83" s="1028">
        <v>0</v>
      </c>
      <c r="AM83" s="1028">
        <v>0</v>
      </c>
      <c r="AQ83" s="1028">
        <v>0</v>
      </c>
      <c r="AU83" s="1028">
        <v>0</v>
      </c>
      <c r="AY83" s="1028">
        <v>0</v>
      </c>
      <c r="BC83" s="1028">
        <v>0</v>
      </c>
      <c r="BG83" s="1028">
        <v>0</v>
      </c>
      <c r="BL83" s="1028">
        <v>0</v>
      </c>
      <c r="BM83" s="1028">
        <v>0</v>
      </c>
      <c r="BO83" s="1028">
        <v>0</v>
      </c>
      <c r="BT83" s="1028">
        <v>0</v>
      </c>
      <c r="BV83" s="1028">
        <v>0</v>
      </c>
      <c r="CA83" s="1028">
        <v>0</v>
      </c>
      <c r="CC83" s="1028">
        <v>0</v>
      </c>
      <c r="CI83" s="1028">
        <v>0</v>
      </c>
      <c r="CO83" s="1028">
        <v>0</v>
      </c>
      <c r="CT83" s="1028">
        <v>0</v>
      </c>
      <c r="CU83" s="1028">
        <v>0</v>
      </c>
      <c r="CX83" s="1028">
        <v>0</v>
      </c>
      <c r="DA83" s="1028">
        <v>0</v>
      </c>
      <c r="DE83" s="1028">
        <v>0</v>
      </c>
      <c r="DF83" s="1028">
        <v>0</v>
      </c>
      <c r="DI83" s="1028">
        <v>0</v>
      </c>
      <c r="DL83" s="1028">
        <v>0</v>
      </c>
      <c r="DR83" s="1028">
        <v>0</v>
      </c>
      <c r="DT83" s="1028">
        <v>0</v>
      </c>
      <c r="DW83" s="1028">
        <v>0</v>
      </c>
      <c r="EB83" s="1028">
        <v>0</v>
      </c>
      <c r="EF83" s="1028">
        <v>0</v>
      </c>
      <c r="EG83" s="1028">
        <v>0</v>
      </c>
      <c r="EJ83" s="1028">
        <v>0</v>
      </c>
      <c r="EM83" s="1028">
        <v>0</v>
      </c>
      <c r="ES83" s="1028">
        <v>965582773.74000001</v>
      </c>
      <c r="ET83" s="1028">
        <v>50306580</v>
      </c>
      <c r="EU83" s="1028">
        <v>5030658</v>
      </c>
      <c r="EV83" s="1028">
        <v>45275922</v>
      </c>
      <c r="EW83" s="1028">
        <v>0</v>
      </c>
      <c r="EX83" s="1028">
        <v>0</v>
      </c>
      <c r="EY83" s="1028">
        <v>0</v>
      </c>
      <c r="EZ83" s="1028">
        <v>912777950.74000001</v>
      </c>
      <c r="FA83" s="1028">
        <v>951644714</v>
      </c>
      <c r="FB83" s="1028">
        <v>38293128.74000001</v>
      </c>
      <c r="FC83" s="1028">
        <v>-77159892</v>
      </c>
      <c r="FD83" s="1028">
        <v>2498243</v>
      </c>
      <c r="FF83" s="1028">
        <v>4538604.7999999523</v>
      </c>
      <c r="FL83" s="1028">
        <v>970121378.53999996</v>
      </c>
      <c r="FM83" s="1028">
        <v>0</v>
      </c>
    </row>
    <row r="84" spans="2:169">
      <c r="B84" s="1781">
        <v>44136</v>
      </c>
      <c r="C84" s="1028">
        <v>0</v>
      </c>
      <c r="D84" s="1028">
        <v>0</v>
      </c>
      <c r="E84" s="1028">
        <v>0</v>
      </c>
      <c r="F84" s="1028">
        <v>0</v>
      </c>
      <c r="Q84" s="1028">
        <v>0</v>
      </c>
      <c r="R84" s="1028">
        <v>0</v>
      </c>
      <c r="S84" s="1028">
        <v>0</v>
      </c>
      <c r="W84" s="1028">
        <v>0</v>
      </c>
      <c r="AA84" s="1028">
        <v>0</v>
      </c>
      <c r="AE84" s="1028">
        <v>0</v>
      </c>
      <c r="AI84" s="1028">
        <v>0</v>
      </c>
      <c r="AM84" s="1028">
        <v>0</v>
      </c>
      <c r="AQ84" s="1028">
        <v>0</v>
      </c>
      <c r="AU84" s="1028">
        <v>0</v>
      </c>
      <c r="AY84" s="1028">
        <v>0</v>
      </c>
      <c r="BC84" s="1028">
        <v>0</v>
      </c>
      <c r="BG84" s="1028">
        <v>0</v>
      </c>
      <c r="BL84" s="1028">
        <v>0</v>
      </c>
      <c r="BM84" s="1028">
        <v>0</v>
      </c>
      <c r="BO84" s="1028">
        <v>0</v>
      </c>
      <c r="BT84" s="1028">
        <v>0</v>
      </c>
      <c r="BV84" s="1028">
        <v>0</v>
      </c>
      <c r="CA84" s="1028">
        <v>0</v>
      </c>
      <c r="CC84" s="1028">
        <v>0</v>
      </c>
      <c r="CI84" s="1028">
        <v>0</v>
      </c>
      <c r="CO84" s="1028">
        <v>0</v>
      </c>
      <c r="CT84" s="1028">
        <v>0</v>
      </c>
      <c r="CU84" s="1028">
        <v>0</v>
      </c>
      <c r="CX84" s="1028">
        <v>0</v>
      </c>
      <c r="DA84" s="1028">
        <v>0</v>
      </c>
      <c r="DE84" s="1028">
        <v>0</v>
      </c>
      <c r="DF84" s="1028">
        <v>0</v>
      </c>
      <c r="DI84" s="1028">
        <v>0</v>
      </c>
      <c r="DL84" s="1028">
        <v>0</v>
      </c>
      <c r="DR84" s="1028">
        <v>0</v>
      </c>
      <c r="DT84" s="1028">
        <v>0</v>
      </c>
      <c r="DW84" s="1028">
        <v>0</v>
      </c>
      <c r="EB84" s="1028">
        <v>0</v>
      </c>
      <c r="EF84" s="1028">
        <v>0</v>
      </c>
      <c r="EG84" s="1028">
        <v>0</v>
      </c>
      <c r="EJ84" s="1028">
        <v>0</v>
      </c>
      <c r="EM84" s="1028">
        <v>0</v>
      </c>
      <c r="ES84" s="1028">
        <v>968630583.74000001</v>
      </c>
      <c r="ET84" s="1028">
        <v>50306580</v>
      </c>
      <c r="EU84" s="1028">
        <v>5030658</v>
      </c>
      <c r="EV84" s="1028">
        <v>45275922</v>
      </c>
      <c r="EW84" s="1028">
        <v>0</v>
      </c>
      <c r="EX84" s="1028">
        <v>0</v>
      </c>
      <c r="EY84" s="1028">
        <v>0</v>
      </c>
      <c r="EZ84" s="1028">
        <v>916143760.74000001</v>
      </c>
      <c r="FA84" s="1028">
        <v>3365621</v>
      </c>
      <c r="FB84" s="1028">
        <v>34677507.74000001</v>
      </c>
      <c r="FC84" s="1028">
        <v>878100632</v>
      </c>
      <c r="FD84" s="1028">
        <v>2180243</v>
      </c>
      <c r="FF84" s="1028">
        <v>4538605.3300000429</v>
      </c>
      <c r="FL84" s="1028">
        <v>973169189.07000005</v>
      </c>
      <c r="FM84" s="1028">
        <v>0</v>
      </c>
    </row>
    <row r="85" spans="2:169">
      <c r="B85" s="1781">
        <v>44166</v>
      </c>
      <c r="C85" s="1028">
        <v>0</v>
      </c>
      <c r="D85" s="1028">
        <v>0</v>
      </c>
      <c r="E85" s="1028">
        <v>0</v>
      </c>
      <c r="F85" s="1028">
        <v>0</v>
      </c>
      <c r="Q85" s="1028">
        <v>0</v>
      </c>
      <c r="R85" s="1028">
        <v>0</v>
      </c>
      <c r="S85" s="1028">
        <v>0</v>
      </c>
      <c r="W85" s="1028">
        <v>0</v>
      </c>
      <c r="AA85" s="1028">
        <v>0</v>
      </c>
      <c r="AE85" s="1028">
        <v>0</v>
      </c>
      <c r="AI85" s="1028">
        <v>0</v>
      </c>
      <c r="AM85" s="1028">
        <v>0</v>
      </c>
      <c r="AQ85" s="1028">
        <v>0</v>
      </c>
      <c r="AU85" s="1028">
        <v>0</v>
      </c>
      <c r="AY85" s="1028">
        <v>0</v>
      </c>
      <c r="BC85" s="1028">
        <v>0</v>
      </c>
      <c r="BG85" s="1028">
        <v>0</v>
      </c>
      <c r="BL85" s="1028">
        <v>0</v>
      </c>
      <c r="BM85" s="1028">
        <v>0</v>
      </c>
      <c r="BO85" s="1028">
        <v>0</v>
      </c>
      <c r="BT85" s="1028">
        <v>0</v>
      </c>
      <c r="BV85" s="1028">
        <v>0</v>
      </c>
      <c r="CA85" s="1028">
        <v>0</v>
      </c>
      <c r="CC85" s="1028">
        <v>0</v>
      </c>
      <c r="CI85" s="1028">
        <v>0</v>
      </c>
      <c r="CO85" s="1028">
        <v>0</v>
      </c>
      <c r="CT85" s="1028">
        <v>0</v>
      </c>
      <c r="CU85" s="1028">
        <v>0</v>
      </c>
      <c r="CX85" s="1028">
        <v>0</v>
      </c>
      <c r="DA85" s="1028">
        <v>0</v>
      </c>
      <c r="DE85" s="1028">
        <v>0</v>
      </c>
      <c r="DF85" s="1028">
        <v>0</v>
      </c>
      <c r="DI85" s="1028">
        <v>0</v>
      </c>
      <c r="DL85" s="1028">
        <v>0</v>
      </c>
      <c r="DR85" s="1028">
        <v>0</v>
      </c>
      <c r="DT85" s="1028">
        <v>0</v>
      </c>
      <c r="DW85" s="1028">
        <v>0</v>
      </c>
      <c r="EB85" s="1028">
        <v>0</v>
      </c>
      <c r="EF85" s="1028">
        <v>0</v>
      </c>
      <c r="EG85" s="1028">
        <v>0</v>
      </c>
      <c r="EJ85" s="1028">
        <v>0</v>
      </c>
      <c r="EM85" s="1028">
        <v>0</v>
      </c>
      <c r="ES85" s="1028">
        <v>981703543.58999991</v>
      </c>
      <c r="ET85" s="1028">
        <v>50306580</v>
      </c>
      <c r="EU85" s="1028">
        <v>5030658</v>
      </c>
      <c r="EV85" s="1028">
        <v>45275922</v>
      </c>
      <c r="EW85" s="1028">
        <v>0</v>
      </c>
      <c r="EX85" s="1028">
        <v>0</v>
      </c>
      <c r="EY85" s="1028">
        <v>0</v>
      </c>
      <c r="EZ85" s="1028">
        <v>916724138.86999989</v>
      </c>
      <c r="FA85" s="1028">
        <v>4094452.35</v>
      </c>
      <c r="FB85" s="1028">
        <v>31276567.580000006</v>
      </c>
      <c r="FC85" s="1028">
        <v>881353118.93999994</v>
      </c>
      <c r="FD85" s="1028">
        <v>14672824.720000001</v>
      </c>
      <c r="FF85" s="1028">
        <v>4688311.05</v>
      </c>
      <c r="FL85" s="1028">
        <v>986391854.63999987</v>
      </c>
      <c r="FM85" s="1028">
        <v>-0.45999991893768311</v>
      </c>
    </row>
    <row r="86" spans="2:169">
      <c r="B86" s="1781">
        <v>44197</v>
      </c>
      <c r="C86" s="1028">
        <v>0</v>
      </c>
      <c r="D86" s="1028">
        <v>0</v>
      </c>
      <c r="E86" s="1028">
        <v>0</v>
      </c>
      <c r="F86" s="1028">
        <v>0</v>
      </c>
      <c r="Q86" s="1028">
        <v>0</v>
      </c>
      <c r="R86" s="1028">
        <v>0</v>
      </c>
      <c r="S86" s="1028">
        <v>0</v>
      </c>
      <c r="W86" s="1028">
        <v>0</v>
      </c>
      <c r="AA86" s="1028">
        <v>0</v>
      </c>
      <c r="AE86" s="1028">
        <v>0</v>
      </c>
      <c r="AI86" s="1028">
        <v>0</v>
      </c>
      <c r="AM86" s="1028">
        <v>0</v>
      </c>
      <c r="AQ86" s="1028">
        <v>0</v>
      </c>
      <c r="AU86" s="1028">
        <v>0</v>
      </c>
      <c r="AY86" s="1028">
        <v>0</v>
      </c>
      <c r="BC86" s="1028">
        <v>0</v>
      </c>
      <c r="BG86" s="1028">
        <v>0</v>
      </c>
      <c r="BL86" s="1028">
        <v>0</v>
      </c>
      <c r="BM86" s="1028">
        <v>0</v>
      </c>
      <c r="BO86" s="1028">
        <v>0</v>
      </c>
      <c r="BT86" s="1028">
        <v>0</v>
      </c>
      <c r="BV86" s="1028">
        <v>0</v>
      </c>
      <c r="CA86" s="1028">
        <v>0</v>
      </c>
      <c r="CC86" s="1028">
        <v>0</v>
      </c>
      <c r="CI86" s="1028">
        <v>0</v>
      </c>
      <c r="CO86" s="1028">
        <v>0</v>
      </c>
      <c r="CT86" s="1028">
        <v>0</v>
      </c>
      <c r="CU86" s="1028">
        <v>0</v>
      </c>
      <c r="CX86" s="1028">
        <v>0</v>
      </c>
      <c r="DA86" s="1028">
        <v>0</v>
      </c>
      <c r="DE86" s="1028">
        <v>0</v>
      </c>
      <c r="DF86" s="1028">
        <v>0</v>
      </c>
      <c r="DI86" s="1028">
        <v>0</v>
      </c>
      <c r="DL86" s="1028">
        <v>0</v>
      </c>
      <c r="DR86" s="1028">
        <v>0</v>
      </c>
      <c r="DT86" s="1028">
        <v>0</v>
      </c>
      <c r="DW86" s="1028">
        <v>0</v>
      </c>
      <c r="EB86" s="1028">
        <v>0</v>
      </c>
      <c r="EF86" s="1028">
        <v>0</v>
      </c>
      <c r="EG86" s="1028">
        <v>0</v>
      </c>
      <c r="EJ86" s="1028">
        <v>0</v>
      </c>
      <c r="EM86" s="1028">
        <v>0</v>
      </c>
      <c r="ES86" s="1028">
        <v>999487039.1716001</v>
      </c>
      <c r="ET86" s="1028">
        <v>50306580</v>
      </c>
      <c r="EU86" s="1028">
        <v>5030658</v>
      </c>
      <c r="EV86" s="1028">
        <v>45275922</v>
      </c>
      <c r="EW86" s="1028">
        <v>0</v>
      </c>
      <c r="EX86" s="1028">
        <v>0</v>
      </c>
      <c r="EY86" s="1028">
        <v>0</v>
      </c>
      <c r="EZ86" s="1028">
        <v>947448295.75000012</v>
      </c>
      <c r="FA86" s="1028">
        <v>4354509.01</v>
      </c>
      <c r="FB86" s="1028">
        <v>28592446.810000002</v>
      </c>
      <c r="FC86" s="1028">
        <v>914501339.93000007</v>
      </c>
      <c r="FD86" s="1028">
        <v>1732163.4215999956</v>
      </c>
      <c r="FF86" s="1028">
        <v>2360306.1100000003</v>
      </c>
      <c r="FL86" s="1028">
        <v>1001847345.2816001</v>
      </c>
    </row>
    <row r="87" spans="2:169">
      <c r="B87" s="1781">
        <v>44228</v>
      </c>
      <c r="C87" s="1028">
        <v>0</v>
      </c>
      <c r="D87" s="1028">
        <v>0</v>
      </c>
      <c r="E87" s="1028">
        <v>0</v>
      </c>
      <c r="F87" s="1028">
        <v>0</v>
      </c>
      <c r="Q87" s="1028">
        <v>0</v>
      </c>
      <c r="R87" s="1028">
        <v>0</v>
      </c>
      <c r="S87" s="1028">
        <v>0</v>
      </c>
      <c r="W87" s="1028">
        <v>0</v>
      </c>
      <c r="AA87" s="1028">
        <v>0</v>
      </c>
      <c r="AE87" s="1028">
        <v>0</v>
      </c>
      <c r="AI87" s="1028">
        <v>0</v>
      </c>
      <c r="AM87" s="1028">
        <v>0</v>
      </c>
      <c r="AQ87" s="1028">
        <v>0</v>
      </c>
      <c r="AU87" s="1028">
        <v>0</v>
      </c>
      <c r="AY87" s="1028">
        <v>0</v>
      </c>
      <c r="BC87" s="1028">
        <v>0</v>
      </c>
      <c r="BG87" s="1028">
        <v>0</v>
      </c>
      <c r="BL87" s="1028">
        <v>0</v>
      </c>
      <c r="BM87" s="1028">
        <v>0</v>
      </c>
      <c r="BO87" s="1028">
        <v>0</v>
      </c>
      <c r="BT87" s="1028">
        <v>0</v>
      </c>
      <c r="BV87" s="1028">
        <v>0</v>
      </c>
      <c r="CA87" s="1028">
        <v>0</v>
      </c>
      <c r="CC87" s="1028">
        <v>0</v>
      </c>
      <c r="CI87" s="1028">
        <v>0</v>
      </c>
      <c r="CO87" s="1028">
        <v>0</v>
      </c>
      <c r="CT87" s="1028">
        <v>0</v>
      </c>
      <c r="CU87" s="1028">
        <v>0</v>
      </c>
      <c r="CX87" s="1028">
        <v>0</v>
      </c>
      <c r="DA87" s="1028">
        <v>0</v>
      </c>
      <c r="DE87" s="1028">
        <v>0</v>
      </c>
      <c r="DF87" s="1028">
        <v>0</v>
      </c>
      <c r="DI87" s="1028">
        <v>0</v>
      </c>
      <c r="DL87" s="1028">
        <v>0</v>
      </c>
      <c r="DR87" s="1028">
        <v>0</v>
      </c>
      <c r="DT87" s="1028">
        <v>0</v>
      </c>
      <c r="DW87" s="1028">
        <v>0</v>
      </c>
      <c r="EB87" s="1028">
        <v>0</v>
      </c>
      <c r="EF87" s="1028">
        <v>0</v>
      </c>
      <c r="EG87" s="1028">
        <v>0</v>
      </c>
      <c r="EJ87" s="1028">
        <v>0</v>
      </c>
      <c r="EM87" s="1028">
        <v>0</v>
      </c>
      <c r="ES87" s="1028">
        <v>1009719622.1716001</v>
      </c>
      <c r="ET87" s="1028">
        <v>50306580</v>
      </c>
      <c r="EU87" s="1028">
        <v>5030658</v>
      </c>
      <c r="EV87" s="1028">
        <v>45275922</v>
      </c>
      <c r="EW87" s="1028">
        <v>0</v>
      </c>
      <c r="EX87" s="1028">
        <v>0</v>
      </c>
      <c r="EY87" s="1028">
        <v>0</v>
      </c>
      <c r="EZ87" s="1028">
        <v>958940878.75000012</v>
      </c>
      <c r="FA87" s="1028">
        <v>3034509.01</v>
      </c>
      <c r="FB87" s="1028">
        <v>28592446.810000002</v>
      </c>
      <c r="FC87" s="1028">
        <v>927313922.93000007</v>
      </c>
      <c r="FD87" s="1028">
        <v>472163.4216</v>
      </c>
      <c r="FF87" s="1028">
        <v>2360306.1100000003</v>
      </c>
      <c r="FL87" s="1028">
        <v>1012079928.2816001</v>
      </c>
      <c r="FM87" s="1028">
        <v>0.25219976902008057</v>
      </c>
    </row>
    <row r="88" spans="2:169">
      <c r="B88" s="1781">
        <v>44256</v>
      </c>
      <c r="C88" s="1028">
        <v>0</v>
      </c>
      <c r="D88" s="1028">
        <v>0</v>
      </c>
      <c r="E88" s="1028">
        <v>0</v>
      </c>
      <c r="F88" s="1028">
        <v>0</v>
      </c>
      <c r="Q88" s="1028">
        <v>0</v>
      </c>
      <c r="R88" s="1028">
        <v>0</v>
      </c>
      <c r="S88" s="1028">
        <v>0</v>
      </c>
      <c r="W88" s="1028">
        <v>0</v>
      </c>
      <c r="AA88" s="1028">
        <v>0</v>
      </c>
      <c r="AE88" s="1028">
        <v>0</v>
      </c>
      <c r="AI88" s="1028">
        <v>0</v>
      </c>
      <c r="AM88" s="1028">
        <v>0</v>
      </c>
      <c r="AQ88" s="1028">
        <v>0</v>
      </c>
      <c r="AU88" s="1028">
        <v>0</v>
      </c>
      <c r="AY88" s="1028">
        <v>0</v>
      </c>
      <c r="BC88" s="1028">
        <v>0</v>
      </c>
      <c r="BG88" s="1028">
        <v>0</v>
      </c>
      <c r="BL88" s="1028">
        <v>0</v>
      </c>
      <c r="BM88" s="1028">
        <v>0</v>
      </c>
      <c r="BO88" s="1028">
        <v>0</v>
      </c>
      <c r="BT88" s="1028">
        <v>0</v>
      </c>
      <c r="BV88" s="1028">
        <v>0</v>
      </c>
      <c r="CA88" s="1028">
        <v>0</v>
      </c>
      <c r="CC88" s="1028">
        <v>0</v>
      </c>
      <c r="CI88" s="1028">
        <v>0</v>
      </c>
      <c r="CO88" s="1028">
        <v>0</v>
      </c>
      <c r="CT88" s="1028">
        <v>0</v>
      </c>
      <c r="CU88" s="1028">
        <v>0</v>
      </c>
      <c r="CX88" s="1028">
        <v>0</v>
      </c>
      <c r="DA88" s="1028">
        <v>0</v>
      </c>
      <c r="DE88" s="1028">
        <v>0</v>
      </c>
      <c r="DF88" s="1028">
        <v>0</v>
      </c>
      <c r="DI88" s="1028">
        <v>0</v>
      </c>
      <c r="DL88" s="1028">
        <v>0</v>
      </c>
      <c r="DR88" s="1028">
        <v>0</v>
      </c>
      <c r="DT88" s="1028">
        <v>0</v>
      </c>
      <c r="DW88" s="1028">
        <v>0</v>
      </c>
      <c r="EB88" s="1028">
        <v>0</v>
      </c>
      <c r="EF88" s="1028">
        <v>0</v>
      </c>
      <c r="EG88" s="1028">
        <v>0</v>
      </c>
      <c r="EJ88" s="1028">
        <v>0</v>
      </c>
      <c r="EM88" s="1028">
        <v>0</v>
      </c>
      <c r="ES88" s="1028">
        <v>995542931.1716001</v>
      </c>
      <c r="ET88" s="1028">
        <v>50306580</v>
      </c>
      <c r="EU88" s="1028">
        <v>5030658</v>
      </c>
      <c r="EV88" s="1028">
        <v>45275922</v>
      </c>
      <c r="EW88" s="1028">
        <v>0</v>
      </c>
      <c r="EX88" s="1028">
        <v>0</v>
      </c>
      <c r="EY88" s="1028">
        <v>0</v>
      </c>
      <c r="EZ88" s="1028">
        <v>944204687.75000012</v>
      </c>
      <c r="FA88" s="1028">
        <v>4354509.01</v>
      </c>
      <c r="FB88" s="1028">
        <v>28592446.809999999</v>
      </c>
      <c r="FC88" s="1028">
        <v>911257731.93000007</v>
      </c>
      <c r="FD88" s="1028">
        <v>1031663.4216</v>
      </c>
      <c r="FF88" s="1028">
        <v>2360306.1100000003</v>
      </c>
      <c r="FL88" s="1028">
        <v>997903237.28160012</v>
      </c>
      <c r="FM88" s="1028">
        <v>0.25219964981079102</v>
      </c>
    </row>
    <row r="89" spans="2:169">
      <c r="B89" s="1781">
        <v>44287</v>
      </c>
      <c r="C89" s="1028">
        <v>0</v>
      </c>
      <c r="D89" s="1028">
        <v>0</v>
      </c>
      <c r="E89" s="1028">
        <v>0</v>
      </c>
      <c r="F89" s="1028">
        <v>0</v>
      </c>
      <c r="Q89" s="1028">
        <v>0</v>
      </c>
      <c r="R89" s="1028">
        <v>0</v>
      </c>
      <c r="S89" s="1028">
        <v>0</v>
      </c>
      <c r="W89" s="1028">
        <v>0</v>
      </c>
      <c r="AA89" s="1028">
        <v>0</v>
      </c>
      <c r="AE89" s="1028">
        <v>0</v>
      </c>
      <c r="AI89" s="1028">
        <v>0</v>
      </c>
      <c r="AM89" s="1028">
        <v>0</v>
      </c>
      <c r="AQ89" s="1028">
        <v>0</v>
      </c>
      <c r="AU89" s="1028">
        <v>0</v>
      </c>
      <c r="AY89" s="1028">
        <v>0</v>
      </c>
      <c r="BC89" s="1028">
        <v>0</v>
      </c>
      <c r="BG89" s="1028">
        <v>0</v>
      </c>
      <c r="BL89" s="1028">
        <v>0</v>
      </c>
      <c r="BM89" s="1028">
        <v>0</v>
      </c>
      <c r="BO89" s="1028">
        <v>0</v>
      </c>
      <c r="BT89" s="1028">
        <v>0</v>
      </c>
      <c r="BV89" s="1028">
        <v>0</v>
      </c>
      <c r="CA89" s="1028">
        <v>0</v>
      </c>
      <c r="CC89" s="1028">
        <v>0</v>
      </c>
      <c r="CI89" s="1028">
        <v>0</v>
      </c>
      <c r="CO89" s="1028">
        <v>0</v>
      </c>
      <c r="CT89" s="1028">
        <v>0</v>
      </c>
      <c r="CU89" s="1028">
        <v>0</v>
      </c>
      <c r="CX89" s="1028">
        <v>0</v>
      </c>
      <c r="DA89" s="1028">
        <v>0</v>
      </c>
      <c r="DE89" s="1028">
        <v>0</v>
      </c>
      <c r="DF89" s="1028">
        <v>0</v>
      </c>
      <c r="DI89" s="1028">
        <v>0</v>
      </c>
      <c r="DL89" s="1028">
        <v>0</v>
      </c>
      <c r="DR89" s="1028">
        <v>0</v>
      </c>
      <c r="DT89" s="1028">
        <v>0</v>
      </c>
      <c r="DW89" s="1028">
        <v>0</v>
      </c>
      <c r="EB89" s="1028">
        <v>0</v>
      </c>
      <c r="EF89" s="1028">
        <v>0</v>
      </c>
      <c r="EG89" s="1028">
        <v>0</v>
      </c>
      <c r="EJ89" s="1028">
        <v>0</v>
      </c>
      <c r="EM89" s="1028">
        <v>0</v>
      </c>
      <c r="ES89" s="1028">
        <v>998239390.89360011</v>
      </c>
      <c r="ET89" s="1028">
        <v>50306580</v>
      </c>
      <c r="EU89" s="1028">
        <v>5030658</v>
      </c>
      <c r="EV89" s="1028">
        <v>45275922</v>
      </c>
      <c r="EW89" s="1028">
        <v>0</v>
      </c>
      <c r="EX89" s="1028">
        <v>0</v>
      </c>
      <c r="EY89" s="1028">
        <v>0</v>
      </c>
      <c r="EZ89" s="1028">
        <v>950465255.94000006</v>
      </c>
      <c r="FA89" s="1028">
        <v>4354509.01</v>
      </c>
      <c r="FB89" s="1028">
        <v>28365795.75</v>
      </c>
      <c r="FC89" s="1028">
        <v>917744951.18000007</v>
      </c>
      <c r="FD89" s="1028">
        <v>-2532445.0463999971</v>
      </c>
      <c r="FF89" s="1028">
        <v>2360306.029999719</v>
      </c>
      <c r="FL89" s="1028">
        <v>1000599696.9235998</v>
      </c>
    </row>
    <row r="90" spans="2:169">
      <c r="B90" s="1781">
        <v>44317</v>
      </c>
      <c r="C90" s="1028">
        <v>0</v>
      </c>
      <c r="D90" s="1028">
        <v>0</v>
      </c>
      <c r="E90" s="1028">
        <v>0</v>
      </c>
      <c r="F90" s="1028">
        <v>0</v>
      </c>
      <c r="Q90" s="1028">
        <v>0</v>
      </c>
      <c r="R90" s="1028">
        <v>0</v>
      </c>
      <c r="S90" s="1028">
        <v>0</v>
      </c>
      <c r="W90" s="1028">
        <v>0</v>
      </c>
      <c r="AA90" s="1028">
        <v>0</v>
      </c>
      <c r="AE90" s="1028">
        <v>0</v>
      </c>
      <c r="AI90" s="1028">
        <v>0</v>
      </c>
      <c r="AM90" s="1028">
        <v>0</v>
      </c>
      <c r="AQ90" s="1028">
        <v>0</v>
      </c>
      <c r="AU90" s="1028">
        <v>0</v>
      </c>
      <c r="AY90" s="1028">
        <v>0</v>
      </c>
      <c r="BC90" s="1028">
        <v>0</v>
      </c>
      <c r="BG90" s="1028">
        <v>0</v>
      </c>
      <c r="BL90" s="1028">
        <v>0</v>
      </c>
      <c r="BM90" s="1028">
        <v>0</v>
      </c>
      <c r="BO90" s="1028">
        <v>0</v>
      </c>
      <c r="BT90" s="1028">
        <v>0</v>
      </c>
      <c r="BV90" s="1028">
        <v>0</v>
      </c>
      <c r="CA90" s="1028">
        <v>0</v>
      </c>
      <c r="CC90" s="1028">
        <v>0</v>
      </c>
      <c r="CI90" s="1028">
        <v>0</v>
      </c>
      <c r="CO90" s="1028">
        <v>0</v>
      </c>
      <c r="CT90" s="1028">
        <v>0</v>
      </c>
      <c r="CU90" s="1028">
        <v>0</v>
      </c>
      <c r="CX90" s="1028">
        <v>0</v>
      </c>
      <c r="DA90" s="1028">
        <v>0</v>
      </c>
      <c r="DE90" s="1028">
        <v>0</v>
      </c>
      <c r="DF90" s="1028">
        <v>0</v>
      </c>
      <c r="DI90" s="1028">
        <v>0</v>
      </c>
      <c r="DL90" s="1028">
        <v>0</v>
      </c>
      <c r="DR90" s="1028">
        <v>0</v>
      </c>
      <c r="DT90" s="1028">
        <v>0</v>
      </c>
      <c r="DW90" s="1028">
        <v>0</v>
      </c>
      <c r="EB90" s="1028">
        <v>0</v>
      </c>
      <c r="EF90" s="1028">
        <v>0</v>
      </c>
      <c r="EG90" s="1028">
        <v>0</v>
      </c>
      <c r="EJ90" s="1028">
        <v>0</v>
      </c>
      <c r="EM90" s="1028">
        <v>0</v>
      </c>
      <c r="ES90" s="1028">
        <v>997855335.89360011</v>
      </c>
      <c r="ET90" s="1028">
        <v>50306580</v>
      </c>
      <c r="EU90" s="1028">
        <v>5030658</v>
      </c>
      <c r="EV90" s="1028">
        <v>45275922</v>
      </c>
      <c r="EW90" s="1028">
        <v>0</v>
      </c>
      <c r="EX90" s="1028">
        <v>0</v>
      </c>
      <c r="EY90" s="1028">
        <v>0</v>
      </c>
      <c r="EZ90" s="1028">
        <v>949986141.94000006</v>
      </c>
      <c r="FA90" s="1028">
        <v>4354509.01</v>
      </c>
      <c r="FB90" s="1028">
        <v>27886681.75</v>
      </c>
      <c r="FC90" s="1028">
        <v>917744951.18000007</v>
      </c>
      <c r="FD90" s="1028">
        <v>-2437386.0463999999</v>
      </c>
      <c r="FF90" s="1028">
        <v>2360306.029999719</v>
      </c>
      <c r="FL90" s="1028">
        <v>1000215641.9235998</v>
      </c>
      <c r="FM90" s="1028">
        <v>0.54000008106231689</v>
      </c>
    </row>
    <row r="91" spans="2:169">
      <c r="B91" s="1781">
        <v>44348</v>
      </c>
      <c r="C91" s="1028">
        <v>0</v>
      </c>
      <c r="D91" s="1028">
        <v>0</v>
      </c>
      <c r="E91" s="1028">
        <v>0</v>
      </c>
      <c r="F91" s="1028">
        <v>0</v>
      </c>
      <c r="Q91" s="1028">
        <v>0</v>
      </c>
      <c r="R91" s="1028">
        <v>0</v>
      </c>
      <c r="S91" s="1028">
        <v>0</v>
      </c>
      <c r="W91" s="1028">
        <v>0</v>
      </c>
      <c r="AA91" s="1028">
        <v>0</v>
      </c>
      <c r="AE91" s="1028">
        <v>0</v>
      </c>
      <c r="AI91" s="1028">
        <v>0</v>
      </c>
      <c r="AM91" s="1028">
        <v>0</v>
      </c>
      <c r="AQ91" s="1028">
        <v>0</v>
      </c>
      <c r="AU91" s="1028">
        <v>0</v>
      </c>
      <c r="AY91" s="1028">
        <v>0</v>
      </c>
      <c r="BC91" s="1028">
        <v>0</v>
      </c>
      <c r="BG91" s="1028">
        <v>0</v>
      </c>
      <c r="BL91" s="1028">
        <v>0</v>
      </c>
      <c r="BM91" s="1028">
        <v>0</v>
      </c>
      <c r="BO91" s="1028">
        <v>0</v>
      </c>
      <c r="BT91" s="1028">
        <v>0</v>
      </c>
      <c r="BV91" s="1028">
        <v>0</v>
      </c>
      <c r="CA91" s="1028">
        <v>0</v>
      </c>
      <c r="CC91" s="1028">
        <v>0</v>
      </c>
      <c r="CI91" s="1028">
        <v>0</v>
      </c>
      <c r="CO91" s="1028">
        <v>0</v>
      </c>
      <c r="CT91" s="1028">
        <v>0</v>
      </c>
      <c r="CU91" s="1028">
        <v>0</v>
      </c>
      <c r="CX91" s="1028">
        <v>0</v>
      </c>
      <c r="DA91" s="1028">
        <v>0</v>
      </c>
      <c r="DE91" s="1028">
        <v>0</v>
      </c>
      <c r="DF91" s="1028">
        <v>0</v>
      </c>
      <c r="DI91" s="1028">
        <v>0</v>
      </c>
      <c r="DL91" s="1028">
        <v>0</v>
      </c>
      <c r="DR91" s="1028">
        <v>0</v>
      </c>
      <c r="DT91" s="1028">
        <v>0</v>
      </c>
      <c r="DW91" s="1028">
        <v>0</v>
      </c>
      <c r="EB91" s="1028">
        <v>0</v>
      </c>
      <c r="EF91" s="1028">
        <v>0</v>
      </c>
      <c r="EG91" s="1028">
        <v>0</v>
      </c>
      <c r="EJ91" s="1028">
        <v>0</v>
      </c>
      <c r="EM91" s="1028">
        <v>0</v>
      </c>
      <c r="ES91" s="1028">
        <v>999330171.89360011</v>
      </c>
      <c r="ET91" s="1028">
        <v>50306580</v>
      </c>
      <c r="EU91" s="1028">
        <v>5030658</v>
      </c>
      <c r="EV91" s="1028">
        <v>45275922</v>
      </c>
      <c r="EW91" s="1028">
        <v>0</v>
      </c>
      <c r="EX91" s="1028">
        <v>0</v>
      </c>
      <c r="EY91" s="1028">
        <v>0</v>
      </c>
      <c r="EZ91" s="1028">
        <v>950787536.94000006</v>
      </c>
      <c r="FA91" s="1028">
        <v>3586009.01</v>
      </c>
      <c r="FB91" s="1028">
        <v>28365795.75</v>
      </c>
      <c r="FC91" s="1028">
        <v>918835732.18000007</v>
      </c>
      <c r="FD91" s="1028">
        <v>-1763945.0463999999</v>
      </c>
      <c r="FF91" s="1028">
        <v>2360306.029999719</v>
      </c>
      <c r="FL91" s="1028">
        <v>1001690477.9235998</v>
      </c>
    </row>
    <row r="92" spans="2:169">
      <c r="B92" s="1781">
        <v>44378</v>
      </c>
      <c r="C92" s="1028">
        <v>0</v>
      </c>
      <c r="D92" s="1028">
        <v>0</v>
      </c>
      <c r="E92" s="1028">
        <v>0</v>
      </c>
      <c r="F92" s="1028">
        <v>0</v>
      </c>
      <c r="Q92" s="1028">
        <v>0</v>
      </c>
      <c r="R92" s="1028">
        <v>0</v>
      </c>
      <c r="S92" s="1028">
        <v>0</v>
      </c>
      <c r="W92" s="1028">
        <v>0</v>
      </c>
      <c r="AA92" s="1028">
        <v>0</v>
      </c>
      <c r="AE92" s="1028">
        <v>0</v>
      </c>
      <c r="AI92" s="1028">
        <v>0</v>
      </c>
      <c r="AM92" s="1028">
        <v>0</v>
      </c>
      <c r="AQ92" s="1028">
        <v>0</v>
      </c>
      <c r="AU92" s="1028">
        <v>0</v>
      </c>
      <c r="AY92" s="1028">
        <v>0</v>
      </c>
      <c r="BC92" s="1028">
        <v>0</v>
      </c>
      <c r="BG92" s="1028">
        <v>0</v>
      </c>
      <c r="BL92" s="1028">
        <v>0</v>
      </c>
      <c r="BM92" s="1028">
        <v>0</v>
      </c>
      <c r="BO92" s="1028">
        <v>0</v>
      </c>
      <c r="BT92" s="1028">
        <v>0</v>
      </c>
      <c r="BV92" s="1028">
        <v>0</v>
      </c>
      <c r="CA92" s="1028">
        <v>0</v>
      </c>
      <c r="CC92" s="1028">
        <v>0</v>
      </c>
      <c r="CI92" s="1028">
        <v>0</v>
      </c>
      <c r="CO92" s="1028">
        <v>0</v>
      </c>
      <c r="CT92" s="1028">
        <v>0</v>
      </c>
      <c r="CU92" s="1028">
        <v>0</v>
      </c>
      <c r="CX92" s="1028">
        <v>0</v>
      </c>
      <c r="DA92" s="1028">
        <v>0</v>
      </c>
      <c r="DE92" s="1028">
        <v>0</v>
      </c>
      <c r="DF92" s="1028">
        <v>0</v>
      </c>
      <c r="DI92" s="1028">
        <v>0</v>
      </c>
      <c r="DL92" s="1028">
        <v>0</v>
      </c>
      <c r="DR92" s="1028">
        <v>0</v>
      </c>
      <c r="DT92" s="1028">
        <v>0</v>
      </c>
      <c r="DW92" s="1028">
        <v>0</v>
      </c>
      <c r="EB92" s="1028">
        <v>0</v>
      </c>
      <c r="EF92" s="1028">
        <v>0</v>
      </c>
      <c r="EG92" s="1028">
        <v>0</v>
      </c>
      <c r="EJ92" s="1028">
        <v>0</v>
      </c>
      <c r="EM92" s="1028">
        <v>0</v>
      </c>
      <c r="ES92" s="1028">
        <v>1022196424.5354871</v>
      </c>
      <c r="ET92" s="1028">
        <v>50306580</v>
      </c>
      <c r="EU92" s="1028">
        <v>5030658</v>
      </c>
      <c r="EV92" s="1028">
        <v>45275922</v>
      </c>
      <c r="EW92" s="1028">
        <v>0</v>
      </c>
      <c r="EX92" s="1028">
        <v>0</v>
      </c>
      <c r="EY92" s="1028">
        <v>0</v>
      </c>
      <c r="EZ92" s="1028">
        <v>978684936.71082008</v>
      </c>
      <c r="FA92" s="1028">
        <v>4354509.01</v>
      </c>
      <c r="FB92" s="1028">
        <v>27226240.190000005</v>
      </c>
      <c r="FC92" s="1028">
        <v>947104187.51082003</v>
      </c>
      <c r="FD92" s="1028">
        <v>-6795092.1753329821</v>
      </c>
      <c r="FF92" s="1028">
        <v>638332.09000000008</v>
      </c>
      <c r="FL92" s="1028">
        <v>1022834756.6254871</v>
      </c>
    </row>
    <row r="93" spans="2:169">
      <c r="B93" s="1781">
        <v>44409</v>
      </c>
      <c r="C93" s="1028">
        <v>0</v>
      </c>
      <c r="D93" s="1028">
        <v>0</v>
      </c>
      <c r="E93" s="1028">
        <v>0</v>
      </c>
      <c r="F93" s="1028">
        <v>0</v>
      </c>
      <c r="Q93" s="1028">
        <v>0</v>
      </c>
      <c r="R93" s="1028">
        <v>0</v>
      </c>
      <c r="S93" s="1028">
        <v>0</v>
      </c>
      <c r="W93" s="1028">
        <v>0</v>
      </c>
      <c r="AA93" s="1028">
        <v>0</v>
      </c>
      <c r="AE93" s="1028">
        <v>0</v>
      </c>
      <c r="AI93" s="1028">
        <v>0</v>
      </c>
      <c r="AM93" s="1028">
        <v>0</v>
      </c>
      <c r="AQ93" s="1028">
        <v>0</v>
      </c>
      <c r="AU93" s="1028">
        <v>0</v>
      </c>
      <c r="AY93" s="1028">
        <v>0</v>
      </c>
      <c r="BC93" s="1028">
        <v>0</v>
      </c>
      <c r="BG93" s="1028">
        <v>0</v>
      </c>
      <c r="BL93" s="1028">
        <v>0</v>
      </c>
      <c r="BM93" s="1028">
        <v>0</v>
      </c>
      <c r="BO93" s="1028">
        <v>0</v>
      </c>
      <c r="BT93" s="1028">
        <v>0</v>
      </c>
      <c r="BV93" s="1028">
        <v>0</v>
      </c>
      <c r="CA93" s="1028">
        <v>0</v>
      </c>
      <c r="CC93" s="1028">
        <v>0</v>
      </c>
      <c r="CI93" s="1028">
        <v>0</v>
      </c>
      <c r="CO93" s="1028">
        <v>0</v>
      </c>
      <c r="CT93" s="1028">
        <v>0</v>
      </c>
      <c r="CU93" s="1028">
        <v>0</v>
      </c>
      <c r="CX93" s="1028">
        <v>0</v>
      </c>
      <c r="DA93" s="1028">
        <v>0</v>
      </c>
      <c r="DE93" s="1028">
        <v>0</v>
      </c>
      <c r="DF93" s="1028">
        <v>0</v>
      </c>
      <c r="DI93" s="1028">
        <v>0</v>
      </c>
      <c r="DL93" s="1028">
        <v>0</v>
      </c>
      <c r="DR93" s="1028">
        <v>0</v>
      </c>
      <c r="DT93" s="1028">
        <v>0</v>
      </c>
      <c r="DW93" s="1028">
        <v>0</v>
      </c>
      <c r="EB93" s="1028">
        <v>0</v>
      </c>
      <c r="EF93" s="1028">
        <v>0</v>
      </c>
      <c r="EG93" s="1028">
        <v>0</v>
      </c>
      <c r="EJ93" s="1028">
        <v>0</v>
      </c>
      <c r="EM93" s="1028">
        <v>0</v>
      </c>
      <c r="ES93" s="1028">
        <v>1064794713.5354871</v>
      </c>
      <c r="ET93" s="1028">
        <v>50306580</v>
      </c>
      <c r="EU93" s="1028">
        <v>5030658</v>
      </c>
      <c r="EV93" s="1028">
        <v>45275922</v>
      </c>
      <c r="EW93" s="1028">
        <v>0</v>
      </c>
      <c r="EX93" s="1028">
        <v>0</v>
      </c>
      <c r="EY93" s="1028">
        <v>0</v>
      </c>
      <c r="EZ93" s="1028">
        <v>1021283225.7108201</v>
      </c>
      <c r="FA93" s="1028">
        <v>4646032.01</v>
      </c>
      <c r="FB93" s="1028">
        <v>27226240.190000005</v>
      </c>
      <c r="FC93" s="1028">
        <v>989410953.51082003</v>
      </c>
      <c r="FD93" s="1028">
        <v>-6795092.1753329821</v>
      </c>
      <c r="FF93" s="1028">
        <v>638332.09000000008</v>
      </c>
      <c r="FL93" s="1028">
        <v>1065433045.6254871</v>
      </c>
    </row>
    <row r="94" spans="2:169">
      <c r="B94" s="1781">
        <v>44440</v>
      </c>
      <c r="C94" s="1028">
        <v>0</v>
      </c>
      <c r="D94" s="1028">
        <v>0</v>
      </c>
      <c r="E94" s="1028">
        <v>0</v>
      </c>
      <c r="F94" s="1028">
        <v>0</v>
      </c>
      <c r="Q94" s="1028">
        <v>0</v>
      </c>
      <c r="R94" s="1028">
        <v>0</v>
      </c>
      <c r="S94" s="1028">
        <v>0</v>
      </c>
      <c r="W94" s="1028">
        <v>0</v>
      </c>
      <c r="AA94" s="1028">
        <v>0</v>
      </c>
      <c r="AE94" s="1028">
        <v>0</v>
      </c>
      <c r="AI94" s="1028">
        <v>0</v>
      </c>
      <c r="AM94" s="1028">
        <v>0</v>
      </c>
      <c r="AQ94" s="1028">
        <v>0</v>
      </c>
      <c r="AU94" s="1028">
        <v>0</v>
      </c>
      <c r="AY94" s="1028">
        <v>0</v>
      </c>
      <c r="BC94" s="1028">
        <v>0</v>
      </c>
      <c r="BG94" s="1028">
        <v>0</v>
      </c>
      <c r="BL94" s="1028">
        <v>0</v>
      </c>
      <c r="BM94" s="1028">
        <v>0</v>
      </c>
      <c r="BO94" s="1028">
        <v>0</v>
      </c>
      <c r="BT94" s="1028">
        <v>0</v>
      </c>
      <c r="BV94" s="1028">
        <v>0</v>
      </c>
      <c r="CA94" s="1028">
        <v>0</v>
      </c>
      <c r="CC94" s="1028">
        <v>0</v>
      </c>
      <c r="CI94" s="1028">
        <v>0</v>
      </c>
      <c r="CO94" s="1028">
        <v>0</v>
      </c>
      <c r="CT94" s="1028">
        <v>0</v>
      </c>
      <c r="CU94" s="1028">
        <v>0</v>
      </c>
      <c r="CX94" s="1028">
        <v>0</v>
      </c>
      <c r="DA94" s="1028">
        <v>0</v>
      </c>
      <c r="DE94" s="1028">
        <v>0</v>
      </c>
      <c r="DF94" s="1028">
        <v>0</v>
      </c>
      <c r="DI94" s="1028">
        <v>0</v>
      </c>
      <c r="DL94" s="1028">
        <v>0</v>
      </c>
      <c r="DR94" s="1028">
        <v>0</v>
      </c>
      <c r="DT94" s="1028">
        <v>0</v>
      </c>
      <c r="DW94" s="1028">
        <v>0</v>
      </c>
      <c r="EB94" s="1028">
        <v>0</v>
      </c>
      <c r="EF94" s="1028">
        <v>0</v>
      </c>
      <c r="EG94" s="1028">
        <v>0</v>
      </c>
      <c r="EJ94" s="1028">
        <v>0</v>
      </c>
      <c r="EM94" s="1028">
        <v>0</v>
      </c>
      <c r="ES94" s="1028">
        <v>1112611092.1539872</v>
      </c>
      <c r="ET94" s="1028">
        <v>50306580</v>
      </c>
      <c r="EU94" s="1028">
        <v>5030658</v>
      </c>
      <c r="EV94" s="1028">
        <v>45275922</v>
      </c>
      <c r="EW94" s="1028">
        <v>0</v>
      </c>
      <c r="EX94" s="1028">
        <v>0</v>
      </c>
      <c r="EY94" s="1028">
        <v>0</v>
      </c>
      <c r="EZ94" s="1028">
        <v>1062904660.3208201</v>
      </c>
      <c r="FA94" s="1028">
        <v>4354509.01</v>
      </c>
      <c r="FB94" s="1028">
        <v>26997211.250000007</v>
      </c>
      <c r="FC94" s="1028">
        <v>1031552940.0608201</v>
      </c>
      <c r="FD94" s="1028">
        <v>-600148.16683299467</v>
      </c>
      <c r="FF94" s="1028">
        <v>638332.09000000008</v>
      </c>
      <c r="FL94" s="1028">
        <v>1113249424.2439871</v>
      </c>
    </row>
    <row r="95" spans="2:169">
      <c r="B95" s="1781">
        <v>44470</v>
      </c>
      <c r="C95" s="1028">
        <v>0</v>
      </c>
      <c r="D95" s="1028">
        <v>0</v>
      </c>
      <c r="E95" s="1028">
        <v>0</v>
      </c>
      <c r="F95" s="1028">
        <v>0</v>
      </c>
      <c r="Q95" s="1028">
        <v>0</v>
      </c>
      <c r="R95" s="1028">
        <v>0</v>
      </c>
      <c r="S95" s="1028">
        <v>0</v>
      </c>
      <c r="W95" s="1028">
        <v>0</v>
      </c>
      <c r="AA95" s="1028">
        <v>0</v>
      </c>
      <c r="AE95" s="1028">
        <v>0</v>
      </c>
      <c r="AI95" s="1028">
        <v>0</v>
      </c>
      <c r="AM95" s="1028">
        <v>0</v>
      </c>
      <c r="AQ95" s="1028">
        <v>0</v>
      </c>
      <c r="AU95" s="1028">
        <v>0</v>
      </c>
      <c r="AY95" s="1028">
        <v>0</v>
      </c>
      <c r="BC95" s="1028">
        <v>0</v>
      </c>
      <c r="BG95" s="1028">
        <v>0</v>
      </c>
      <c r="BL95" s="1028">
        <v>0</v>
      </c>
      <c r="BM95" s="1028">
        <v>0</v>
      </c>
      <c r="BO95" s="1028">
        <v>0</v>
      </c>
      <c r="BT95" s="1028">
        <v>0</v>
      </c>
      <c r="BV95" s="1028">
        <v>0</v>
      </c>
      <c r="CA95" s="1028">
        <v>0</v>
      </c>
      <c r="CC95" s="1028">
        <v>0</v>
      </c>
      <c r="CI95" s="1028">
        <v>0</v>
      </c>
      <c r="CO95" s="1028">
        <v>0</v>
      </c>
      <c r="CT95" s="1028">
        <v>0</v>
      </c>
      <c r="CU95" s="1028">
        <v>0</v>
      </c>
      <c r="CX95" s="1028">
        <v>0</v>
      </c>
      <c r="DA95" s="1028">
        <v>0</v>
      </c>
      <c r="DE95" s="1028">
        <v>0</v>
      </c>
      <c r="DF95" s="1028">
        <v>0</v>
      </c>
      <c r="DI95" s="1028">
        <v>0</v>
      </c>
      <c r="DL95" s="1028">
        <v>0</v>
      </c>
      <c r="DR95" s="1028">
        <v>0</v>
      </c>
      <c r="DT95" s="1028">
        <v>0</v>
      </c>
      <c r="DW95" s="1028">
        <v>0</v>
      </c>
      <c r="EB95" s="1028">
        <v>0</v>
      </c>
      <c r="EF95" s="1028">
        <v>0</v>
      </c>
      <c r="EG95" s="1028">
        <v>0</v>
      </c>
      <c r="EJ95" s="1028">
        <v>0</v>
      </c>
      <c r="EM95" s="1028">
        <v>0</v>
      </c>
      <c r="ES95" s="1028">
        <v>1124129742.1539872</v>
      </c>
      <c r="ET95" s="1028">
        <v>50306580</v>
      </c>
      <c r="EU95" s="1028">
        <v>5030658</v>
      </c>
      <c r="EV95" s="1028">
        <v>45275922</v>
      </c>
      <c r="EW95" s="1028">
        <v>0</v>
      </c>
      <c r="EX95" s="1028">
        <v>0</v>
      </c>
      <c r="EY95" s="1028">
        <v>0</v>
      </c>
      <c r="EZ95" s="1028">
        <v>1074423310.3208201</v>
      </c>
      <c r="FA95" s="1028">
        <v>4354509.01</v>
      </c>
      <c r="FB95" s="1028">
        <v>26997211.250000007</v>
      </c>
      <c r="FC95" s="1028">
        <v>1043071590.0608201</v>
      </c>
      <c r="FD95" s="1028">
        <v>-600148.16683299467</v>
      </c>
      <c r="FF95" s="1028">
        <v>638332.09000000008</v>
      </c>
      <c r="FL95" s="1028">
        <v>1124768074.2439871</v>
      </c>
      <c r="FM95" s="1028">
        <v>0.40000081062316895</v>
      </c>
    </row>
    <row r="96" spans="2:169">
      <c r="B96" s="1781">
        <v>44501</v>
      </c>
      <c r="C96" s="1028">
        <v>0</v>
      </c>
      <c r="D96" s="1028">
        <v>0</v>
      </c>
      <c r="E96" s="1028">
        <v>0</v>
      </c>
      <c r="F96" s="1028">
        <v>0</v>
      </c>
      <c r="Q96" s="1028">
        <v>0</v>
      </c>
      <c r="R96" s="1028">
        <v>0</v>
      </c>
      <c r="S96" s="1028">
        <v>0</v>
      </c>
      <c r="W96" s="1028">
        <v>0</v>
      </c>
      <c r="AA96" s="1028">
        <v>0</v>
      </c>
      <c r="AE96" s="1028">
        <v>0</v>
      </c>
      <c r="AI96" s="1028">
        <v>0</v>
      </c>
      <c r="AM96" s="1028">
        <v>0</v>
      </c>
      <c r="AQ96" s="1028">
        <v>0</v>
      </c>
      <c r="AU96" s="1028">
        <v>0</v>
      </c>
      <c r="AY96" s="1028">
        <v>0</v>
      </c>
      <c r="BC96" s="1028">
        <v>0</v>
      </c>
      <c r="BG96" s="1028">
        <v>0</v>
      </c>
      <c r="BL96" s="1028">
        <v>0</v>
      </c>
      <c r="BM96" s="1028">
        <v>0</v>
      </c>
      <c r="BO96" s="1028">
        <v>0</v>
      </c>
      <c r="BT96" s="1028">
        <v>0</v>
      </c>
      <c r="BV96" s="1028">
        <v>0</v>
      </c>
      <c r="CA96" s="1028">
        <v>0</v>
      </c>
      <c r="CC96" s="1028">
        <v>0</v>
      </c>
      <c r="CI96" s="1028">
        <v>0</v>
      </c>
      <c r="CO96" s="1028">
        <v>0</v>
      </c>
      <c r="CT96" s="1028">
        <v>0</v>
      </c>
      <c r="CU96" s="1028">
        <v>0</v>
      </c>
      <c r="CX96" s="1028">
        <v>0</v>
      </c>
      <c r="DA96" s="1028">
        <v>0</v>
      </c>
      <c r="DE96" s="1028">
        <v>0</v>
      </c>
      <c r="DF96" s="1028">
        <v>0</v>
      </c>
      <c r="DI96" s="1028">
        <v>0</v>
      </c>
      <c r="DL96" s="1028">
        <v>0</v>
      </c>
      <c r="DR96" s="1028">
        <v>0</v>
      </c>
      <c r="DT96" s="1028">
        <v>0</v>
      </c>
      <c r="DW96" s="1028">
        <v>0</v>
      </c>
      <c r="EB96" s="1028">
        <v>0</v>
      </c>
      <c r="EF96" s="1028">
        <v>0</v>
      </c>
      <c r="EG96" s="1028">
        <v>0</v>
      </c>
      <c r="EJ96" s="1028">
        <v>0</v>
      </c>
      <c r="EM96" s="1028">
        <v>0</v>
      </c>
      <c r="ES96" s="1028">
        <v>1157931011.0931671</v>
      </c>
      <c r="ET96" s="1028">
        <v>50306580</v>
      </c>
      <c r="EU96" s="1028">
        <v>5030658</v>
      </c>
      <c r="EV96" s="1028">
        <v>45275922</v>
      </c>
      <c r="EW96" s="1028">
        <v>0</v>
      </c>
      <c r="EX96" s="1028">
        <v>0</v>
      </c>
      <c r="EY96" s="1028">
        <v>0</v>
      </c>
      <c r="EZ96" s="1028">
        <v>1108224579.26</v>
      </c>
      <c r="FA96" s="1028">
        <v>4354509.01</v>
      </c>
      <c r="FB96" s="1028">
        <v>26997211.250000007</v>
      </c>
      <c r="FC96" s="1028">
        <v>1076872859</v>
      </c>
      <c r="FD96" s="1028">
        <v>-600148.16683299467</v>
      </c>
      <c r="FF96" s="1028">
        <v>638332.09000000008</v>
      </c>
      <c r="FL96" s="1028">
        <v>1158569343.183167</v>
      </c>
    </row>
    <row r="97" spans="2:169">
      <c r="B97" s="1781">
        <v>44531</v>
      </c>
      <c r="C97" s="1028">
        <v>0</v>
      </c>
      <c r="D97" s="1028">
        <v>0</v>
      </c>
      <c r="E97" s="1028">
        <v>0</v>
      </c>
      <c r="F97" s="1028">
        <v>0</v>
      </c>
      <c r="Q97" s="1028">
        <v>0</v>
      </c>
      <c r="R97" s="1028">
        <v>0</v>
      </c>
      <c r="S97" s="1028">
        <v>0</v>
      </c>
      <c r="W97" s="1028">
        <v>0</v>
      </c>
      <c r="AA97" s="1028">
        <v>0</v>
      </c>
      <c r="AE97" s="1028">
        <v>0</v>
      </c>
      <c r="AI97" s="1028">
        <v>0</v>
      </c>
      <c r="AM97" s="1028">
        <v>0</v>
      </c>
      <c r="AQ97" s="1028">
        <v>0</v>
      </c>
      <c r="AU97" s="1028">
        <v>0</v>
      </c>
      <c r="AY97" s="1028">
        <v>0</v>
      </c>
      <c r="BC97" s="1028">
        <v>0</v>
      </c>
      <c r="BG97" s="1028">
        <v>0</v>
      </c>
      <c r="BL97" s="1028">
        <v>0</v>
      </c>
      <c r="BM97" s="1028">
        <v>0</v>
      </c>
      <c r="BO97" s="1028">
        <v>0</v>
      </c>
      <c r="BT97" s="1028">
        <v>0</v>
      </c>
      <c r="BV97" s="1028">
        <v>0</v>
      </c>
      <c r="CA97" s="1028">
        <v>0</v>
      </c>
      <c r="CC97" s="1028">
        <v>0</v>
      </c>
      <c r="CI97" s="1028">
        <v>0</v>
      </c>
      <c r="CO97" s="1028">
        <v>0</v>
      </c>
      <c r="CT97" s="1028">
        <v>0</v>
      </c>
      <c r="CU97" s="1028">
        <v>0</v>
      </c>
      <c r="CX97" s="1028">
        <v>0</v>
      </c>
      <c r="DA97" s="1028">
        <v>0</v>
      </c>
      <c r="DE97" s="1028">
        <v>0</v>
      </c>
      <c r="DF97" s="1028">
        <v>0</v>
      </c>
      <c r="DI97" s="1028">
        <v>0</v>
      </c>
      <c r="DL97" s="1028">
        <v>0</v>
      </c>
      <c r="DR97" s="1028">
        <v>0</v>
      </c>
      <c r="DT97" s="1028">
        <v>0</v>
      </c>
      <c r="DW97" s="1028">
        <v>0</v>
      </c>
      <c r="EB97" s="1028">
        <v>0</v>
      </c>
      <c r="EF97" s="1028">
        <v>0</v>
      </c>
      <c r="EG97" s="1028">
        <v>0</v>
      </c>
      <c r="EJ97" s="1028">
        <v>0</v>
      </c>
      <c r="EM97" s="1028">
        <v>0</v>
      </c>
      <c r="ES97" s="1028">
        <v>1145671362.1539872</v>
      </c>
      <c r="ET97" s="1028">
        <v>50306580</v>
      </c>
      <c r="EU97" s="1028">
        <v>5030658</v>
      </c>
      <c r="EV97" s="1028">
        <v>45275922</v>
      </c>
      <c r="EW97" s="1028">
        <v>0</v>
      </c>
      <c r="EX97" s="1028">
        <v>0</v>
      </c>
      <c r="EY97" s="1028">
        <v>0</v>
      </c>
      <c r="EZ97" s="1028">
        <v>1096389940.3208201</v>
      </c>
      <c r="FA97" s="1028">
        <v>4354509.01</v>
      </c>
      <c r="FB97" s="1028">
        <v>26997211.250000007</v>
      </c>
      <c r="FC97" s="1028">
        <v>1065038220.0608201</v>
      </c>
      <c r="FD97" s="1028">
        <v>-1025158.166832995</v>
      </c>
      <c r="FF97" s="1028">
        <v>638333.09</v>
      </c>
      <c r="FL97" s="1028">
        <v>1146309695.2439871</v>
      </c>
    </row>
    <row r="98" spans="2:169">
      <c r="B98" s="1781">
        <v>44562</v>
      </c>
      <c r="C98" s="1028">
        <v>0</v>
      </c>
      <c r="D98" s="1028">
        <v>0</v>
      </c>
      <c r="E98" s="1028">
        <v>0</v>
      </c>
      <c r="F98" s="1028">
        <v>0</v>
      </c>
      <c r="Q98" s="1028">
        <v>0</v>
      </c>
      <c r="R98" s="1028">
        <v>0</v>
      </c>
      <c r="S98" s="1028">
        <v>0</v>
      </c>
      <c r="W98" s="1028">
        <v>0</v>
      </c>
      <c r="AA98" s="1028">
        <v>0</v>
      </c>
      <c r="AE98" s="1028">
        <v>0</v>
      </c>
      <c r="AI98" s="1028">
        <v>0</v>
      </c>
      <c r="AM98" s="1028">
        <v>0</v>
      </c>
      <c r="AQ98" s="1028">
        <v>0</v>
      </c>
      <c r="AU98" s="1028">
        <v>0</v>
      </c>
      <c r="AY98" s="1028">
        <v>0</v>
      </c>
      <c r="BC98" s="1028">
        <v>0</v>
      </c>
      <c r="BG98" s="1028">
        <v>0</v>
      </c>
      <c r="BL98" s="1028">
        <v>0</v>
      </c>
      <c r="BM98" s="1028">
        <v>0</v>
      </c>
      <c r="BO98" s="1028">
        <v>0</v>
      </c>
      <c r="BT98" s="1028">
        <v>0</v>
      </c>
      <c r="BV98" s="1028">
        <v>0</v>
      </c>
      <c r="CA98" s="1028">
        <v>0</v>
      </c>
      <c r="CC98" s="1028">
        <v>0</v>
      </c>
      <c r="CI98" s="1028">
        <v>0</v>
      </c>
      <c r="CO98" s="1028">
        <v>0</v>
      </c>
      <c r="CT98" s="1028">
        <v>0</v>
      </c>
      <c r="CU98" s="1028">
        <v>0</v>
      </c>
      <c r="CX98" s="1028">
        <v>0</v>
      </c>
      <c r="DA98" s="1028">
        <v>0</v>
      </c>
      <c r="DE98" s="1028">
        <v>0</v>
      </c>
      <c r="DF98" s="1028">
        <v>0</v>
      </c>
      <c r="DI98" s="1028">
        <v>0</v>
      </c>
      <c r="DL98" s="1028">
        <v>0</v>
      </c>
      <c r="DR98" s="1028">
        <v>0</v>
      </c>
      <c r="DT98" s="1028">
        <v>0</v>
      </c>
      <c r="DW98" s="1028">
        <v>0</v>
      </c>
      <c r="EB98" s="1028">
        <v>0</v>
      </c>
      <c r="EF98" s="1028">
        <v>0</v>
      </c>
      <c r="EG98" s="1028">
        <v>0</v>
      </c>
      <c r="EJ98" s="1028">
        <v>0</v>
      </c>
      <c r="EM98" s="1028">
        <v>0</v>
      </c>
      <c r="ES98" s="1028">
        <v>1128494956.3208201</v>
      </c>
      <c r="ET98" s="1028">
        <v>50306580</v>
      </c>
      <c r="EU98" s="1028">
        <v>5030658</v>
      </c>
      <c r="EV98" s="1028">
        <v>45275922</v>
      </c>
      <c r="EW98" s="1028">
        <v>0</v>
      </c>
      <c r="EX98" s="1028">
        <v>0</v>
      </c>
      <c r="EY98" s="1028">
        <v>0</v>
      </c>
      <c r="EZ98" s="1028">
        <v>1074566532.3208201</v>
      </c>
      <c r="FA98" s="1028">
        <v>4354509.01</v>
      </c>
      <c r="FB98" s="1028">
        <v>26997211.250000007</v>
      </c>
      <c r="FC98" s="1028">
        <v>1043214812.0608201</v>
      </c>
      <c r="FD98" s="1028">
        <v>3621844</v>
      </c>
      <c r="FF98" s="1028">
        <v>638332.09000000008</v>
      </c>
      <c r="FL98" s="1028">
        <v>1129133288.41082</v>
      </c>
      <c r="FM98" s="1028">
        <v>-0.73183202743530273</v>
      </c>
    </row>
    <row r="99" spans="2:169">
      <c r="B99" s="1781">
        <v>44593</v>
      </c>
      <c r="C99" s="1028">
        <v>0</v>
      </c>
      <c r="D99" s="1028">
        <v>0</v>
      </c>
      <c r="E99" s="1028">
        <v>0</v>
      </c>
      <c r="F99" s="1028">
        <v>0</v>
      </c>
      <c r="Q99" s="1028">
        <v>0</v>
      </c>
      <c r="R99" s="1028">
        <v>0</v>
      </c>
      <c r="S99" s="1028">
        <v>0</v>
      </c>
      <c r="W99" s="1028">
        <v>0</v>
      </c>
      <c r="AA99" s="1028">
        <v>0</v>
      </c>
      <c r="AE99" s="1028">
        <v>0</v>
      </c>
      <c r="AI99" s="1028">
        <v>0</v>
      </c>
      <c r="AM99" s="1028">
        <v>0</v>
      </c>
      <c r="AQ99" s="1028">
        <v>0</v>
      </c>
      <c r="AU99" s="1028">
        <v>0</v>
      </c>
      <c r="AY99" s="1028">
        <v>0</v>
      </c>
      <c r="BC99" s="1028">
        <v>0</v>
      </c>
      <c r="BG99" s="1028">
        <v>0</v>
      </c>
      <c r="BL99" s="1028">
        <v>0</v>
      </c>
      <c r="BM99" s="1028">
        <v>0</v>
      </c>
      <c r="BO99" s="1028">
        <v>0</v>
      </c>
      <c r="BT99" s="1028">
        <v>0</v>
      </c>
      <c r="BV99" s="1028">
        <v>0</v>
      </c>
      <c r="CA99" s="1028">
        <v>0</v>
      </c>
      <c r="CC99" s="1028">
        <v>0</v>
      </c>
      <c r="CI99" s="1028">
        <v>0</v>
      </c>
      <c r="CO99" s="1028">
        <v>0</v>
      </c>
      <c r="CT99" s="1028">
        <v>0</v>
      </c>
      <c r="CU99" s="1028">
        <v>0</v>
      </c>
      <c r="CX99" s="1028">
        <v>0</v>
      </c>
      <c r="DA99" s="1028">
        <v>0</v>
      </c>
      <c r="DE99" s="1028">
        <v>0</v>
      </c>
      <c r="DF99" s="1028">
        <v>0</v>
      </c>
      <c r="DI99" s="1028">
        <v>0</v>
      </c>
      <c r="DL99" s="1028">
        <v>0</v>
      </c>
      <c r="DR99" s="1028">
        <v>0</v>
      </c>
      <c r="DT99" s="1028">
        <v>0</v>
      </c>
      <c r="DW99" s="1028">
        <v>0</v>
      </c>
      <c r="EB99" s="1028">
        <v>0</v>
      </c>
      <c r="EF99" s="1028">
        <v>0</v>
      </c>
      <c r="EG99" s="1028">
        <v>0</v>
      </c>
      <c r="EJ99" s="1028">
        <v>0</v>
      </c>
      <c r="EM99" s="1028">
        <v>0</v>
      </c>
      <c r="ES99" s="1028">
        <v>1120458434.3208201</v>
      </c>
      <c r="ET99" s="1028">
        <v>50306580</v>
      </c>
      <c r="EU99" s="1028">
        <v>5030658</v>
      </c>
      <c r="EV99" s="1028">
        <v>45275922</v>
      </c>
      <c r="EW99" s="1028">
        <v>0</v>
      </c>
      <c r="EX99" s="1028">
        <v>0</v>
      </c>
      <c r="EY99" s="1028">
        <v>0</v>
      </c>
      <c r="EZ99" s="1028">
        <v>1058500925.3208201</v>
      </c>
      <c r="FA99" s="1028">
        <v>4354509.01</v>
      </c>
      <c r="FB99" s="1028">
        <v>26997211.250000007</v>
      </c>
      <c r="FC99" s="1028">
        <v>1027149205.0608201</v>
      </c>
      <c r="FD99" s="1028">
        <v>11650929</v>
      </c>
      <c r="FF99" s="1028">
        <v>638332.09000000008</v>
      </c>
      <c r="FL99" s="1028">
        <v>1121096766.41082</v>
      </c>
    </row>
    <row r="100" spans="2:169">
      <c r="B100" s="1781">
        <v>44621</v>
      </c>
      <c r="C100" s="1028">
        <v>0</v>
      </c>
      <c r="D100" s="1028">
        <v>0</v>
      </c>
      <c r="E100" s="1028">
        <v>0</v>
      </c>
      <c r="F100" s="1028">
        <v>0</v>
      </c>
      <c r="Q100" s="1028">
        <v>0</v>
      </c>
      <c r="R100" s="1028">
        <v>0</v>
      </c>
      <c r="S100" s="1028">
        <v>0</v>
      </c>
      <c r="W100" s="1028">
        <v>0</v>
      </c>
      <c r="AA100" s="1028">
        <v>0</v>
      </c>
      <c r="AE100" s="1028">
        <v>0</v>
      </c>
      <c r="AI100" s="1028">
        <v>0</v>
      </c>
      <c r="AM100" s="1028">
        <v>0</v>
      </c>
      <c r="AQ100" s="1028">
        <v>0</v>
      </c>
      <c r="AU100" s="1028">
        <v>0</v>
      </c>
      <c r="AY100" s="1028">
        <v>0</v>
      </c>
      <c r="BC100" s="1028">
        <v>0</v>
      </c>
      <c r="BG100" s="1028">
        <v>0</v>
      </c>
      <c r="BL100" s="1028">
        <v>0</v>
      </c>
      <c r="BM100" s="1028">
        <v>0</v>
      </c>
      <c r="BO100" s="1028">
        <v>0</v>
      </c>
      <c r="BT100" s="1028">
        <v>0</v>
      </c>
      <c r="BV100" s="1028">
        <v>0</v>
      </c>
      <c r="CA100" s="1028">
        <v>0</v>
      </c>
      <c r="CC100" s="1028">
        <v>0</v>
      </c>
      <c r="CI100" s="1028">
        <v>0</v>
      </c>
      <c r="CO100" s="1028">
        <v>0</v>
      </c>
      <c r="CT100" s="1028">
        <v>0</v>
      </c>
      <c r="CU100" s="1028">
        <v>0</v>
      </c>
      <c r="CX100" s="1028">
        <v>0</v>
      </c>
      <c r="DA100" s="1028">
        <v>0</v>
      </c>
      <c r="DE100" s="1028">
        <v>0</v>
      </c>
      <c r="DF100" s="1028">
        <v>0</v>
      </c>
      <c r="DI100" s="1028">
        <v>0</v>
      </c>
      <c r="DL100" s="1028">
        <v>0</v>
      </c>
      <c r="DR100" s="1028">
        <v>0</v>
      </c>
      <c r="DT100" s="1028">
        <v>0</v>
      </c>
      <c r="DW100" s="1028">
        <v>0</v>
      </c>
      <c r="EB100" s="1028">
        <v>0</v>
      </c>
      <c r="EF100" s="1028">
        <v>0</v>
      </c>
      <c r="EG100" s="1028">
        <v>0</v>
      </c>
      <c r="EJ100" s="1028">
        <v>0</v>
      </c>
      <c r="EM100" s="1028">
        <v>0</v>
      </c>
      <c r="ES100" s="1028">
        <v>1114237425.530292</v>
      </c>
      <c r="ET100" s="1028">
        <v>50306580</v>
      </c>
      <c r="EU100" s="1028">
        <v>5030658</v>
      </c>
      <c r="EV100" s="1028">
        <v>45275922</v>
      </c>
      <c r="EW100" s="1028">
        <v>0</v>
      </c>
      <c r="EX100" s="1028">
        <v>0</v>
      </c>
      <c r="EY100" s="1028">
        <v>0</v>
      </c>
      <c r="EZ100" s="1028">
        <v>1063075957.3208201</v>
      </c>
      <c r="FA100" s="1028">
        <v>4354509.01</v>
      </c>
      <c r="FB100" s="1028">
        <v>26997211.250000007</v>
      </c>
      <c r="FC100" s="1028">
        <v>1031724237.0608201</v>
      </c>
      <c r="FD100" s="1028">
        <v>854888.20947199687</v>
      </c>
      <c r="FF100" s="1028">
        <v>638332.09000000008</v>
      </c>
      <c r="FL100" s="1028">
        <v>1114875757.6202919</v>
      </c>
    </row>
    <row r="101" spans="2:169">
      <c r="B101" s="1781">
        <v>44652</v>
      </c>
      <c r="C101" s="1028">
        <v>0</v>
      </c>
      <c r="D101" s="1028">
        <v>0</v>
      </c>
      <c r="E101" s="1028">
        <v>0</v>
      </c>
      <c r="F101" s="1028">
        <v>0</v>
      </c>
      <c r="Q101" s="1028">
        <v>0</v>
      </c>
      <c r="R101" s="1028">
        <v>0</v>
      </c>
      <c r="S101" s="1028">
        <v>0</v>
      </c>
      <c r="W101" s="1028">
        <v>0</v>
      </c>
      <c r="AA101" s="1028">
        <v>0</v>
      </c>
      <c r="AE101" s="1028">
        <v>0</v>
      </c>
      <c r="AI101" s="1028">
        <v>0</v>
      </c>
      <c r="AM101" s="1028">
        <v>0</v>
      </c>
      <c r="AQ101" s="1028">
        <v>0</v>
      </c>
      <c r="AU101" s="1028">
        <v>0</v>
      </c>
      <c r="AY101" s="1028">
        <v>0</v>
      </c>
      <c r="BC101" s="1028">
        <v>0</v>
      </c>
      <c r="BG101" s="1028">
        <v>0</v>
      </c>
      <c r="BL101" s="1028">
        <v>0</v>
      </c>
      <c r="BM101" s="1028">
        <v>0</v>
      </c>
      <c r="BO101" s="1028">
        <v>0</v>
      </c>
      <c r="BT101" s="1028">
        <v>0</v>
      </c>
      <c r="BV101" s="1028">
        <v>0</v>
      </c>
      <c r="CA101" s="1028">
        <v>0</v>
      </c>
      <c r="CC101" s="1028">
        <v>0</v>
      </c>
      <c r="CI101" s="1028">
        <v>0</v>
      </c>
      <c r="CO101" s="1028">
        <v>0</v>
      </c>
      <c r="CT101" s="1028">
        <v>0</v>
      </c>
      <c r="CU101" s="1028">
        <v>0</v>
      </c>
      <c r="CX101" s="1028">
        <v>0</v>
      </c>
      <c r="DA101" s="1028">
        <v>0</v>
      </c>
      <c r="DE101" s="1028">
        <v>0</v>
      </c>
      <c r="DF101" s="1028">
        <v>0</v>
      </c>
      <c r="DI101" s="1028">
        <v>0</v>
      </c>
      <c r="DL101" s="1028">
        <v>0</v>
      </c>
      <c r="DR101" s="1028">
        <v>0</v>
      </c>
      <c r="DT101" s="1028">
        <v>0</v>
      </c>
      <c r="DW101" s="1028">
        <v>0</v>
      </c>
      <c r="EB101" s="1028">
        <v>0</v>
      </c>
      <c r="EF101" s="1028">
        <v>0</v>
      </c>
      <c r="EG101" s="1028">
        <v>0</v>
      </c>
      <c r="EJ101" s="1028">
        <v>0</v>
      </c>
      <c r="EM101" s="1028">
        <v>0</v>
      </c>
      <c r="ES101" s="1028">
        <v>1159912367.530292</v>
      </c>
      <c r="ET101" s="1028">
        <v>50306580</v>
      </c>
      <c r="EU101" s="1028">
        <v>5030658</v>
      </c>
      <c r="EV101" s="1028">
        <v>45275922</v>
      </c>
      <c r="EW101" s="1028">
        <v>0</v>
      </c>
      <c r="EX101" s="1028">
        <v>0</v>
      </c>
      <c r="EY101" s="1028">
        <v>0</v>
      </c>
      <c r="EZ101" s="1028">
        <v>1107924649.3208201</v>
      </c>
      <c r="FA101" s="1028">
        <v>4354509.01</v>
      </c>
      <c r="FB101" s="1028">
        <v>26997211.250000007</v>
      </c>
      <c r="FC101" s="1028">
        <v>1076572929.0608201</v>
      </c>
      <c r="FD101" s="1028">
        <v>1681138.2094719969</v>
      </c>
      <c r="FF101" s="1028">
        <v>638332.09000000008</v>
      </c>
      <c r="FL101" s="1028">
        <v>1160550699.6202919</v>
      </c>
      <c r="FM101" s="1028">
        <v>-8.1104040145874023E-2</v>
      </c>
    </row>
    <row r="102" spans="2:169">
      <c r="B102" s="1781">
        <v>44682</v>
      </c>
      <c r="C102" s="1028">
        <v>0</v>
      </c>
      <c r="D102" s="1028">
        <v>0</v>
      </c>
      <c r="E102" s="1028">
        <v>0</v>
      </c>
      <c r="F102" s="1028">
        <v>0</v>
      </c>
      <c r="Q102" s="1028">
        <v>0</v>
      </c>
      <c r="R102" s="1028">
        <v>0</v>
      </c>
      <c r="S102" s="1028">
        <v>0</v>
      </c>
      <c r="W102" s="1028">
        <v>0</v>
      </c>
      <c r="AA102" s="1028">
        <v>0</v>
      </c>
      <c r="AE102" s="1028">
        <v>0</v>
      </c>
      <c r="AI102" s="1028">
        <v>0</v>
      </c>
      <c r="AM102" s="1028">
        <v>0</v>
      </c>
      <c r="AQ102" s="1028">
        <v>0</v>
      </c>
      <c r="AU102" s="1028">
        <v>0</v>
      </c>
      <c r="AY102" s="1028">
        <v>0</v>
      </c>
      <c r="BC102" s="1028">
        <v>0</v>
      </c>
      <c r="BG102" s="1028">
        <v>0</v>
      </c>
      <c r="BL102" s="1028">
        <v>0</v>
      </c>
      <c r="BM102" s="1028">
        <v>0</v>
      </c>
      <c r="BO102" s="1028">
        <v>0</v>
      </c>
      <c r="BT102" s="1028">
        <v>0</v>
      </c>
      <c r="BV102" s="1028">
        <v>0</v>
      </c>
      <c r="CA102" s="1028">
        <v>0</v>
      </c>
      <c r="CC102" s="1028">
        <v>0</v>
      </c>
      <c r="CI102" s="1028">
        <v>0</v>
      </c>
      <c r="CO102" s="1028">
        <v>0</v>
      </c>
      <c r="CT102" s="1028">
        <v>0</v>
      </c>
      <c r="CU102" s="1028">
        <v>0</v>
      </c>
      <c r="CX102" s="1028">
        <v>0</v>
      </c>
      <c r="DA102" s="1028">
        <v>0</v>
      </c>
      <c r="DE102" s="1028">
        <v>0</v>
      </c>
      <c r="DF102" s="1028">
        <v>0</v>
      </c>
      <c r="DI102" s="1028">
        <v>0</v>
      </c>
      <c r="DL102" s="1028">
        <v>0</v>
      </c>
      <c r="DR102" s="1028">
        <v>0</v>
      </c>
      <c r="DT102" s="1028">
        <v>0</v>
      </c>
      <c r="DW102" s="1028">
        <v>0</v>
      </c>
      <c r="EB102" s="1028">
        <v>0</v>
      </c>
      <c r="EF102" s="1028">
        <v>0</v>
      </c>
      <c r="EG102" s="1028">
        <v>0</v>
      </c>
      <c r="EJ102" s="1028">
        <v>0</v>
      </c>
      <c r="EM102" s="1028">
        <v>0</v>
      </c>
      <c r="ES102" s="1028">
        <v>1129370780.9776301</v>
      </c>
      <c r="ET102" s="1028">
        <v>50306580</v>
      </c>
      <c r="EU102" s="1028">
        <v>5030658</v>
      </c>
      <c r="EV102" s="1028">
        <v>45275922</v>
      </c>
      <c r="EW102" s="1028">
        <v>0</v>
      </c>
      <c r="EX102" s="1028">
        <v>0</v>
      </c>
      <c r="EY102" s="1028">
        <v>0</v>
      </c>
      <c r="EZ102" s="1028">
        <v>1067691347.1058301</v>
      </c>
      <c r="FA102" s="1028">
        <v>3223435.83</v>
      </c>
      <c r="FB102" s="1028">
        <v>26818421.769999996</v>
      </c>
      <c r="FC102" s="1028">
        <v>1037649489.50583</v>
      </c>
      <c r="FD102" s="1028">
        <v>11372853.871800022</v>
      </c>
      <c r="FF102" s="1028">
        <v>179405.27</v>
      </c>
      <c r="FL102" s="1028">
        <v>1129550186.2476301</v>
      </c>
      <c r="FM102" s="1028">
        <v>-0.52933406829833984</v>
      </c>
    </row>
    <row r="103" spans="2:169">
      <c r="B103" s="1781">
        <v>44713</v>
      </c>
      <c r="C103" s="1028">
        <v>0</v>
      </c>
      <c r="D103" s="1028">
        <v>0</v>
      </c>
      <c r="E103" s="1028">
        <v>0</v>
      </c>
      <c r="P103" s="1028">
        <v>0</v>
      </c>
      <c r="Q103" s="1028">
        <v>0</v>
      </c>
      <c r="R103" s="1028">
        <v>0</v>
      </c>
      <c r="V103" s="1028">
        <v>0</v>
      </c>
      <c r="Z103" s="1028">
        <v>0</v>
      </c>
      <c r="AD103" s="1028">
        <v>0</v>
      </c>
      <c r="AH103" s="1028">
        <v>0</v>
      </c>
      <c r="AL103" s="1028">
        <v>0</v>
      </c>
      <c r="AP103" s="1028">
        <v>0</v>
      </c>
      <c r="AT103" s="1028">
        <v>0</v>
      </c>
      <c r="AX103" s="1028">
        <v>0</v>
      </c>
      <c r="BB103" s="1028">
        <v>0</v>
      </c>
      <c r="BF103" s="1028">
        <v>0</v>
      </c>
      <c r="BK103" s="1028">
        <v>0</v>
      </c>
      <c r="BL103" s="1028">
        <v>0</v>
      </c>
      <c r="BN103" s="1028">
        <v>0</v>
      </c>
      <c r="BS103" s="1028">
        <v>0</v>
      </c>
      <c r="BU103" s="1028">
        <v>0</v>
      </c>
      <c r="BZ103" s="1028">
        <v>0</v>
      </c>
      <c r="CB103" s="1028">
        <v>0</v>
      </c>
      <c r="CH103" s="1028">
        <v>0</v>
      </c>
      <c r="CN103" s="1028">
        <v>0</v>
      </c>
      <c r="CS103" s="1028">
        <v>0</v>
      </c>
      <c r="CT103" s="1028">
        <v>0</v>
      </c>
      <c r="CW103" s="1028">
        <v>0</v>
      </c>
      <c r="CZ103" s="1028">
        <v>0</v>
      </c>
      <c r="DD103" s="1028">
        <v>0</v>
      </c>
      <c r="DE103" s="1028">
        <v>0</v>
      </c>
      <c r="DH103" s="1028">
        <v>0</v>
      </c>
      <c r="DK103" s="1028">
        <v>0</v>
      </c>
      <c r="DQ103" s="1028">
        <v>0</v>
      </c>
      <c r="DS103" s="1028">
        <v>0</v>
      </c>
      <c r="DV103" s="1028">
        <v>0</v>
      </c>
      <c r="EA103" s="1028">
        <v>0</v>
      </c>
      <c r="EE103" s="1028">
        <v>0</v>
      </c>
      <c r="EF103" s="1028">
        <v>0</v>
      </c>
      <c r="EI103" s="1028">
        <v>0</v>
      </c>
      <c r="EL103" s="1028">
        <v>0</v>
      </c>
      <c r="ER103" s="1028">
        <v>1130311834.4851298</v>
      </c>
      <c r="ES103" s="1028">
        <v>50306580</v>
      </c>
      <c r="ET103" s="1028">
        <v>5030658</v>
      </c>
      <c r="EU103" s="1028">
        <v>45275922</v>
      </c>
      <c r="EV103" s="1028">
        <v>0</v>
      </c>
      <c r="EW103" s="1028">
        <v>0</v>
      </c>
      <c r="EX103" s="1028">
        <v>0</v>
      </c>
      <c r="EY103" s="1028">
        <v>1069011240.61333</v>
      </c>
      <c r="EZ103" s="1028">
        <v>3223435.83</v>
      </c>
      <c r="FA103" s="1028">
        <v>26818421.769999996</v>
      </c>
      <c r="FB103" s="1028">
        <v>1038969383.01333</v>
      </c>
      <c r="FC103" s="1028">
        <v>10994013.8718</v>
      </c>
      <c r="FE103" s="1028">
        <v>179405.27</v>
      </c>
      <c r="FK103" s="1028">
        <v>1130491239.7551298</v>
      </c>
    </row>
    <row r="104" spans="2:169">
      <c r="B104" s="1781">
        <v>44743</v>
      </c>
      <c r="C104" s="1028">
        <v>0</v>
      </c>
      <c r="D104" s="1028">
        <v>0</v>
      </c>
      <c r="E104" s="1028">
        <v>0</v>
      </c>
      <c r="F104" s="1028">
        <v>0</v>
      </c>
      <c r="Q104" s="1028">
        <v>0</v>
      </c>
      <c r="R104" s="1028">
        <v>0</v>
      </c>
      <c r="S104" s="1028">
        <v>0</v>
      </c>
      <c r="W104" s="1028">
        <v>0</v>
      </c>
      <c r="AA104" s="1028">
        <v>0</v>
      </c>
      <c r="AE104" s="1028">
        <v>0</v>
      </c>
      <c r="AI104" s="1028">
        <v>0</v>
      </c>
      <c r="AM104" s="1028">
        <v>0</v>
      </c>
      <c r="AQ104" s="1028">
        <v>0</v>
      </c>
      <c r="AU104" s="1028">
        <v>0</v>
      </c>
      <c r="AY104" s="1028">
        <v>0</v>
      </c>
      <c r="BC104" s="1028">
        <v>0</v>
      </c>
      <c r="BG104" s="1028">
        <v>0</v>
      </c>
      <c r="BL104" s="1028">
        <v>0</v>
      </c>
      <c r="BM104" s="1028">
        <v>0</v>
      </c>
      <c r="BO104" s="1028">
        <v>0</v>
      </c>
      <c r="BT104" s="1028">
        <v>0</v>
      </c>
      <c r="BV104" s="1028">
        <v>0</v>
      </c>
      <c r="CA104" s="1028">
        <v>0</v>
      </c>
      <c r="CC104" s="1028">
        <v>0</v>
      </c>
      <c r="CI104" s="1028">
        <v>0</v>
      </c>
      <c r="CO104" s="1028">
        <v>0</v>
      </c>
      <c r="CT104" s="1028">
        <v>0</v>
      </c>
      <c r="CU104" s="1028">
        <v>0</v>
      </c>
      <c r="CX104" s="1028">
        <v>0</v>
      </c>
      <c r="DA104" s="1028">
        <v>0</v>
      </c>
      <c r="DE104" s="1028">
        <v>0</v>
      </c>
      <c r="DF104" s="1028">
        <v>0</v>
      </c>
      <c r="DI104" s="1028">
        <v>0</v>
      </c>
      <c r="DL104" s="1028">
        <v>0</v>
      </c>
      <c r="DR104" s="1028">
        <v>0</v>
      </c>
      <c r="DT104" s="1028">
        <v>0</v>
      </c>
      <c r="DW104" s="1028">
        <v>0</v>
      </c>
      <c r="EB104" s="1028">
        <v>0</v>
      </c>
      <c r="EF104" s="1028">
        <v>0</v>
      </c>
      <c r="EG104" s="1028">
        <v>0</v>
      </c>
      <c r="EJ104" s="1028">
        <v>0</v>
      </c>
      <c r="EM104" s="1028">
        <v>0</v>
      </c>
      <c r="ES104" s="1028">
        <v>1114958490.4851298</v>
      </c>
      <c r="ET104" s="1028">
        <v>50306580</v>
      </c>
      <c r="EU104" s="1028">
        <v>5030658</v>
      </c>
      <c r="EV104" s="1028">
        <v>45275922</v>
      </c>
      <c r="EW104" s="1028">
        <v>0</v>
      </c>
      <c r="EX104" s="1028">
        <v>0</v>
      </c>
      <c r="EY104" s="1028">
        <v>0</v>
      </c>
      <c r="EZ104" s="1028">
        <v>1049430395.61333</v>
      </c>
      <c r="FA104" s="1028">
        <v>2498066.83</v>
      </c>
      <c r="FB104" s="1028">
        <v>26818421.769999996</v>
      </c>
      <c r="FC104" s="1028">
        <v>1020113907.01333</v>
      </c>
      <c r="FD104" s="1028">
        <v>15221514.8718</v>
      </c>
      <c r="FF104" s="1028">
        <v>179404.96816613196</v>
      </c>
      <c r="FL104" s="1028">
        <v>1115137895.4532959</v>
      </c>
    </row>
    <row r="105" spans="2:169">
      <c r="B105" s="1781">
        <v>44774</v>
      </c>
      <c r="C105" s="1028">
        <v>0</v>
      </c>
      <c r="D105" s="1028">
        <v>0</v>
      </c>
      <c r="E105" s="1028">
        <v>0</v>
      </c>
      <c r="F105" s="1028">
        <v>0</v>
      </c>
      <c r="Q105" s="1028">
        <v>0</v>
      </c>
      <c r="R105" s="1028">
        <v>0</v>
      </c>
      <c r="S105" s="1028">
        <v>0</v>
      </c>
      <c r="W105" s="1028">
        <v>0</v>
      </c>
      <c r="AA105" s="1028">
        <v>0</v>
      </c>
      <c r="AE105" s="1028">
        <v>0</v>
      </c>
      <c r="AI105" s="1028">
        <v>0</v>
      </c>
      <c r="AM105" s="1028">
        <v>0</v>
      </c>
      <c r="AQ105" s="1028">
        <v>0</v>
      </c>
      <c r="AU105" s="1028">
        <v>0</v>
      </c>
      <c r="AY105" s="1028">
        <v>0</v>
      </c>
      <c r="BC105" s="1028">
        <v>0</v>
      </c>
      <c r="BG105" s="1028">
        <v>0</v>
      </c>
      <c r="BL105" s="1028">
        <v>0</v>
      </c>
      <c r="BM105" s="1028">
        <v>0</v>
      </c>
      <c r="BO105" s="1028">
        <v>0</v>
      </c>
      <c r="BT105" s="1028">
        <v>0</v>
      </c>
      <c r="BV105" s="1028">
        <v>0</v>
      </c>
      <c r="CA105" s="1028">
        <v>0</v>
      </c>
      <c r="CC105" s="1028">
        <v>0</v>
      </c>
      <c r="CI105" s="1028">
        <v>0</v>
      </c>
      <c r="CO105" s="1028">
        <v>0</v>
      </c>
      <c r="CT105" s="1028">
        <v>0</v>
      </c>
      <c r="CU105" s="1028">
        <v>0</v>
      </c>
      <c r="CX105" s="1028">
        <v>0</v>
      </c>
      <c r="DA105" s="1028">
        <v>0</v>
      </c>
      <c r="DE105" s="1028">
        <v>0</v>
      </c>
      <c r="DF105" s="1028">
        <v>0</v>
      </c>
      <c r="DI105" s="1028">
        <v>0</v>
      </c>
      <c r="DL105" s="1028">
        <v>0</v>
      </c>
      <c r="DR105" s="1028">
        <v>0</v>
      </c>
      <c r="DT105" s="1028">
        <v>0</v>
      </c>
      <c r="DW105" s="1028">
        <v>0</v>
      </c>
      <c r="EB105" s="1028">
        <v>0</v>
      </c>
      <c r="EF105" s="1028">
        <v>0</v>
      </c>
      <c r="EG105" s="1028">
        <v>0</v>
      </c>
      <c r="EJ105" s="1028">
        <v>0</v>
      </c>
      <c r="EM105" s="1028">
        <v>0</v>
      </c>
      <c r="ES105" s="1028">
        <v>1100004147.4851298</v>
      </c>
      <c r="ET105" s="1028">
        <v>50306580</v>
      </c>
      <c r="EU105" s="1028">
        <v>5030658</v>
      </c>
      <c r="EV105" s="1028">
        <v>45275922</v>
      </c>
      <c r="EW105" s="1028">
        <v>0</v>
      </c>
      <c r="EX105" s="1028">
        <v>0</v>
      </c>
      <c r="EY105" s="1028">
        <v>0</v>
      </c>
      <c r="EZ105" s="1028">
        <v>1030103532.61333</v>
      </c>
      <c r="FA105" s="1028">
        <v>2498066.83</v>
      </c>
      <c r="FB105" s="1028">
        <v>26818421.769999996</v>
      </c>
      <c r="FC105" s="1028">
        <v>1000787044.01333</v>
      </c>
      <c r="FD105" s="1028">
        <v>19594034.871799998</v>
      </c>
      <c r="FF105" s="1028">
        <v>179404.96816613196</v>
      </c>
      <c r="FL105" s="1028">
        <v>1100183552.4532959</v>
      </c>
    </row>
    <row r="106" spans="2:169">
      <c r="B106" s="1781">
        <v>44805</v>
      </c>
      <c r="C106" s="1028">
        <v>0</v>
      </c>
      <c r="D106" s="1028">
        <v>0</v>
      </c>
      <c r="E106" s="1028">
        <v>0</v>
      </c>
      <c r="F106" s="1028">
        <v>0</v>
      </c>
      <c r="Q106" s="1028">
        <v>0</v>
      </c>
      <c r="R106" s="1028">
        <v>0</v>
      </c>
      <c r="S106" s="1028">
        <v>0</v>
      </c>
      <c r="W106" s="1028">
        <v>0</v>
      </c>
      <c r="AA106" s="1028">
        <v>0</v>
      </c>
      <c r="AE106" s="1028">
        <v>0</v>
      </c>
      <c r="AI106" s="1028">
        <v>0</v>
      </c>
      <c r="AM106" s="1028">
        <v>0</v>
      </c>
      <c r="AQ106" s="1028">
        <v>0</v>
      </c>
      <c r="AU106" s="1028">
        <v>0</v>
      </c>
      <c r="AY106" s="1028">
        <v>0</v>
      </c>
      <c r="BC106" s="1028">
        <v>0</v>
      </c>
      <c r="BG106" s="1028">
        <v>0</v>
      </c>
      <c r="BL106" s="1028">
        <v>0</v>
      </c>
      <c r="BM106" s="1028">
        <v>0</v>
      </c>
      <c r="BO106" s="1028">
        <v>0</v>
      </c>
      <c r="BT106" s="1028">
        <v>0</v>
      </c>
      <c r="BV106" s="1028">
        <v>0</v>
      </c>
      <c r="CA106" s="1028">
        <v>0</v>
      </c>
      <c r="CC106" s="1028">
        <v>0</v>
      </c>
      <c r="CI106" s="1028">
        <v>0</v>
      </c>
      <c r="CO106" s="1028">
        <v>0</v>
      </c>
      <c r="CT106" s="1028">
        <v>0</v>
      </c>
      <c r="CU106" s="1028">
        <v>0</v>
      </c>
      <c r="CX106" s="1028">
        <v>0</v>
      </c>
      <c r="DA106" s="1028">
        <v>0</v>
      </c>
      <c r="DE106" s="1028">
        <v>0</v>
      </c>
      <c r="DF106" s="1028">
        <v>0</v>
      </c>
      <c r="DI106" s="1028">
        <v>0</v>
      </c>
      <c r="DL106" s="1028">
        <v>0</v>
      </c>
      <c r="DR106" s="1028">
        <v>0</v>
      </c>
      <c r="DT106" s="1028">
        <v>0</v>
      </c>
      <c r="DW106" s="1028">
        <v>0</v>
      </c>
      <c r="EB106" s="1028">
        <v>0</v>
      </c>
      <c r="EF106" s="1028">
        <v>0</v>
      </c>
      <c r="EG106" s="1028">
        <v>0</v>
      </c>
      <c r="EJ106" s="1028">
        <v>0</v>
      </c>
      <c r="EM106" s="1028">
        <v>0</v>
      </c>
      <c r="ES106" s="1028">
        <v>1067677888.4851301</v>
      </c>
      <c r="ET106" s="1028">
        <v>50306580</v>
      </c>
      <c r="EU106" s="1028">
        <v>5030658</v>
      </c>
      <c r="EV106" s="1028">
        <v>45275922</v>
      </c>
      <c r="EW106" s="1028">
        <v>0</v>
      </c>
      <c r="EX106" s="1028">
        <v>0</v>
      </c>
      <c r="EY106" s="1028">
        <v>0</v>
      </c>
      <c r="EZ106" s="1028">
        <v>1001568454.61333</v>
      </c>
      <c r="FA106" s="1028">
        <v>1303435.83</v>
      </c>
      <c r="FB106" s="1028">
        <v>26818421.769999996</v>
      </c>
      <c r="FC106" s="1028">
        <v>973446597.01332998</v>
      </c>
      <c r="FD106" s="1028">
        <v>15802853.871800022</v>
      </c>
      <c r="FF106" s="1028">
        <v>179404.96816613196</v>
      </c>
      <c r="FL106" s="1028">
        <v>1067857293.4532962</v>
      </c>
    </row>
    <row r="107" spans="2:169">
      <c r="B107" s="1781">
        <v>44835</v>
      </c>
      <c r="C107" s="1028">
        <v>0</v>
      </c>
      <c r="D107" s="1028">
        <v>0</v>
      </c>
      <c r="E107" s="1028">
        <v>0</v>
      </c>
      <c r="F107" s="1028">
        <v>0</v>
      </c>
      <c r="Q107" s="1028">
        <v>0</v>
      </c>
      <c r="R107" s="1028">
        <v>0</v>
      </c>
      <c r="S107" s="1028">
        <v>0</v>
      </c>
      <c r="W107" s="1028">
        <v>0</v>
      </c>
      <c r="AA107" s="1028">
        <v>0</v>
      </c>
      <c r="AE107" s="1028">
        <v>0</v>
      </c>
      <c r="AI107" s="1028">
        <v>0</v>
      </c>
      <c r="AM107" s="1028">
        <v>0</v>
      </c>
      <c r="AQ107" s="1028">
        <v>0</v>
      </c>
      <c r="AU107" s="1028">
        <v>0</v>
      </c>
      <c r="AY107" s="1028">
        <v>0</v>
      </c>
      <c r="BC107" s="1028">
        <v>0</v>
      </c>
      <c r="BG107" s="1028">
        <v>0</v>
      </c>
      <c r="BL107" s="1028">
        <v>0</v>
      </c>
      <c r="BM107" s="1028">
        <v>0</v>
      </c>
      <c r="BO107" s="1028">
        <v>0</v>
      </c>
      <c r="BT107" s="1028">
        <v>0</v>
      </c>
      <c r="BV107" s="1028">
        <v>0</v>
      </c>
      <c r="CA107" s="1028">
        <v>0</v>
      </c>
      <c r="CC107" s="1028">
        <v>0</v>
      </c>
      <c r="CI107" s="1028">
        <v>0</v>
      </c>
      <c r="CO107" s="1028">
        <v>0</v>
      </c>
      <c r="CT107" s="1028">
        <v>0</v>
      </c>
      <c r="CU107" s="1028">
        <v>0</v>
      </c>
      <c r="CX107" s="1028">
        <v>0</v>
      </c>
      <c r="DA107" s="1028">
        <v>0</v>
      </c>
      <c r="DE107" s="1028">
        <v>0</v>
      </c>
      <c r="DF107" s="1028">
        <v>0</v>
      </c>
      <c r="DI107" s="1028">
        <v>0</v>
      </c>
      <c r="DL107" s="1028">
        <v>0</v>
      </c>
      <c r="DR107" s="1028">
        <v>0</v>
      </c>
      <c r="DT107" s="1028">
        <v>0</v>
      </c>
      <c r="DW107" s="1028">
        <v>0</v>
      </c>
      <c r="EB107" s="1028">
        <v>0</v>
      </c>
      <c r="EF107" s="1028">
        <v>0</v>
      </c>
      <c r="EG107" s="1028">
        <v>0</v>
      </c>
      <c r="EJ107" s="1028">
        <v>0</v>
      </c>
      <c r="EM107" s="1028">
        <v>0</v>
      </c>
      <c r="ES107" s="1028">
        <v>1067677888.4851301</v>
      </c>
      <c r="ET107" s="1028">
        <v>50306580</v>
      </c>
      <c r="EU107" s="1028">
        <v>5030658</v>
      </c>
      <c r="EV107" s="1028">
        <v>45275922</v>
      </c>
      <c r="EW107" s="1028">
        <v>0</v>
      </c>
      <c r="EX107" s="1028">
        <v>0</v>
      </c>
      <c r="EY107" s="1028">
        <v>0</v>
      </c>
      <c r="EZ107" s="1028">
        <v>1001568454.61333</v>
      </c>
      <c r="FA107" s="1028">
        <v>1303435.83</v>
      </c>
      <c r="FB107" s="1028">
        <v>26818421.769999996</v>
      </c>
      <c r="FC107" s="1028">
        <v>973446597.01332998</v>
      </c>
      <c r="FD107" s="1028">
        <v>15802853.871800022</v>
      </c>
      <c r="FF107" s="1028">
        <v>179404.96816613196</v>
      </c>
      <c r="FL107" s="1028">
        <v>1067857293.4532962</v>
      </c>
      <c r="FM107" s="1028">
        <v>0.46999967098236084</v>
      </c>
    </row>
    <row r="108" spans="2:169">
      <c r="B108" s="1781">
        <v>44866</v>
      </c>
      <c r="C108" s="1028">
        <v>0</v>
      </c>
      <c r="D108" s="1028">
        <v>0</v>
      </c>
      <c r="E108" s="1028">
        <v>0</v>
      </c>
      <c r="F108" s="1028">
        <v>0</v>
      </c>
      <c r="Q108" s="1028">
        <v>0</v>
      </c>
      <c r="R108" s="1028">
        <v>0</v>
      </c>
      <c r="S108" s="1028">
        <v>0</v>
      </c>
      <c r="W108" s="1028">
        <v>0</v>
      </c>
      <c r="AA108" s="1028">
        <v>0</v>
      </c>
      <c r="AE108" s="1028">
        <v>0</v>
      </c>
      <c r="AI108" s="1028">
        <v>0</v>
      </c>
      <c r="AM108" s="1028">
        <v>0</v>
      </c>
      <c r="AQ108" s="1028">
        <v>0</v>
      </c>
      <c r="AU108" s="1028">
        <v>0</v>
      </c>
      <c r="AY108" s="1028">
        <v>0</v>
      </c>
      <c r="BC108" s="1028">
        <v>0</v>
      </c>
      <c r="BG108" s="1028">
        <v>0</v>
      </c>
      <c r="BL108" s="1028">
        <v>0</v>
      </c>
      <c r="BM108" s="1028">
        <v>0</v>
      </c>
      <c r="BO108" s="1028">
        <v>0</v>
      </c>
      <c r="BT108" s="1028">
        <v>0</v>
      </c>
      <c r="BV108" s="1028">
        <v>0</v>
      </c>
      <c r="CA108" s="1028">
        <v>0</v>
      </c>
      <c r="CC108" s="1028">
        <v>0</v>
      </c>
      <c r="CI108" s="1028">
        <v>0</v>
      </c>
      <c r="CO108" s="1028">
        <v>0</v>
      </c>
      <c r="CT108" s="1028">
        <v>0</v>
      </c>
      <c r="CU108" s="1028">
        <v>0</v>
      </c>
      <c r="CX108" s="1028">
        <v>0</v>
      </c>
      <c r="DA108" s="1028">
        <v>0</v>
      </c>
      <c r="DE108" s="1028">
        <v>0</v>
      </c>
      <c r="DF108" s="1028">
        <v>0</v>
      </c>
      <c r="DI108" s="1028">
        <v>0</v>
      </c>
      <c r="DL108" s="1028">
        <v>0</v>
      </c>
      <c r="DR108" s="1028">
        <v>0</v>
      </c>
      <c r="DT108" s="1028">
        <v>0</v>
      </c>
      <c r="DW108" s="1028">
        <v>0</v>
      </c>
      <c r="EB108" s="1028">
        <v>0</v>
      </c>
      <c r="EF108" s="1028">
        <v>0</v>
      </c>
      <c r="EG108" s="1028">
        <v>0</v>
      </c>
      <c r="EJ108" s="1028">
        <v>0</v>
      </c>
      <c r="EM108" s="1028">
        <v>0</v>
      </c>
      <c r="ES108" s="1028">
        <v>1067677888.4851301</v>
      </c>
      <c r="ET108" s="1028">
        <v>50306580</v>
      </c>
      <c r="EU108" s="1028">
        <v>5030658</v>
      </c>
      <c r="EV108" s="1028">
        <v>45275922</v>
      </c>
      <c r="EW108" s="1028">
        <v>0</v>
      </c>
      <c r="EX108" s="1028">
        <v>0</v>
      </c>
      <c r="EY108" s="1028">
        <v>0</v>
      </c>
      <c r="EZ108" s="1028">
        <v>1001568454.61333</v>
      </c>
      <c r="FA108" s="1028">
        <v>1303435.83</v>
      </c>
      <c r="FB108" s="1028">
        <v>26818421.769999996</v>
      </c>
      <c r="FC108" s="1028">
        <v>973446597.01332998</v>
      </c>
      <c r="FD108" s="1028">
        <v>15802853.871800022</v>
      </c>
      <c r="FF108" s="1028">
        <v>179404.96816613196</v>
      </c>
      <c r="FL108" s="1028">
        <v>1067857293.4532962</v>
      </c>
      <c r="FM108" s="1028">
        <v>0.46999967098236084</v>
      </c>
    </row>
    <row r="109" spans="2:169">
      <c r="B109" s="1781">
        <v>44896</v>
      </c>
      <c r="C109" s="1028">
        <v>0</v>
      </c>
      <c r="D109" s="1028">
        <v>0</v>
      </c>
      <c r="E109" s="1028">
        <v>0</v>
      </c>
      <c r="F109" s="1028">
        <v>0</v>
      </c>
      <c r="Q109" s="1028">
        <v>0</v>
      </c>
      <c r="R109" s="1028">
        <v>0</v>
      </c>
      <c r="S109" s="1028">
        <v>0</v>
      </c>
      <c r="W109" s="1028">
        <v>0</v>
      </c>
      <c r="AA109" s="1028">
        <v>0</v>
      </c>
      <c r="AE109" s="1028">
        <v>0</v>
      </c>
      <c r="AI109" s="1028">
        <v>0</v>
      </c>
      <c r="AM109" s="1028">
        <v>0</v>
      </c>
      <c r="AQ109" s="1028">
        <v>0</v>
      </c>
      <c r="AU109" s="1028">
        <v>0</v>
      </c>
      <c r="AY109" s="1028">
        <v>0</v>
      </c>
      <c r="BC109" s="1028">
        <v>0</v>
      </c>
      <c r="BG109" s="1028">
        <v>0</v>
      </c>
      <c r="BL109" s="1028">
        <v>0</v>
      </c>
      <c r="BM109" s="1028">
        <v>0</v>
      </c>
      <c r="BO109" s="1028">
        <v>0</v>
      </c>
      <c r="BT109" s="1028">
        <v>0</v>
      </c>
      <c r="BV109" s="1028">
        <v>0</v>
      </c>
      <c r="CA109" s="1028">
        <v>0</v>
      </c>
      <c r="CC109" s="1028">
        <v>0</v>
      </c>
      <c r="CI109" s="1028">
        <v>0</v>
      </c>
      <c r="CO109" s="1028">
        <v>0</v>
      </c>
      <c r="CT109" s="1028">
        <v>0</v>
      </c>
      <c r="CU109" s="1028">
        <v>0</v>
      </c>
      <c r="CX109" s="1028">
        <v>0</v>
      </c>
      <c r="DA109" s="1028">
        <v>0</v>
      </c>
      <c r="DE109" s="1028">
        <v>0</v>
      </c>
      <c r="DF109" s="1028">
        <v>0</v>
      </c>
      <c r="DI109" s="1028">
        <v>0</v>
      </c>
      <c r="DL109" s="1028">
        <v>0</v>
      </c>
      <c r="DR109" s="1028">
        <v>0</v>
      </c>
      <c r="DT109" s="1028">
        <v>0</v>
      </c>
      <c r="DW109" s="1028">
        <v>0</v>
      </c>
      <c r="EB109" s="1028">
        <v>0</v>
      </c>
      <c r="EF109" s="1028">
        <v>0</v>
      </c>
      <c r="EG109" s="1028">
        <v>0</v>
      </c>
      <c r="EJ109" s="1028">
        <v>0</v>
      </c>
      <c r="EM109" s="1028">
        <v>0</v>
      </c>
      <c r="ES109" s="1028">
        <v>1085291216.4851301</v>
      </c>
      <c r="ET109" s="1028">
        <v>50306580</v>
      </c>
      <c r="EU109" s="1028">
        <v>5030658</v>
      </c>
      <c r="EV109" s="1028">
        <v>45275922</v>
      </c>
      <c r="EW109" s="1028">
        <v>0</v>
      </c>
      <c r="EX109" s="1028">
        <v>0</v>
      </c>
      <c r="EY109" s="1028">
        <v>0</v>
      </c>
      <c r="EZ109" s="1028">
        <v>1019122479.61333</v>
      </c>
      <c r="FA109" s="1028">
        <v>1303435.83</v>
      </c>
      <c r="FB109" s="1028">
        <v>26818421.769999996</v>
      </c>
      <c r="FC109" s="1028">
        <v>991000622.01332998</v>
      </c>
      <c r="FD109" s="1028">
        <v>15862156.8718</v>
      </c>
      <c r="FF109" s="1028">
        <v>179404.96816613196</v>
      </c>
      <c r="FL109" s="1028">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8" customWidth="1"/>
    <col min="2" max="2" width="4.6328125" style="1028" customWidth="1"/>
    <col min="3" max="3" width="4.08984375" style="1028" customWidth="1"/>
    <col min="4" max="4" width="8.90625" style="1028"/>
    <col min="5" max="5" width="9.36328125" style="1028" bestFit="1" customWidth="1"/>
    <col min="6" max="6" width="9.08984375" style="1028" bestFit="1" customWidth="1"/>
    <col min="7" max="7" width="20.453125" style="1364" bestFit="1" customWidth="1"/>
    <col min="8" max="8" width="11.81640625" style="1028" customWidth="1"/>
    <col min="9" max="10" width="12.36328125" style="1028" bestFit="1" customWidth="1"/>
    <col min="11" max="12" width="8.90625" style="1028"/>
    <col min="13" max="15" width="10.36328125" style="1028" bestFit="1" customWidth="1"/>
    <col min="16" max="16" width="8.90625" style="1028"/>
    <col min="17" max="17" width="7.81640625" style="1028" bestFit="1" customWidth="1"/>
    <col min="18" max="19" width="8.90625" style="1028"/>
    <col min="20" max="20" width="7.81640625" style="1028" bestFit="1" customWidth="1"/>
    <col min="21" max="23" width="8.90625" style="1028"/>
    <col min="24" max="25" width="7.81640625" style="1028" bestFit="1" customWidth="1"/>
    <col min="26" max="27" width="8.90625" style="1028"/>
    <col min="28" max="28" width="7.81640625" style="1028" bestFit="1" customWidth="1"/>
    <col min="29" max="31" width="8.90625" style="1028"/>
    <col min="32" max="32" width="7.81640625" style="1028" bestFit="1" customWidth="1"/>
    <col min="33" max="36" width="8.90625" style="1028"/>
    <col min="37" max="37" width="7.81640625" style="1028" bestFit="1" customWidth="1"/>
    <col min="38" max="40" width="8.90625" style="1028"/>
    <col min="41" max="41" width="11.453125" style="1028" bestFit="1" customWidth="1"/>
    <col min="42" max="42" width="10.81640625" style="1028" bestFit="1" customWidth="1"/>
    <col min="43" max="43" width="10.36328125" style="1028" bestFit="1" customWidth="1"/>
    <col min="44" max="44" width="10.54296875" style="1028" customWidth="1"/>
    <col min="45" max="45" width="9.36328125" style="1028" bestFit="1" customWidth="1"/>
    <col min="46" max="50" width="8.90625" style="1028"/>
    <col min="51" max="51" width="12.36328125" style="1028" bestFit="1" customWidth="1"/>
    <col min="52" max="52" width="7.81640625" style="1028" bestFit="1" customWidth="1"/>
    <col min="53" max="54" width="8.90625" style="1028"/>
    <col min="55" max="55" width="11" style="1028" bestFit="1" customWidth="1"/>
    <col min="56" max="56" width="12.36328125" style="1028" bestFit="1" customWidth="1"/>
    <col min="57" max="57" width="7.81640625" style="1028" bestFit="1" customWidth="1"/>
    <col min="58" max="63" width="8.90625" style="1028"/>
    <col min="64" max="65" width="7.81640625" style="1028" bestFit="1" customWidth="1"/>
    <col min="66" max="71" width="8.90625" style="1028"/>
    <col min="72" max="72" width="24.6328125" style="1028" customWidth="1"/>
    <col min="73" max="73" width="7.81640625" style="1028" bestFit="1" customWidth="1"/>
    <col min="74" max="77" width="8.90625" style="1028"/>
    <col min="78" max="78" width="9" style="1028" bestFit="1" customWidth="1"/>
    <col min="79" max="80" width="8.90625" style="1028"/>
    <col min="81" max="81" width="20.81640625" style="1028" customWidth="1"/>
    <col min="82" max="82" width="9.08984375" style="1028" bestFit="1" customWidth="1"/>
    <col min="83" max="83" width="8.90625" style="1028"/>
    <col min="84" max="84" width="9.08984375" style="1028" bestFit="1" customWidth="1"/>
    <col min="85" max="87" width="8.90625" style="1028"/>
    <col min="88" max="88" width="9.90625" style="1028" bestFit="1" customWidth="1"/>
    <col min="89" max="89" width="8.90625" style="1028"/>
    <col min="90" max="90" width="9.90625" style="1028" bestFit="1" customWidth="1"/>
    <col min="91" max="91" width="9" style="1028" bestFit="1" customWidth="1"/>
    <col min="92" max="94" width="8.90625" style="1028"/>
    <col min="95" max="95" width="25.81640625" style="1028" customWidth="1"/>
    <col min="96" max="96" width="8.90625" style="1028"/>
    <col min="97" max="97" width="11.90625" style="1028" bestFit="1" customWidth="1"/>
    <col min="98" max="98" width="8.90625" style="1028"/>
    <col min="99" max="99" width="14" style="1028" customWidth="1"/>
    <col min="100" max="100" width="18" style="1028" customWidth="1"/>
    <col min="101" max="101" width="11.08984375" style="1028" bestFit="1" customWidth="1"/>
    <col min="102" max="102" width="8.90625" style="1028"/>
    <col min="103" max="103" width="7.81640625" style="1028" bestFit="1" customWidth="1"/>
    <col min="104" max="104" width="8.90625" style="1028"/>
    <col min="105" max="105" width="7.81640625" style="1028" bestFit="1" customWidth="1"/>
    <col min="106" max="108" width="8.90625" style="1028"/>
    <col min="109" max="109" width="7.81640625" style="1028" bestFit="1" customWidth="1"/>
    <col min="110" max="112" width="8.90625" style="1028"/>
    <col min="113" max="113" width="7.81640625" style="1028" bestFit="1" customWidth="1"/>
    <col min="114" max="117" width="8.90625" style="1028"/>
    <col min="118" max="118" width="7.81640625" style="1028" bestFit="1" customWidth="1"/>
    <col min="119" max="119" width="8.90625" style="1028"/>
    <col min="120" max="120" width="7.81640625" style="1028" bestFit="1" customWidth="1"/>
    <col min="121" max="123" width="8.90625" style="1028"/>
    <col min="124" max="124" width="7.81640625" style="1028" bestFit="1" customWidth="1"/>
    <col min="125" max="128" width="8.90625" style="1028"/>
    <col min="129" max="129" width="11.453125" style="1028" bestFit="1" customWidth="1"/>
    <col min="130" max="130" width="8.90625" style="1028"/>
    <col min="131" max="131" width="8.36328125" style="1028" bestFit="1" customWidth="1"/>
    <col min="132" max="132" width="9.08984375" style="1028" bestFit="1" customWidth="1"/>
    <col min="133" max="133" width="8.90625" style="1028"/>
    <col min="134" max="134" width="11.453125" style="1028" bestFit="1" customWidth="1"/>
    <col min="135" max="135" width="9.1796875" style="1028" bestFit="1" customWidth="1"/>
    <col min="136" max="137" width="8.90625" style="1028"/>
    <col min="138" max="140" width="11.453125" style="1028" bestFit="1" customWidth="1"/>
    <col min="141" max="141" width="10.36328125" style="1028" bestFit="1" customWidth="1"/>
    <col min="142" max="142" width="8.90625" style="1028"/>
    <col min="143" max="143" width="12.36328125" style="1028" bestFit="1" customWidth="1"/>
    <col min="144" max="148" width="8.90625" style="1028"/>
    <col min="149" max="149" width="17.453125" style="1029" bestFit="1" customWidth="1"/>
    <col min="150" max="16384" width="8.90625" style="1028"/>
  </cols>
  <sheetData>
    <row r="3" spans="4:149" ht="14.4">
      <c r="D3" s="1206"/>
      <c r="E3" s="1206" t="s">
        <v>1424</v>
      </c>
      <c r="F3" s="1206"/>
      <c r="G3" s="1363"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4.4">
      <c r="D4" s="1206" t="s">
        <v>1460</v>
      </c>
      <c r="E4" s="1206" t="s">
        <v>1424</v>
      </c>
      <c r="F4" s="1206"/>
      <c r="G4" s="1363"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4.4">
      <c r="D5" s="1206"/>
      <c r="E5" s="1206" t="s">
        <v>1424</v>
      </c>
      <c r="F5" s="1206"/>
      <c r="G5" s="1363"/>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4.4">
      <c r="D6" s="1206"/>
      <c r="E6" s="1208">
        <v>42005</v>
      </c>
      <c r="F6" s="1412"/>
      <c r="G6" s="1363">
        <v>19077</v>
      </c>
      <c r="H6" s="1412"/>
      <c r="I6" s="1412">
        <v>7015480</v>
      </c>
      <c r="J6" s="1412">
        <v>7015480</v>
      </c>
      <c r="K6" s="1412"/>
      <c r="L6" s="1412"/>
      <c r="M6" s="1412">
        <v>344713</v>
      </c>
      <c r="N6" s="1412">
        <v>344713</v>
      </c>
      <c r="O6" s="1412">
        <v>344713</v>
      </c>
      <c r="P6" s="1412"/>
      <c r="Q6" s="1412">
        <v>0</v>
      </c>
      <c r="R6" s="1412"/>
      <c r="S6" s="1412"/>
      <c r="T6" s="1412">
        <v>0</v>
      </c>
      <c r="U6" s="1412"/>
      <c r="V6" s="1412"/>
      <c r="W6" s="1412"/>
      <c r="X6" s="1412">
        <v>0</v>
      </c>
      <c r="Y6" s="1412">
        <v>0</v>
      </c>
      <c r="Z6" s="1412"/>
      <c r="AA6" s="1412"/>
      <c r="AB6" s="1412">
        <v>0</v>
      </c>
      <c r="AC6" s="1412"/>
      <c r="AD6" s="1412"/>
      <c r="AE6" s="1412"/>
      <c r="AF6" s="1412">
        <v>0</v>
      </c>
      <c r="AG6" s="1412"/>
      <c r="AH6" s="1412"/>
      <c r="AI6" s="1412"/>
      <c r="AJ6" s="1412"/>
      <c r="AK6" s="1412">
        <v>0</v>
      </c>
      <c r="AL6" s="1412"/>
      <c r="AM6" s="1412"/>
      <c r="AN6" s="1412"/>
      <c r="AO6" s="1412">
        <v>10269277</v>
      </c>
      <c r="AP6" s="1412">
        <v>9345223</v>
      </c>
      <c r="AQ6" s="1412">
        <v>924054</v>
      </c>
      <c r="AR6" s="1412">
        <v>924054</v>
      </c>
      <c r="AS6" s="1412"/>
      <c r="AT6" s="1412"/>
      <c r="AU6" s="1412"/>
      <c r="AV6" s="1412"/>
      <c r="AW6" s="1412"/>
      <c r="AX6" s="1412"/>
      <c r="AY6" s="1412">
        <v>0</v>
      </c>
      <c r="AZ6" s="1412">
        <v>0</v>
      </c>
      <c r="BA6" s="1412"/>
      <c r="BB6" s="1412"/>
      <c r="BC6" s="1412"/>
      <c r="BD6" s="1412"/>
      <c r="BE6" s="1412">
        <v>0</v>
      </c>
      <c r="BF6" s="1412"/>
      <c r="BG6" s="1412"/>
      <c r="BH6" s="1412"/>
      <c r="BI6" s="1412"/>
      <c r="BJ6" s="1412"/>
      <c r="BK6" s="1412"/>
      <c r="BL6" s="1412">
        <v>0</v>
      </c>
      <c r="BM6" s="1412">
        <v>0</v>
      </c>
      <c r="BN6" s="1412"/>
      <c r="BO6" s="1412"/>
      <c r="BP6" s="1412"/>
      <c r="BQ6" s="1412"/>
      <c r="BR6" s="1412"/>
      <c r="BS6" s="1412"/>
      <c r="BT6" s="1412">
        <v>352573.39</v>
      </c>
      <c r="BU6" s="1412">
        <v>0</v>
      </c>
      <c r="BV6" s="1412"/>
      <c r="BW6" s="1412"/>
      <c r="BX6" s="1412"/>
      <c r="BY6" s="1412"/>
      <c r="BZ6" s="1412">
        <v>352573.39</v>
      </c>
      <c r="CA6" s="1412"/>
      <c r="CB6" s="1412"/>
      <c r="CC6" s="1412">
        <v>14008.13</v>
      </c>
      <c r="CD6" s="1412">
        <v>14008.13</v>
      </c>
      <c r="CE6" s="1412"/>
      <c r="CF6" s="1412">
        <v>14008.13</v>
      </c>
      <c r="CG6" s="1412"/>
      <c r="CH6" s="1412"/>
      <c r="CI6" s="1412"/>
      <c r="CJ6" s="1412">
        <v>0</v>
      </c>
      <c r="CK6" s="1412"/>
      <c r="CL6" s="1412"/>
      <c r="CM6" s="1412"/>
      <c r="CN6" s="1412"/>
      <c r="CO6" s="1412"/>
      <c r="CP6" s="1412"/>
      <c r="CQ6" s="1412">
        <v>10000000</v>
      </c>
      <c r="CR6" s="1412"/>
      <c r="CS6" s="1412">
        <v>10000000</v>
      </c>
      <c r="CT6" s="1412"/>
      <c r="CU6" s="1412">
        <v>55684051</v>
      </c>
      <c r="CV6" s="1412">
        <v>44685758</v>
      </c>
      <c r="CW6" s="1412">
        <v>10998293</v>
      </c>
      <c r="CX6" s="1412"/>
      <c r="CY6" s="1412">
        <v>0</v>
      </c>
      <c r="CZ6" s="1412"/>
      <c r="DA6" s="1412">
        <v>0</v>
      </c>
      <c r="DB6" s="1412"/>
      <c r="DC6" s="1412"/>
      <c r="DD6" s="1412"/>
      <c r="DE6" s="1412">
        <v>0</v>
      </c>
      <c r="DF6" s="1412"/>
      <c r="DG6" s="1412"/>
      <c r="DH6" s="1412"/>
      <c r="DI6" s="1412">
        <v>0</v>
      </c>
      <c r="DJ6" s="1412"/>
      <c r="DK6" s="1412"/>
      <c r="DL6" s="1412"/>
      <c r="DM6" s="1412"/>
      <c r="DN6" s="1412">
        <v>0</v>
      </c>
      <c r="DO6" s="1412"/>
      <c r="DP6" s="1412">
        <v>0</v>
      </c>
      <c r="DQ6" s="1412"/>
      <c r="DR6" s="1412"/>
      <c r="DS6" s="1412"/>
      <c r="DT6" s="1412">
        <v>0</v>
      </c>
      <c r="DU6" s="1412"/>
      <c r="DV6" s="1412"/>
      <c r="DW6" s="1412"/>
      <c r="DX6" s="1412"/>
      <c r="DY6" s="1412">
        <v>2783862</v>
      </c>
      <c r="DZ6" s="1412"/>
      <c r="EA6" s="1412">
        <v>12250</v>
      </c>
      <c r="EB6" s="1412">
        <v>237727</v>
      </c>
      <c r="EC6" s="1412"/>
      <c r="ED6" s="1412">
        <v>2533885</v>
      </c>
      <c r="EE6" s="1412"/>
      <c r="EF6" s="1412"/>
      <c r="EG6" s="1412"/>
      <c r="EH6" s="1412">
        <v>7629127</v>
      </c>
      <c r="EI6" s="1412">
        <v>1026246</v>
      </c>
      <c r="EJ6" s="1412">
        <v>5714364</v>
      </c>
      <c r="EK6" s="1412">
        <v>888517</v>
      </c>
      <c r="EL6" s="1412"/>
      <c r="EM6" s="1412">
        <v>13849378</v>
      </c>
      <c r="EN6" s="1412"/>
      <c r="EO6" s="1412"/>
      <c r="EP6" s="1412"/>
      <c r="EQ6" s="1412"/>
      <c r="ER6" s="1412"/>
      <c r="ES6" s="1412">
        <v>107961546.52</v>
      </c>
    </row>
    <row r="7" spans="4:149" ht="14.4">
      <c r="D7" s="1206"/>
      <c r="E7" s="1208">
        <v>42036</v>
      </c>
      <c r="F7" s="1412"/>
      <c r="G7" s="1363">
        <v>9036</v>
      </c>
      <c r="H7" s="1412"/>
      <c r="I7" s="1412">
        <v>9962904</v>
      </c>
      <c r="J7" s="1412">
        <v>9962904</v>
      </c>
      <c r="K7" s="1412"/>
      <c r="L7" s="1412"/>
      <c r="M7" s="1412">
        <v>3855911</v>
      </c>
      <c r="N7" s="1412">
        <v>3855911</v>
      </c>
      <c r="O7" s="1412">
        <v>3855911</v>
      </c>
      <c r="P7" s="1412"/>
      <c r="Q7" s="1412">
        <v>0</v>
      </c>
      <c r="R7" s="1412"/>
      <c r="S7" s="1412"/>
      <c r="T7" s="1412">
        <v>0</v>
      </c>
      <c r="U7" s="1412"/>
      <c r="V7" s="1412"/>
      <c r="W7" s="1412"/>
      <c r="X7" s="1412">
        <v>0</v>
      </c>
      <c r="Y7" s="1412">
        <v>0</v>
      </c>
      <c r="Z7" s="1412"/>
      <c r="AA7" s="1412"/>
      <c r="AB7" s="1412">
        <v>0</v>
      </c>
      <c r="AC7" s="1412"/>
      <c r="AD7" s="1412"/>
      <c r="AE7" s="1412"/>
      <c r="AF7" s="1412">
        <v>0</v>
      </c>
      <c r="AG7" s="1412"/>
      <c r="AH7" s="1412"/>
      <c r="AI7" s="1412"/>
      <c r="AJ7" s="1412"/>
      <c r="AK7" s="1412">
        <v>0</v>
      </c>
      <c r="AL7" s="1412"/>
      <c r="AM7" s="1412"/>
      <c r="AN7" s="1412"/>
      <c r="AO7" s="1412">
        <v>4185554</v>
      </c>
      <c r="AP7" s="1412">
        <v>3352160</v>
      </c>
      <c r="AQ7" s="1412">
        <v>833394</v>
      </c>
      <c r="AR7" s="1412">
        <v>833394</v>
      </c>
      <c r="AS7" s="1412"/>
      <c r="AT7" s="1412"/>
      <c r="AU7" s="1412"/>
      <c r="AV7" s="1412"/>
      <c r="AW7" s="1412"/>
      <c r="AX7" s="1412"/>
      <c r="AY7" s="1412">
        <v>0</v>
      </c>
      <c r="AZ7" s="1412">
        <v>0</v>
      </c>
      <c r="BA7" s="1412"/>
      <c r="BB7" s="1412"/>
      <c r="BC7" s="1412"/>
      <c r="BD7" s="1412"/>
      <c r="BE7" s="1412">
        <v>0</v>
      </c>
      <c r="BF7" s="1412"/>
      <c r="BG7" s="1412"/>
      <c r="BH7" s="1412"/>
      <c r="BI7" s="1412"/>
      <c r="BJ7" s="1412"/>
      <c r="BK7" s="1412"/>
      <c r="BL7" s="1412">
        <v>0</v>
      </c>
      <c r="BM7" s="1412">
        <v>0</v>
      </c>
      <c r="BN7" s="1412"/>
      <c r="BO7" s="1412"/>
      <c r="BP7" s="1412"/>
      <c r="BQ7" s="1412"/>
      <c r="BR7" s="1412"/>
      <c r="BS7" s="1412"/>
      <c r="BT7" s="1412">
        <v>266163.88</v>
      </c>
      <c r="BU7" s="1412">
        <v>0</v>
      </c>
      <c r="BV7" s="1412"/>
      <c r="BW7" s="1412"/>
      <c r="BX7" s="1412"/>
      <c r="BY7" s="1412"/>
      <c r="BZ7" s="1412">
        <v>266163.88</v>
      </c>
      <c r="CA7" s="1412"/>
      <c r="CB7" s="1412"/>
      <c r="CC7" s="1412">
        <v>61720.27</v>
      </c>
      <c r="CD7" s="1412">
        <v>61720.27</v>
      </c>
      <c r="CE7" s="1412"/>
      <c r="CF7" s="1412">
        <v>61720.27</v>
      </c>
      <c r="CG7" s="1412"/>
      <c r="CH7" s="1412"/>
      <c r="CI7" s="1412"/>
      <c r="CJ7" s="1412">
        <v>0</v>
      </c>
      <c r="CK7" s="1412"/>
      <c r="CL7" s="1412"/>
      <c r="CM7" s="1412"/>
      <c r="CN7" s="1412"/>
      <c r="CO7" s="1412"/>
      <c r="CP7" s="1412"/>
      <c r="CQ7" s="1412">
        <v>13000000</v>
      </c>
      <c r="CR7" s="1412"/>
      <c r="CS7" s="1412">
        <v>13000000</v>
      </c>
      <c r="CT7" s="1412"/>
      <c r="CU7" s="1412">
        <v>56230707</v>
      </c>
      <c r="CV7" s="1412">
        <v>45475877</v>
      </c>
      <c r="CW7" s="1412">
        <v>10754830</v>
      </c>
      <c r="CX7" s="1412"/>
      <c r="CY7" s="1412">
        <v>0</v>
      </c>
      <c r="CZ7" s="1412"/>
      <c r="DA7" s="1412">
        <v>0</v>
      </c>
      <c r="DB7" s="1412"/>
      <c r="DC7" s="1412"/>
      <c r="DD7" s="1412"/>
      <c r="DE7" s="1412">
        <v>0</v>
      </c>
      <c r="DF7" s="1412"/>
      <c r="DG7" s="1412"/>
      <c r="DH7" s="1412"/>
      <c r="DI7" s="1412">
        <v>0</v>
      </c>
      <c r="DJ7" s="1412"/>
      <c r="DK7" s="1412"/>
      <c r="DL7" s="1412"/>
      <c r="DM7" s="1412"/>
      <c r="DN7" s="1412">
        <v>0</v>
      </c>
      <c r="DO7" s="1412"/>
      <c r="DP7" s="1412">
        <v>0</v>
      </c>
      <c r="DQ7" s="1412"/>
      <c r="DR7" s="1412"/>
      <c r="DS7" s="1412"/>
      <c r="DT7" s="1412">
        <v>0</v>
      </c>
      <c r="DU7" s="1412"/>
      <c r="DV7" s="1412"/>
      <c r="DW7" s="1412"/>
      <c r="DX7" s="1412"/>
      <c r="DY7" s="1412">
        <v>2809130</v>
      </c>
      <c r="DZ7" s="1412"/>
      <c r="EA7" s="1412">
        <v>12858</v>
      </c>
      <c r="EB7" s="1412">
        <v>234756</v>
      </c>
      <c r="EC7" s="1412"/>
      <c r="ED7" s="1412">
        <v>2561516</v>
      </c>
      <c r="EE7" s="1412"/>
      <c r="EF7" s="1412"/>
      <c r="EG7" s="1412"/>
      <c r="EH7" s="1412">
        <v>7527364</v>
      </c>
      <c r="EI7" s="1412">
        <v>1024572</v>
      </c>
      <c r="EJ7" s="1412">
        <v>5638886</v>
      </c>
      <c r="EK7" s="1412">
        <v>863906</v>
      </c>
      <c r="EL7" s="1412"/>
      <c r="EM7" s="1412">
        <v>15214446</v>
      </c>
      <c r="EN7" s="1412"/>
      <c r="EO7" s="1412"/>
      <c r="EP7" s="1412"/>
      <c r="EQ7" s="1412"/>
      <c r="ER7" s="1412"/>
      <c r="ES7" s="1412">
        <v>113122936.15000001</v>
      </c>
    </row>
    <row r="8" spans="4:149" ht="14.4">
      <c r="D8" s="1206"/>
      <c r="E8" s="1208">
        <v>42064</v>
      </c>
      <c r="F8" s="1412"/>
      <c r="G8" s="1363">
        <v>6105</v>
      </c>
      <c r="H8" s="1412"/>
      <c r="I8" s="1412">
        <v>10793016</v>
      </c>
      <c r="J8" s="1412">
        <v>10793016</v>
      </c>
      <c r="K8" s="1412"/>
      <c r="L8" s="1412"/>
      <c r="M8" s="1412">
        <v>5113908</v>
      </c>
      <c r="N8" s="1412">
        <v>5113908</v>
      </c>
      <c r="O8" s="1412">
        <v>5113908</v>
      </c>
      <c r="P8" s="1412"/>
      <c r="Q8" s="1412">
        <v>0</v>
      </c>
      <c r="R8" s="1412"/>
      <c r="S8" s="1412"/>
      <c r="T8" s="1412">
        <v>0</v>
      </c>
      <c r="U8" s="1412"/>
      <c r="V8" s="1412"/>
      <c r="W8" s="1412"/>
      <c r="X8" s="1412">
        <v>0</v>
      </c>
      <c r="Y8" s="1412">
        <v>0</v>
      </c>
      <c r="Z8" s="1412"/>
      <c r="AA8" s="1412"/>
      <c r="AB8" s="1412">
        <v>0</v>
      </c>
      <c r="AC8" s="1412"/>
      <c r="AD8" s="1412"/>
      <c r="AE8" s="1412"/>
      <c r="AF8" s="1412">
        <v>0</v>
      </c>
      <c r="AG8" s="1412"/>
      <c r="AH8" s="1412"/>
      <c r="AI8" s="1412"/>
      <c r="AJ8" s="1412"/>
      <c r="AK8" s="1412">
        <v>0</v>
      </c>
      <c r="AL8" s="1412"/>
      <c r="AM8" s="1412"/>
      <c r="AN8" s="1412"/>
      <c r="AO8" s="1412">
        <v>3064824</v>
      </c>
      <c r="AP8" s="1412">
        <v>1771838</v>
      </c>
      <c r="AQ8" s="1412">
        <v>1292986</v>
      </c>
      <c r="AR8" s="1412">
        <v>1292986</v>
      </c>
      <c r="AS8" s="1412"/>
      <c r="AT8" s="1412"/>
      <c r="AU8" s="1412"/>
      <c r="AV8" s="1412"/>
      <c r="AW8" s="1412"/>
      <c r="AX8" s="1412"/>
      <c r="AY8" s="1412">
        <v>7516043</v>
      </c>
      <c r="AZ8" s="1412">
        <v>0</v>
      </c>
      <c r="BA8" s="1412"/>
      <c r="BB8" s="1412"/>
      <c r="BC8" s="1412"/>
      <c r="BD8" s="1412">
        <v>7516043</v>
      </c>
      <c r="BE8" s="1412">
        <v>0</v>
      </c>
      <c r="BF8" s="1412"/>
      <c r="BG8" s="1412"/>
      <c r="BH8" s="1412"/>
      <c r="BI8" s="1412"/>
      <c r="BJ8" s="1412"/>
      <c r="BK8" s="1412"/>
      <c r="BL8" s="1412">
        <v>0</v>
      </c>
      <c r="BM8" s="1412">
        <v>0</v>
      </c>
      <c r="BN8" s="1412"/>
      <c r="BO8" s="1412"/>
      <c r="BP8" s="1412"/>
      <c r="BQ8" s="1412"/>
      <c r="BR8" s="1412"/>
      <c r="BS8" s="1412"/>
      <c r="BT8" s="1412">
        <v>178899.51</v>
      </c>
      <c r="BU8" s="1412">
        <v>0</v>
      </c>
      <c r="BV8" s="1412"/>
      <c r="BW8" s="1412"/>
      <c r="BX8" s="1412"/>
      <c r="BY8" s="1412"/>
      <c r="BZ8" s="1412">
        <v>178899.51</v>
      </c>
      <c r="CA8" s="1412"/>
      <c r="CB8" s="1412"/>
      <c r="CC8" s="1412">
        <v>177173.39</v>
      </c>
      <c r="CD8" s="1412">
        <v>177173.39</v>
      </c>
      <c r="CE8" s="1412"/>
      <c r="CF8" s="1412">
        <v>177173.39</v>
      </c>
      <c r="CG8" s="1412"/>
      <c r="CH8" s="1412"/>
      <c r="CI8" s="1412"/>
      <c r="CJ8" s="1412">
        <v>0</v>
      </c>
      <c r="CK8" s="1412"/>
      <c r="CL8" s="1412"/>
      <c r="CM8" s="1412"/>
      <c r="CN8" s="1412"/>
      <c r="CO8" s="1412"/>
      <c r="CP8" s="1412"/>
      <c r="CQ8" s="1412">
        <v>10000000</v>
      </c>
      <c r="CR8" s="1412"/>
      <c r="CS8" s="1412">
        <v>10000000</v>
      </c>
      <c r="CT8" s="1412"/>
      <c r="CU8" s="1412">
        <v>58235143</v>
      </c>
      <c r="CV8" s="1412">
        <v>46946046</v>
      </c>
      <c r="CW8" s="1412">
        <v>11289097</v>
      </c>
      <c r="CX8" s="1412"/>
      <c r="CY8" s="1412">
        <v>0</v>
      </c>
      <c r="CZ8" s="1412"/>
      <c r="DA8" s="1412">
        <v>0</v>
      </c>
      <c r="DB8" s="1412"/>
      <c r="DC8" s="1412"/>
      <c r="DD8" s="1412"/>
      <c r="DE8" s="1412">
        <v>0</v>
      </c>
      <c r="DF8" s="1412"/>
      <c r="DG8" s="1412"/>
      <c r="DH8" s="1412"/>
      <c r="DI8" s="1412">
        <v>0</v>
      </c>
      <c r="DJ8" s="1412"/>
      <c r="DK8" s="1412"/>
      <c r="DL8" s="1412"/>
      <c r="DM8" s="1412"/>
      <c r="DN8" s="1412">
        <v>0</v>
      </c>
      <c r="DO8" s="1412"/>
      <c r="DP8" s="1412">
        <v>0</v>
      </c>
      <c r="DQ8" s="1412"/>
      <c r="DR8" s="1412"/>
      <c r="DS8" s="1412"/>
      <c r="DT8" s="1412">
        <v>0</v>
      </c>
      <c r="DU8" s="1412"/>
      <c r="DV8" s="1412"/>
      <c r="DW8" s="1412"/>
      <c r="DX8" s="1412"/>
      <c r="DY8" s="1412">
        <v>2144582</v>
      </c>
      <c r="DZ8" s="1412"/>
      <c r="EA8" s="1412">
        <v>11034</v>
      </c>
      <c r="EB8" s="1412">
        <v>249614</v>
      </c>
      <c r="EC8" s="1412"/>
      <c r="ED8" s="1412">
        <v>1883934</v>
      </c>
      <c r="EE8" s="1412"/>
      <c r="EF8" s="1412"/>
      <c r="EG8" s="1412"/>
      <c r="EH8" s="1412">
        <v>7420019</v>
      </c>
      <c r="EI8" s="1412">
        <v>1022898</v>
      </c>
      <c r="EJ8" s="1412">
        <v>5557826</v>
      </c>
      <c r="EK8" s="1412">
        <v>839295</v>
      </c>
      <c r="EL8" s="1412"/>
      <c r="EM8" s="1412">
        <v>15332310</v>
      </c>
      <c r="EN8" s="1412"/>
      <c r="EO8" s="1412"/>
      <c r="EP8" s="1412"/>
      <c r="EQ8" s="1412"/>
      <c r="ER8" s="1412"/>
      <c r="ES8" s="1412">
        <v>119982022.90000001</v>
      </c>
    </row>
    <row r="9" spans="4:149" ht="14.4">
      <c r="D9" s="1206"/>
      <c r="E9" s="1208">
        <v>42095</v>
      </c>
      <c r="F9" s="1412"/>
      <c r="G9" s="1363">
        <v>48919</v>
      </c>
      <c r="H9" s="1412"/>
      <c r="I9" s="1412">
        <v>11965850</v>
      </c>
      <c r="J9" s="1412">
        <v>11965850</v>
      </c>
      <c r="K9" s="1412"/>
      <c r="L9" s="1412"/>
      <c r="M9" s="1412">
        <v>125195</v>
      </c>
      <c r="N9" s="1412">
        <v>125195</v>
      </c>
      <c r="O9" s="1412">
        <v>125195</v>
      </c>
      <c r="P9" s="1412"/>
      <c r="Q9" s="1412">
        <v>0</v>
      </c>
      <c r="R9" s="1412"/>
      <c r="S9" s="1412"/>
      <c r="T9" s="1412">
        <v>0</v>
      </c>
      <c r="U9" s="1412"/>
      <c r="V9" s="1412"/>
      <c r="W9" s="1412"/>
      <c r="X9" s="1412">
        <v>0</v>
      </c>
      <c r="Y9" s="1412">
        <v>0</v>
      </c>
      <c r="Z9" s="1412"/>
      <c r="AA9" s="1412"/>
      <c r="AB9" s="1412">
        <v>0</v>
      </c>
      <c r="AC9" s="1412"/>
      <c r="AD9" s="1412"/>
      <c r="AE9" s="1412"/>
      <c r="AF9" s="1412">
        <v>0</v>
      </c>
      <c r="AG9" s="1412"/>
      <c r="AH9" s="1412"/>
      <c r="AI9" s="1412"/>
      <c r="AJ9" s="1412"/>
      <c r="AK9" s="1412">
        <v>0</v>
      </c>
      <c r="AL9" s="1412"/>
      <c r="AM9" s="1412"/>
      <c r="AN9" s="1412"/>
      <c r="AO9" s="1412">
        <v>4689375</v>
      </c>
      <c r="AP9" s="1412">
        <v>4112071</v>
      </c>
      <c r="AQ9" s="1412">
        <v>577304</v>
      </c>
      <c r="AR9" s="1412">
        <v>577304</v>
      </c>
      <c r="AS9" s="1412"/>
      <c r="AT9" s="1412"/>
      <c r="AU9" s="1412"/>
      <c r="AV9" s="1412"/>
      <c r="AW9" s="1412"/>
      <c r="AX9" s="1412"/>
      <c r="AY9" s="1412">
        <v>7516043</v>
      </c>
      <c r="AZ9" s="1412">
        <v>0</v>
      </c>
      <c r="BA9" s="1412"/>
      <c r="BB9" s="1412"/>
      <c r="BC9" s="1412"/>
      <c r="BD9" s="1412">
        <v>7516043</v>
      </c>
      <c r="BE9" s="1412">
        <v>0</v>
      </c>
      <c r="BF9" s="1412"/>
      <c r="BG9" s="1412"/>
      <c r="BH9" s="1412"/>
      <c r="BI9" s="1412"/>
      <c r="BJ9" s="1412"/>
      <c r="BK9" s="1412"/>
      <c r="BL9" s="1412">
        <v>0</v>
      </c>
      <c r="BM9" s="1412">
        <v>0</v>
      </c>
      <c r="BN9" s="1412"/>
      <c r="BO9" s="1412"/>
      <c r="BP9" s="1412"/>
      <c r="BQ9" s="1412"/>
      <c r="BR9" s="1412"/>
      <c r="BS9" s="1412"/>
      <c r="BT9" s="1412">
        <v>90331.3</v>
      </c>
      <c r="BU9" s="1412">
        <v>0</v>
      </c>
      <c r="BV9" s="1412"/>
      <c r="BW9" s="1412"/>
      <c r="BX9" s="1412"/>
      <c r="BY9" s="1412"/>
      <c r="BZ9" s="1412">
        <v>90331.3</v>
      </c>
      <c r="CA9" s="1412"/>
      <c r="CB9" s="1412"/>
      <c r="CC9" s="1412">
        <v>198310.07</v>
      </c>
      <c r="CD9" s="1412">
        <v>198310.07</v>
      </c>
      <c r="CE9" s="1412"/>
      <c r="CF9" s="1412">
        <v>198310.07</v>
      </c>
      <c r="CG9" s="1412"/>
      <c r="CH9" s="1412"/>
      <c r="CI9" s="1412"/>
      <c r="CJ9" s="1412">
        <v>0</v>
      </c>
      <c r="CK9" s="1412"/>
      <c r="CL9" s="1412"/>
      <c r="CM9" s="1412"/>
      <c r="CN9" s="1412"/>
      <c r="CO9" s="1412"/>
      <c r="CP9" s="1412"/>
      <c r="CQ9" s="1412">
        <v>7000000</v>
      </c>
      <c r="CR9" s="1412"/>
      <c r="CS9" s="1412">
        <v>7000000</v>
      </c>
      <c r="CT9" s="1412"/>
      <c r="CU9" s="1412">
        <v>59171970</v>
      </c>
      <c r="CV9" s="1412">
        <v>48995881</v>
      </c>
      <c r="CW9" s="1412">
        <v>10176089</v>
      </c>
      <c r="CX9" s="1412"/>
      <c r="CY9" s="1412">
        <v>0</v>
      </c>
      <c r="CZ9" s="1412"/>
      <c r="DA9" s="1412">
        <v>0</v>
      </c>
      <c r="DB9" s="1412"/>
      <c r="DC9" s="1412"/>
      <c r="DD9" s="1412"/>
      <c r="DE9" s="1412">
        <v>0</v>
      </c>
      <c r="DF9" s="1412"/>
      <c r="DG9" s="1412"/>
      <c r="DH9" s="1412"/>
      <c r="DI9" s="1412">
        <v>0</v>
      </c>
      <c r="DJ9" s="1412"/>
      <c r="DK9" s="1412"/>
      <c r="DL9" s="1412"/>
      <c r="DM9" s="1412"/>
      <c r="DN9" s="1412">
        <v>0</v>
      </c>
      <c r="DO9" s="1412"/>
      <c r="DP9" s="1412">
        <v>0</v>
      </c>
      <c r="DQ9" s="1412"/>
      <c r="DR9" s="1412"/>
      <c r="DS9" s="1412"/>
      <c r="DT9" s="1412">
        <v>0</v>
      </c>
      <c r="DU9" s="1412"/>
      <c r="DV9" s="1412"/>
      <c r="DW9" s="1412"/>
      <c r="DX9" s="1412"/>
      <c r="DY9" s="1412">
        <v>2229083</v>
      </c>
      <c r="DZ9" s="1412"/>
      <c r="EA9" s="1412">
        <v>11338</v>
      </c>
      <c r="EB9" s="1412">
        <v>248623</v>
      </c>
      <c r="EC9" s="1412"/>
      <c r="ED9" s="1412">
        <v>1969122</v>
      </c>
      <c r="EE9" s="1412"/>
      <c r="EF9" s="1412"/>
      <c r="EG9" s="1412"/>
      <c r="EH9" s="1412">
        <v>7333522</v>
      </c>
      <c r="EI9" s="1412">
        <v>1021224</v>
      </c>
      <c r="EJ9" s="1412">
        <v>5497614</v>
      </c>
      <c r="EK9" s="1412">
        <v>814684</v>
      </c>
      <c r="EL9" s="1412"/>
      <c r="EM9" s="1412">
        <v>16060760</v>
      </c>
      <c r="EN9" s="1412"/>
      <c r="EO9" s="1412"/>
      <c r="EP9" s="1412"/>
      <c r="EQ9" s="1412"/>
      <c r="ER9" s="1412"/>
      <c r="ES9" s="1412">
        <v>116429358.37</v>
      </c>
    </row>
    <row r="10" spans="4:149" ht="14.4">
      <c r="D10" s="1206"/>
      <c r="E10" s="1208">
        <v>42125</v>
      </c>
      <c r="F10" s="1412"/>
      <c r="G10" s="1363">
        <v>17480</v>
      </c>
      <c r="H10" s="1412"/>
      <c r="I10" s="1412">
        <v>5731487</v>
      </c>
      <c r="J10" s="1412">
        <v>5731487</v>
      </c>
      <c r="K10" s="1412"/>
      <c r="L10" s="1412"/>
      <c r="M10" s="1412">
        <v>242270</v>
      </c>
      <c r="N10" s="1412">
        <v>242270</v>
      </c>
      <c r="O10" s="1412">
        <v>242270</v>
      </c>
      <c r="P10" s="1412"/>
      <c r="Q10" s="1412">
        <v>0</v>
      </c>
      <c r="R10" s="1412"/>
      <c r="S10" s="1412"/>
      <c r="T10" s="1412">
        <v>0</v>
      </c>
      <c r="U10" s="1412"/>
      <c r="V10" s="1412"/>
      <c r="W10" s="1412"/>
      <c r="X10" s="1412">
        <v>0</v>
      </c>
      <c r="Y10" s="1412">
        <v>0</v>
      </c>
      <c r="Z10" s="1412"/>
      <c r="AA10" s="1412"/>
      <c r="AB10" s="1412">
        <v>0</v>
      </c>
      <c r="AC10" s="1412"/>
      <c r="AD10" s="1412"/>
      <c r="AE10" s="1412"/>
      <c r="AF10" s="1412">
        <v>0</v>
      </c>
      <c r="AG10" s="1412"/>
      <c r="AH10" s="1412"/>
      <c r="AI10" s="1412"/>
      <c r="AJ10" s="1412"/>
      <c r="AK10" s="1412">
        <v>0</v>
      </c>
      <c r="AL10" s="1412"/>
      <c r="AM10" s="1412"/>
      <c r="AN10" s="1412"/>
      <c r="AO10" s="1412">
        <v>8425789</v>
      </c>
      <c r="AP10" s="1412">
        <v>7670996</v>
      </c>
      <c r="AQ10" s="1412">
        <v>754793</v>
      </c>
      <c r="AR10" s="1412">
        <v>754793</v>
      </c>
      <c r="AS10" s="1412"/>
      <c r="AT10" s="1412"/>
      <c r="AU10" s="1412"/>
      <c r="AV10" s="1412"/>
      <c r="AW10" s="1412"/>
      <c r="AX10" s="1412"/>
      <c r="AY10" s="1412">
        <v>8116043</v>
      </c>
      <c r="AZ10" s="1412">
        <v>0</v>
      </c>
      <c r="BA10" s="1412"/>
      <c r="BB10" s="1412"/>
      <c r="BC10" s="1412"/>
      <c r="BD10" s="1412">
        <v>8116043</v>
      </c>
      <c r="BE10" s="1412">
        <v>0</v>
      </c>
      <c r="BF10" s="1412"/>
      <c r="BG10" s="1412"/>
      <c r="BH10" s="1412"/>
      <c r="BI10" s="1412"/>
      <c r="BJ10" s="1412"/>
      <c r="BK10" s="1412"/>
      <c r="BL10" s="1412">
        <v>0</v>
      </c>
      <c r="BM10" s="1412">
        <v>0</v>
      </c>
      <c r="BN10" s="1412"/>
      <c r="BO10" s="1412"/>
      <c r="BP10" s="1412"/>
      <c r="BQ10" s="1412"/>
      <c r="BR10" s="1412"/>
      <c r="BS10" s="1412"/>
      <c r="BT10" s="1412">
        <v>0</v>
      </c>
      <c r="BU10" s="1412">
        <v>0</v>
      </c>
      <c r="BV10" s="1412"/>
      <c r="BW10" s="1412"/>
      <c r="BX10" s="1412"/>
      <c r="BY10" s="1412"/>
      <c r="BZ10" s="1412">
        <v>0</v>
      </c>
      <c r="CA10" s="1412"/>
      <c r="CB10" s="1412"/>
      <c r="CC10" s="1412">
        <v>199090.14</v>
      </c>
      <c r="CD10" s="1412">
        <v>199090.14</v>
      </c>
      <c r="CE10" s="1412"/>
      <c r="CF10" s="1412">
        <v>199090.14</v>
      </c>
      <c r="CG10" s="1412"/>
      <c r="CH10" s="1412"/>
      <c r="CI10" s="1412"/>
      <c r="CJ10" s="1412">
        <v>0</v>
      </c>
      <c r="CK10" s="1412"/>
      <c r="CL10" s="1412"/>
      <c r="CM10" s="1412"/>
      <c r="CN10" s="1412"/>
      <c r="CO10" s="1412"/>
      <c r="CP10" s="1412"/>
      <c r="CQ10" s="1412">
        <v>7000143</v>
      </c>
      <c r="CR10" s="1412"/>
      <c r="CS10" s="1412">
        <v>7000143</v>
      </c>
      <c r="CT10" s="1412"/>
      <c r="CU10" s="1412">
        <v>60637440</v>
      </c>
      <c r="CV10" s="1412">
        <v>50728453</v>
      </c>
      <c r="CW10" s="1412">
        <v>9908987</v>
      </c>
      <c r="CX10" s="1412"/>
      <c r="CY10" s="1412">
        <v>0</v>
      </c>
      <c r="CZ10" s="1412"/>
      <c r="DA10" s="1412">
        <v>0</v>
      </c>
      <c r="DB10" s="1412"/>
      <c r="DC10" s="1412"/>
      <c r="DD10" s="1412"/>
      <c r="DE10" s="1412">
        <v>0</v>
      </c>
      <c r="DF10" s="1412"/>
      <c r="DG10" s="1412"/>
      <c r="DH10" s="1412"/>
      <c r="DI10" s="1412">
        <v>0</v>
      </c>
      <c r="DJ10" s="1412"/>
      <c r="DK10" s="1412"/>
      <c r="DL10" s="1412"/>
      <c r="DM10" s="1412"/>
      <c r="DN10" s="1412">
        <v>0</v>
      </c>
      <c r="DO10" s="1412"/>
      <c r="DP10" s="1412">
        <v>0</v>
      </c>
      <c r="DQ10" s="1412"/>
      <c r="DR10" s="1412"/>
      <c r="DS10" s="1412"/>
      <c r="DT10" s="1412">
        <v>0</v>
      </c>
      <c r="DU10" s="1412"/>
      <c r="DV10" s="1412"/>
      <c r="DW10" s="1412"/>
      <c r="DX10" s="1412"/>
      <c r="DY10" s="1412">
        <v>2243984</v>
      </c>
      <c r="DZ10" s="1412"/>
      <c r="EA10" s="1412">
        <v>11338</v>
      </c>
      <c r="EB10" s="1412">
        <v>254200</v>
      </c>
      <c r="EC10" s="1412"/>
      <c r="ED10" s="1412">
        <v>1952179</v>
      </c>
      <c r="EE10" s="1412">
        <v>26267</v>
      </c>
      <c r="EF10" s="1412"/>
      <c r="EG10" s="1412"/>
      <c r="EH10" s="1412">
        <v>7269059</v>
      </c>
      <c r="EI10" s="1412">
        <v>1019550</v>
      </c>
      <c r="EJ10" s="1412">
        <v>5459436</v>
      </c>
      <c r="EK10" s="1412">
        <v>790073</v>
      </c>
      <c r="EL10" s="1412"/>
      <c r="EM10" s="1412">
        <v>7682238</v>
      </c>
      <c r="EN10" s="1412"/>
      <c r="EO10" s="1412"/>
      <c r="EP10" s="1412"/>
      <c r="EQ10" s="1412"/>
      <c r="ER10" s="1412"/>
      <c r="ES10" s="1412">
        <v>107565023.14</v>
      </c>
    </row>
    <row r="11" spans="4:149" ht="14.4">
      <c r="D11" s="1206"/>
      <c r="E11" s="1208">
        <v>42156</v>
      </c>
      <c r="F11" s="1412"/>
      <c r="G11" s="1363">
        <v>56311</v>
      </c>
      <c r="H11" s="1412"/>
      <c r="I11" s="1412">
        <v>9629797</v>
      </c>
      <c r="J11" s="1412">
        <v>9629797</v>
      </c>
      <c r="K11" s="1412"/>
      <c r="L11" s="1412"/>
      <c r="M11" s="1412">
        <v>187011</v>
      </c>
      <c r="N11" s="1412">
        <v>187011</v>
      </c>
      <c r="O11" s="1412">
        <v>187011</v>
      </c>
      <c r="P11" s="1412"/>
      <c r="Q11" s="1412">
        <v>0</v>
      </c>
      <c r="R11" s="1412"/>
      <c r="S11" s="1412"/>
      <c r="T11" s="1412">
        <v>0</v>
      </c>
      <c r="U11" s="1412"/>
      <c r="V11" s="1412"/>
      <c r="W11" s="1412"/>
      <c r="X11" s="1412">
        <v>0</v>
      </c>
      <c r="Y11" s="1412">
        <v>0</v>
      </c>
      <c r="Z11" s="1412"/>
      <c r="AA11" s="1412"/>
      <c r="AB11" s="1412">
        <v>0</v>
      </c>
      <c r="AC11" s="1412"/>
      <c r="AD11" s="1412"/>
      <c r="AE11" s="1412"/>
      <c r="AF11" s="1412">
        <v>0</v>
      </c>
      <c r="AG11" s="1412"/>
      <c r="AH11" s="1412"/>
      <c r="AI11" s="1412"/>
      <c r="AJ11" s="1412"/>
      <c r="AK11" s="1412">
        <v>0</v>
      </c>
      <c r="AL11" s="1412"/>
      <c r="AM11" s="1412"/>
      <c r="AN11" s="1412"/>
      <c r="AO11" s="1412">
        <v>7940677</v>
      </c>
      <c r="AP11" s="1412">
        <v>7307135</v>
      </c>
      <c r="AQ11" s="1412">
        <v>633542</v>
      </c>
      <c r="AR11" s="1412">
        <v>633542</v>
      </c>
      <c r="AS11" s="1412"/>
      <c r="AT11" s="1412"/>
      <c r="AU11" s="1412"/>
      <c r="AV11" s="1412"/>
      <c r="AW11" s="1412"/>
      <c r="AX11" s="1412"/>
      <c r="AY11" s="1412">
        <v>8116043</v>
      </c>
      <c r="AZ11" s="1412">
        <v>0</v>
      </c>
      <c r="BA11" s="1412"/>
      <c r="BB11" s="1412"/>
      <c r="BC11" s="1412"/>
      <c r="BD11" s="1412">
        <v>8116043</v>
      </c>
      <c r="BE11" s="1412">
        <v>0</v>
      </c>
      <c r="BF11" s="1412"/>
      <c r="BG11" s="1412"/>
      <c r="BH11" s="1412"/>
      <c r="BI11" s="1412"/>
      <c r="BJ11" s="1412"/>
      <c r="BK11" s="1412"/>
      <c r="BL11" s="1412">
        <v>0</v>
      </c>
      <c r="BM11" s="1412">
        <v>0</v>
      </c>
      <c r="BN11" s="1412"/>
      <c r="BO11" s="1412"/>
      <c r="BP11" s="1412"/>
      <c r="BQ11" s="1412"/>
      <c r="BR11" s="1412"/>
      <c r="BS11" s="1412"/>
      <c r="BT11" s="1412">
        <v>0</v>
      </c>
      <c r="BU11" s="1412">
        <v>0</v>
      </c>
      <c r="BV11" s="1412"/>
      <c r="BW11" s="1412"/>
      <c r="BX11" s="1412"/>
      <c r="BY11" s="1412"/>
      <c r="BZ11" s="1412">
        <v>0</v>
      </c>
      <c r="CA11" s="1412"/>
      <c r="CB11" s="1412"/>
      <c r="CC11" s="1412">
        <v>200128</v>
      </c>
      <c r="CD11" s="1412">
        <v>200128</v>
      </c>
      <c r="CE11" s="1412"/>
      <c r="CF11" s="1412">
        <v>200128</v>
      </c>
      <c r="CG11" s="1412"/>
      <c r="CH11" s="1412"/>
      <c r="CI11" s="1412"/>
      <c r="CJ11" s="1412">
        <v>0</v>
      </c>
      <c r="CK11" s="1412"/>
      <c r="CL11" s="1412"/>
      <c r="CM11" s="1412"/>
      <c r="CN11" s="1412"/>
      <c r="CO11" s="1412"/>
      <c r="CP11" s="1412"/>
      <c r="CQ11" s="1412">
        <v>9000000</v>
      </c>
      <c r="CR11" s="1412"/>
      <c r="CS11" s="1412">
        <v>9000000</v>
      </c>
      <c r="CT11" s="1412"/>
      <c r="CU11" s="1412">
        <v>61527239</v>
      </c>
      <c r="CV11" s="1412">
        <v>51717672</v>
      </c>
      <c r="CW11" s="1412">
        <v>9809567</v>
      </c>
      <c r="CX11" s="1412"/>
      <c r="CY11" s="1412">
        <v>0</v>
      </c>
      <c r="CZ11" s="1412"/>
      <c r="DA11" s="1412">
        <v>0</v>
      </c>
      <c r="DB11" s="1412"/>
      <c r="DC11" s="1412"/>
      <c r="DD11" s="1412"/>
      <c r="DE11" s="1412">
        <v>0</v>
      </c>
      <c r="DF11" s="1412"/>
      <c r="DG11" s="1412"/>
      <c r="DH11" s="1412"/>
      <c r="DI11" s="1412">
        <v>0</v>
      </c>
      <c r="DJ11" s="1412"/>
      <c r="DK11" s="1412"/>
      <c r="DL11" s="1412"/>
      <c r="DM11" s="1412"/>
      <c r="DN11" s="1412">
        <v>0</v>
      </c>
      <c r="DO11" s="1412"/>
      <c r="DP11" s="1412">
        <v>0</v>
      </c>
      <c r="DQ11" s="1412"/>
      <c r="DR11" s="1412"/>
      <c r="DS11" s="1412"/>
      <c r="DT11" s="1412">
        <v>0</v>
      </c>
      <c r="DU11" s="1412"/>
      <c r="DV11" s="1412"/>
      <c r="DW11" s="1412"/>
      <c r="DX11" s="1412"/>
      <c r="DY11" s="1412">
        <v>2207014</v>
      </c>
      <c r="DZ11" s="1412"/>
      <c r="EA11" s="1412">
        <v>11338</v>
      </c>
      <c r="EB11" s="1412">
        <v>267443</v>
      </c>
      <c r="EC11" s="1412"/>
      <c r="ED11" s="1412">
        <v>1901399</v>
      </c>
      <c r="EE11" s="1412">
        <v>26834</v>
      </c>
      <c r="EF11" s="1412"/>
      <c r="EG11" s="1412"/>
      <c r="EH11" s="1412">
        <v>7669788</v>
      </c>
      <c r="EI11" s="1412">
        <v>1316219</v>
      </c>
      <c r="EJ11" s="1412">
        <v>5535160</v>
      </c>
      <c r="EK11" s="1412">
        <v>818409</v>
      </c>
      <c r="EL11" s="1412"/>
      <c r="EM11" s="1412">
        <v>16075465</v>
      </c>
      <c r="EN11" s="1412"/>
      <c r="EO11" s="1412"/>
      <c r="EP11" s="1412"/>
      <c r="EQ11" s="1412"/>
      <c r="ER11" s="1412"/>
      <c r="ES11" s="1412">
        <v>122609473</v>
      </c>
    </row>
    <row r="12" spans="4:149" ht="14.4">
      <c r="D12" s="1206"/>
      <c r="E12" s="1208">
        <v>42186</v>
      </c>
      <c r="F12" s="1412"/>
      <c r="G12" s="1363">
        <v>19803</v>
      </c>
      <c r="H12" s="1412"/>
      <c r="I12" s="1412">
        <v>3991073</v>
      </c>
      <c r="J12" s="1412">
        <v>3991073</v>
      </c>
      <c r="K12" s="1412"/>
      <c r="L12" s="1412"/>
      <c r="M12" s="1412">
        <v>101479</v>
      </c>
      <c r="N12" s="1412">
        <v>101479</v>
      </c>
      <c r="O12" s="1412">
        <v>101479</v>
      </c>
      <c r="P12" s="1412"/>
      <c r="Q12" s="1412">
        <v>0</v>
      </c>
      <c r="R12" s="1412"/>
      <c r="S12" s="1412"/>
      <c r="T12" s="1412">
        <v>0</v>
      </c>
      <c r="U12" s="1412"/>
      <c r="V12" s="1412"/>
      <c r="W12" s="1412"/>
      <c r="X12" s="1412">
        <v>0</v>
      </c>
      <c r="Y12" s="1412">
        <v>0</v>
      </c>
      <c r="Z12" s="1412"/>
      <c r="AA12" s="1412"/>
      <c r="AB12" s="1412">
        <v>0</v>
      </c>
      <c r="AC12" s="1412"/>
      <c r="AD12" s="1412"/>
      <c r="AE12" s="1412"/>
      <c r="AF12" s="1412">
        <v>0</v>
      </c>
      <c r="AG12" s="1412"/>
      <c r="AH12" s="1412"/>
      <c r="AI12" s="1412"/>
      <c r="AJ12" s="1412"/>
      <c r="AK12" s="1412">
        <v>0</v>
      </c>
      <c r="AL12" s="1412"/>
      <c r="AM12" s="1412"/>
      <c r="AN12" s="1412"/>
      <c r="AO12" s="1412">
        <v>6624672</v>
      </c>
      <c r="AP12" s="1412">
        <v>5959426</v>
      </c>
      <c r="AQ12" s="1412">
        <v>665246</v>
      </c>
      <c r="AR12" s="1412">
        <v>665246</v>
      </c>
      <c r="AS12" s="1412"/>
      <c r="AT12" s="1412"/>
      <c r="AU12" s="1412"/>
      <c r="AV12" s="1412"/>
      <c r="AW12" s="1412"/>
      <c r="AX12" s="1412"/>
      <c r="AY12" s="1412">
        <v>8116043</v>
      </c>
      <c r="AZ12" s="1412">
        <v>0</v>
      </c>
      <c r="BA12" s="1412"/>
      <c r="BB12" s="1412"/>
      <c r="BC12" s="1412"/>
      <c r="BD12" s="1412">
        <v>8116043</v>
      </c>
      <c r="BE12" s="1412">
        <v>0</v>
      </c>
      <c r="BF12" s="1412"/>
      <c r="BG12" s="1412"/>
      <c r="BH12" s="1412"/>
      <c r="BI12" s="1412"/>
      <c r="BJ12" s="1412"/>
      <c r="BK12" s="1412"/>
      <c r="BL12" s="1412">
        <v>0</v>
      </c>
      <c r="BM12" s="1412">
        <v>0</v>
      </c>
      <c r="BN12" s="1412"/>
      <c r="BO12" s="1412"/>
      <c r="BP12" s="1412"/>
      <c r="BQ12" s="1412"/>
      <c r="BR12" s="1412"/>
      <c r="BS12" s="1412"/>
      <c r="BT12" s="1412">
        <v>0</v>
      </c>
      <c r="BU12" s="1412">
        <v>0</v>
      </c>
      <c r="BV12" s="1412"/>
      <c r="BW12" s="1412"/>
      <c r="BX12" s="1412"/>
      <c r="BY12" s="1412"/>
      <c r="BZ12" s="1412"/>
      <c r="CA12" s="1412"/>
      <c r="CB12" s="1412"/>
      <c r="CC12" s="1412">
        <v>199970</v>
      </c>
      <c r="CD12" s="1412">
        <v>199970</v>
      </c>
      <c r="CE12" s="1412"/>
      <c r="CF12" s="1412">
        <v>199970</v>
      </c>
      <c r="CG12" s="1412"/>
      <c r="CH12" s="1412"/>
      <c r="CI12" s="1412"/>
      <c r="CJ12" s="1412">
        <v>0</v>
      </c>
      <c r="CK12" s="1412"/>
      <c r="CL12" s="1412"/>
      <c r="CM12" s="1412"/>
      <c r="CN12" s="1412"/>
      <c r="CO12" s="1412"/>
      <c r="CP12" s="1412"/>
      <c r="CQ12" s="1412">
        <v>9000000</v>
      </c>
      <c r="CR12" s="1412"/>
      <c r="CS12" s="1412">
        <v>9000000</v>
      </c>
      <c r="CT12" s="1412"/>
      <c r="CU12" s="1412">
        <v>63821698</v>
      </c>
      <c r="CV12" s="1412">
        <v>54750337</v>
      </c>
      <c r="CW12" s="1412">
        <v>9071361</v>
      </c>
      <c r="CX12" s="1412"/>
      <c r="CY12" s="1412">
        <v>0</v>
      </c>
      <c r="CZ12" s="1412"/>
      <c r="DA12" s="1412">
        <v>0</v>
      </c>
      <c r="DB12" s="1412"/>
      <c r="DC12" s="1412"/>
      <c r="DD12" s="1412"/>
      <c r="DE12" s="1412">
        <v>0</v>
      </c>
      <c r="DF12" s="1412"/>
      <c r="DG12" s="1412"/>
      <c r="DH12" s="1412"/>
      <c r="DI12" s="1412">
        <v>0</v>
      </c>
      <c r="DJ12" s="1412"/>
      <c r="DK12" s="1412"/>
      <c r="DL12" s="1412"/>
      <c r="DM12" s="1412"/>
      <c r="DN12" s="1412">
        <v>0</v>
      </c>
      <c r="DO12" s="1412"/>
      <c r="DP12" s="1412">
        <v>0</v>
      </c>
      <c r="DQ12" s="1412"/>
      <c r="DR12" s="1412"/>
      <c r="DS12" s="1412"/>
      <c r="DT12" s="1412">
        <v>0</v>
      </c>
      <c r="DU12" s="1412"/>
      <c r="DV12" s="1412"/>
      <c r="DW12" s="1412"/>
      <c r="DX12" s="1412"/>
      <c r="DY12" s="1412">
        <v>1936313</v>
      </c>
      <c r="DZ12" s="1412"/>
      <c r="EA12" s="1412">
        <v>11946</v>
      </c>
      <c r="EB12" s="1412">
        <v>271900</v>
      </c>
      <c r="EC12" s="1412"/>
      <c r="ED12" s="1412">
        <v>1626176</v>
      </c>
      <c r="EE12" s="1412">
        <v>26291</v>
      </c>
      <c r="EF12" s="1412"/>
      <c r="EG12" s="1412"/>
      <c r="EH12" s="1412">
        <v>7841687</v>
      </c>
      <c r="EI12" s="1412">
        <v>1313984</v>
      </c>
      <c r="EJ12" s="1412">
        <v>5605715</v>
      </c>
      <c r="EK12" s="1412">
        <v>921988</v>
      </c>
      <c r="EL12" s="1412"/>
      <c r="EM12" s="1412">
        <v>16374311.84</v>
      </c>
      <c r="EN12" s="1412"/>
      <c r="EO12" s="1412"/>
      <c r="EP12" s="1412"/>
      <c r="EQ12" s="1412"/>
      <c r="ER12" s="1412"/>
      <c r="ES12" s="1412">
        <v>118027049.84</v>
      </c>
    </row>
    <row r="13" spans="4:149" ht="14.4">
      <c r="D13" s="1206"/>
      <c r="E13" s="1208">
        <v>42217</v>
      </c>
      <c r="F13" s="1412"/>
      <c r="G13" s="1363">
        <v>16276</v>
      </c>
      <c r="H13" s="1412"/>
      <c r="I13" s="1412">
        <v>6245677</v>
      </c>
      <c r="J13" s="1412">
        <v>6245677</v>
      </c>
      <c r="K13" s="1412"/>
      <c r="L13" s="1412"/>
      <c r="M13" s="1412">
        <v>446883</v>
      </c>
      <c r="N13" s="1412">
        <v>446883</v>
      </c>
      <c r="O13" s="1412">
        <v>446883</v>
      </c>
      <c r="P13" s="1412"/>
      <c r="Q13" s="1412">
        <v>0</v>
      </c>
      <c r="R13" s="1412"/>
      <c r="S13" s="1412"/>
      <c r="T13" s="1412">
        <v>0</v>
      </c>
      <c r="U13" s="1412"/>
      <c r="V13" s="1412"/>
      <c r="W13" s="1412"/>
      <c r="X13" s="1412">
        <v>0</v>
      </c>
      <c r="Y13" s="1412">
        <v>0</v>
      </c>
      <c r="Z13" s="1412"/>
      <c r="AA13" s="1412"/>
      <c r="AB13" s="1412">
        <v>0</v>
      </c>
      <c r="AC13" s="1412"/>
      <c r="AD13" s="1412"/>
      <c r="AE13" s="1412"/>
      <c r="AF13" s="1412">
        <v>0</v>
      </c>
      <c r="AG13" s="1412"/>
      <c r="AH13" s="1412"/>
      <c r="AI13" s="1412"/>
      <c r="AJ13" s="1412"/>
      <c r="AK13" s="1412">
        <v>0</v>
      </c>
      <c r="AL13" s="1412"/>
      <c r="AM13" s="1412"/>
      <c r="AN13" s="1412"/>
      <c r="AO13" s="1412">
        <v>5716181</v>
      </c>
      <c r="AP13" s="1412">
        <v>4853416</v>
      </c>
      <c r="AQ13" s="1412">
        <v>862765</v>
      </c>
      <c r="AR13" s="1412">
        <v>862765</v>
      </c>
      <c r="AS13" s="1412"/>
      <c r="AT13" s="1412"/>
      <c r="AU13" s="1412"/>
      <c r="AV13" s="1412"/>
      <c r="AW13" s="1412"/>
      <c r="AX13" s="1412"/>
      <c r="AY13" s="1412">
        <v>10983634</v>
      </c>
      <c r="AZ13" s="1412">
        <v>0</v>
      </c>
      <c r="BA13" s="1412"/>
      <c r="BB13" s="1412"/>
      <c r="BC13" s="1412"/>
      <c r="BD13" s="1412">
        <v>10983634</v>
      </c>
      <c r="BE13" s="1412">
        <v>0</v>
      </c>
      <c r="BF13" s="1412"/>
      <c r="BG13" s="1412"/>
      <c r="BH13" s="1412"/>
      <c r="BI13" s="1412"/>
      <c r="BJ13" s="1412"/>
      <c r="BK13" s="1412"/>
      <c r="BL13" s="1412">
        <v>0</v>
      </c>
      <c r="BM13" s="1412">
        <v>0</v>
      </c>
      <c r="BN13" s="1412"/>
      <c r="BO13" s="1412"/>
      <c r="BP13" s="1412"/>
      <c r="BQ13" s="1412"/>
      <c r="BR13" s="1412"/>
      <c r="BS13" s="1412"/>
      <c r="BT13" s="1412">
        <v>0</v>
      </c>
      <c r="BU13" s="1412">
        <v>0</v>
      </c>
      <c r="BV13" s="1412"/>
      <c r="BW13" s="1412"/>
      <c r="BX13" s="1412"/>
      <c r="BY13" s="1412"/>
      <c r="BZ13" s="1412"/>
      <c r="CA13" s="1412"/>
      <c r="CB13" s="1412"/>
      <c r="CC13" s="1412">
        <v>202602</v>
      </c>
      <c r="CD13" s="1412">
        <v>202602</v>
      </c>
      <c r="CE13" s="1412"/>
      <c r="CF13" s="1412">
        <v>202602</v>
      </c>
      <c r="CG13" s="1412"/>
      <c r="CH13" s="1412"/>
      <c r="CI13" s="1412"/>
      <c r="CJ13" s="1412">
        <v>0</v>
      </c>
      <c r="CK13" s="1412"/>
      <c r="CL13" s="1412"/>
      <c r="CM13" s="1412"/>
      <c r="CN13" s="1412"/>
      <c r="CO13" s="1412"/>
      <c r="CP13" s="1412"/>
      <c r="CQ13" s="1412">
        <v>5000000</v>
      </c>
      <c r="CR13" s="1412"/>
      <c r="CS13" s="1412">
        <v>5000000</v>
      </c>
      <c r="CT13" s="1412"/>
      <c r="CU13" s="1412">
        <v>65693904</v>
      </c>
      <c r="CV13" s="1412">
        <v>57152393</v>
      </c>
      <c r="CW13" s="1412">
        <v>8541511</v>
      </c>
      <c r="CX13" s="1412"/>
      <c r="CY13" s="1412">
        <v>0</v>
      </c>
      <c r="CZ13" s="1412"/>
      <c r="DA13" s="1412">
        <v>0</v>
      </c>
      <c r="DB13" s="1412"/>
      <c r="DC13" s="1412"/>
      <c r="DD13" s="1412"/>
      <c r="DE13" s="1412">
        <v>0</v>
      </c>
      <c r="DF13" s="1412"/>
      <c r="DG13" s="1412"/>
      <c r="DH13" s="1412"/>
      <c r="DI13" s="1412">
        <v>0</v>
      </c>
      <c r="DJ13" s="1412"/>
      <c r="DK13" s="1412"/>
      <c r="DL13" s="1412"/>
      <c r="DM13" s="1412"/>
      <c r="DN13" s="1412">
        <v>0</v>
      </c>
      <c r="DO13" s="1412"/>
      <c r="DP13" s="1412">
        <v>0</v>
      </c>
      <c r="DQ13" s="1412"/>
      <c r="DR13" s="1412"/>
      <c r="DS13" s="1412"/>
      <c r="DT13" s="1412">
        <v>0</v>
      </c>
      <c r="DU13" s="1412"/>
      <c r="DV13" s="1412"/>
      <c r="DW13" s="1412"/>
      <c r="DX13" s="1412"/>
      <c r="DY13" s="1412">
        <v>1849272</v>
      </c>
      <c r="DZ13" s="1412"/>
      <c r="EA13" s="1412">
        <v>11946</v>
      </c>
      <c r="EB13" s="1412">
        <v>277348</v>
      </c>
      <c r="EC13" s="1412"/>
      <c r="ED13" s="1412">
        <v>1532988</v>
      </c>
      <c r="EE13" s="1412">
        <v>26990</v>
      </c>
      <c r="EF13" s="1412"/>
      <c r="EG13" s="1412"/>
      <c r="EH13" s="1412">
        <v>8168296</v>
      </c>
      <c r="EI13" s="1412">
        <v>1630215</v>
      </c>
      <c r="EJ13" s="1412">
        <v>5568189</v>
      </c>
      <c r="EK13" s="1412">
        <v>969892</v>
      </c>
      <c r="EL13" s="1412"/>
      <c r="EM13" s="1412">
        <v>15468861</v>
      </c>
      <c r="EN13" s="1412"/>
      <c r="EO13" s="1412"/>
      <c r="EP13" s="1412"/>
      <c r="EQ13" s="1412"/>
      <c r="ER13" s="1412"/>
      <c r="ES13" s="1412">
        <v>119791586</v>
      </c>
    </row>
    <row r="14" spans="4:149" ht="14.4">
      <c r="D14" s="1206"/>
      <c r="E14" s="1208">
        <v>42248</v>
      </c>
      <c r="F14" s="1412"/>
      <c r="G14" s="1363">
        <v>21170</v>
      </c>
      <c r="H14" s="1412"/>
      <c r="I14" s="1412">
        <v>9341450</v>
      </c>
      <c r="J14" s="1412">
        <v>9341450</v>
      </c>
      <c r="K14" s="1412"/>
      <c r="L14" s="1412"/>
      <c r="M14" s="1412">
        <v>321181</v>
      </c>
      <c r="N14" s="1412">
        <v>321181</v>
      </c>
      <c r="O14" s="1412">
        <v>321181</v>
      </c>
      <c r="P14" s="1412"/>
      <c r="Q14" s="1412">
        <v>0</v>
      </c>
      <c r="R14" s="1412"/>
      <c r="S14" s="1412"/>
      <c r="T14" s="1412">
        <v>0</v>
      </c>
      <c r="U14" s="1412"/>
      <c r="V14" s="1412"/>
      <c r="W14" s="1412"/>
      <c r="X14" s="1412">
        <v>0</v>
      </c>
      <c r="Y14" s="1412">
        <v>0</v>
      </c>
      <c r="Z14" s="1412"/>
      <c r="AA14" s="1412"/>
      <c r="AB14" s="1412">
        <v>0</v>
      </c>
      <c r="AC14" s="1412"/>
      <c r="AD14" s="1412"/>
      <c r="AE14" s="1412"/>
      <c r="AF14" s="1412">
        <v>0</v>
      </c>
      <c r="AG14" s="1412"/>
      <c r="AH14" s="1412"/>
      <c r="AI14" s="1412"/>
      <c r="AJ14" s="1412"/>
      <c r="AK14" s="1412">
        <v>0</v>
      </c>
      <c r="AL14" s="1412"/>
      <c r="AM14" s="1412"/>
      <c r="AN14" s="1412"/>
      <c r="AO14" s="1412">
        <v>7746162</v>
      </c>
      <c r="AP14" s="1412">
        <v>6683472</v>
      </c>
      <c r="AQ14" s="1412">
        <v>1062690</v>
      </c>
      <c r="AR14" s="1412">
        <v>1062690</v>
      </c>
      <c r="AS14" s="1412"/>
      <c r="AT14" s="1412"/>
      <c r="AU14" s="1412"/>
      <c r="AV14" s="1412"/>
      <c r="AW14" s="1412"/>
      <c r="AX14" s="1412"/>
      <c r="AY14" s="1412">
        <v>12983634</v>
      </c>
      <c r="AZ14" s="1412">
        <v>0</v>
      </c>
      <c r="BA14" s="1412"/>
      <c r="BB14" s="1412"/>
      <c r="BC14" s="1412"/>
      <c r="BD14" s="1412">
        <v>12983634</v>
      </c>
      <c r="BE14" s="1412">
        <v>0</v>
      </c>
      <c r="BF14" s="1412"/>
      <c r="BG14" s="1412"/>
      <c r="BH14" s="1412"/>
      <c r="BI14" s="1412"/>
      <c r="BJ14" s="1412"/>
      <c r="BK14" s="1412"/>
      <c r="BL14" s="1412">
        <v>0</v>
      </c>
      <c r="BM14" s="1412">
        <v>0</v>
      </c>
      <c r="BN14" s="1412"/>
      <c r="BO14" s="1412"/>
      <c r="BP14" s="1412"/>
      <c r="BQ14" s="1412"/>
      <c r="BR14" s="1412"/>
      <c r="BS14" s="1412"/>
      <c r="BT14" s="1412">
        <v>0</v>
      </c>
      <c r="BU14" s="1412">
        <v>0</v>
      </c>
      <c r="BV14" s="1412"/>
      <c r="BW14" s="1412"/>
      <c r="BX14" s="1412"/>
      <c r="BY14" s="1412"/>
      <c r="BZ14" s="1412"/>
      <c r="CA14" s="1412"/>
      <c r="CB14" s="1412"/>
      <c r="CC14" s="1412">
        <v>197866</v>
      </c>
      <c r="CD14" s="1412">
        <v>197866</v>
      </c>
      <c r="CE14" s="1412"/>
      <c r="CF14" s="1412">
        <v>197866</v>
      </c>
      <c r="CG14" s="1412"/>
      <c r="CH14" s="1412"/>
      <c r="CI14" s="1412"/>
      <c r="CJ14" s="1412">
        <v>0</v>
      </c>
      <c r="CK14" s="1412"/>
      <c r="CL14" s="1412"/>
      <c r="CM14" s="1412"/>
      <c r="CN14" s="1412"/>
      <c r="CO14" s="1412"/>
      <c r="CP14" s="1412"/>
      <c r="CQ14" s="1412">
        <v>5000000</v>
      </c>
      <c r="CR14" s="1412"/>
      <c r="CS14" s="1412">
        <v>5000000</v>
      </c>
      <c r="CT14" s="1412"/>
      <c r="CU14" s="1412">
        <v>68046120</v>
      </c>
      <c r="CV14" s="1412">
        <v>59950125</v>
      </c>
      <c r="CW14" s="1412">
        <v>8095995</v>
      </c>
      <c r="CX14" s="1412"/>
      <c r="CY14" s="1412">
        <v>0</v>
      </c>
      <c r="CZ14" s="1412"/>
      <c r="DA14" s="1412">
        <v>0</v>
      </c>
      <c r="DB14" s="1412"/>
      <c r="DC14" s="1412"/>
      <c r="DD14" s="1412"/>
      <c r="DE14" s="1412">
        <v>0</v>
      </c>
      <c r="DF14" s="1412"/>
      <c r="DG14" s="1412"/>
      <c r="DH14" s="1412"/>
      <c r="DI14" s="1412">
        <v>0</v>
      </c>
      <c r="DJ14" s="1412"/>
      <c r="DK14" s="1412"/>
      <c r="DL14" s="1412"/>
      <c r="DM14" s="1412"/>
      <c r="DN14" s="1412">
        <v>0</v>
      </c>
      <c r="DO14" s="1412"/>
      <c r="DP14" s="1412">
        <v>0</v>
      </c>
      <c r="DQ14" s="1412"/>
      <c r="DR14" s="1412"/>
      <c r="DS14" s="1412"/>
      <c r="DT14" s="1412">
        <v>0</v>
      </c>
      <c r="DU14" s="1412"/>
      <c r="DV14" s="1412"/>
      <c r="DW14" s="1412"/>
      <c r="DX14" s="1412"/>
      <c r="DY14" s="1412">
        <v>1817317</v>
      </c>
      <c r="DZ14" s="1412"/>
      <c r="EA14" s="1412">
        <v>11946</v>
      </c>
      <c r="EB14" s="1412">
        <v>246642</v>
      </c>
      <c r="EC14" s="1412"/>
      <c r="ED14" s="1412">
        <v>1531768</v>
      </c>
      <c r="EE14" s="1412">
        <v>26961</v>
      </c>
      <c r="EF14" s="1412"/>
      <c r="EG14" s="1412"/>
      <c r="EH14" s="1412">
        <v>8142340</v>
      </c>
      <c r="EI14" s="1412">
        <v>1627382</v>
      </c>
      <c r="EJ14" s="1412">
        <v>5505786</v>
      </c>
      <c r="EK14" s="1412">
        <v>1009172</v>
      </c>
      <c r="EL14" s="1412"/>
      <c r="EM14" s="1412">
        <v>15469153</v>
      </c>
      <c r="EN14" s="1412"/>
      <c r="EO14" s="1412"/>
      <c r="EP14" s="1412"/>
      <c r="EQ14" s="1412"/>
      <c r="ER14" s="1412"/>
      <c r="ES14" s="1412">
        <v>129086393</v>
      </c>
    </row>
    <row r="15" spans="4:149" ht="14.4">
      <c r="D15" s="1206"/>
      <c r="E15" s="1208">
        <v>42278</v>
      </c>
      <c r="F15" s="1412"/>
      <c r="G15" s="1363">
        <v>42328</v>
      </c>
      <c r="H15" s="1412"/>
      <c r="I15" s="1412">
        <v>8408150</v>
      </c>
      <c r="J15" s="1412">
        <v>8408150</v>
      </c>
      <c r="K15" s="1412"/>
      <c r="L15" s="1412"/>
      <c r="M15" s="1412">
        <v>137187</v>
      </c>
      <c r="N15" s="1412">
        <v>137187</v>
      </c>
      <c r="O15" s="1412">
        <v>137187</v>
      </c>
      <c r="P15" s="1412"/>
      <c r="Q15" s="1412">
        <v>0</v>
      </c>
      <c r="R15" s="1412"/>
      <c r="S15" s="1412"/>
      <c r="T15" s="1412">
        <v>0</v>
      </c>
      <c r="U15" s="1412"/>
      <c r="V15" s="1412"/>
      <c r="W15" s="1412"/>
      <c r="X15" s="1412">
        <v>0</v>
      </c>
      <c r="Y15" s="1412">
        <v>0</v>
      </c>
      <c r="Z15" s="1412"/>
      <c r="AA15" s="1412"/>
      <c r="AB15" s="1412">
        <v>0</v>
      </c>
      <c r="AC15" s="1412"/>
      <c r="AD15" s="1412"/>
      <c r="AE15" s="1412"/>
      <c r="AF15" s="1412">
        <v>0</v>
      </c>
      <c r="AG15" s="1412"/>
      <c r="AH15" s="1412"/>
      <c r="AI15" s="1412"/>
      <c r="AJ15" s="1412"/>
      <c r="AK15" s="1412">
        <v>0</v>
      </c>
      <c r="AL15" s="1412"/>
      <c r="AM15" s="1412"/>
      <c r="AN15" s="1412"/>
      <c r="AO15" s="1412">
        <v>6016603</v>
      </c>
      <c r="AP15" s="1412">
        <v>5424760</v>
      </c>
      <c r="AQ15" s="1412">
        <v>591843</v>
      </c>
      <c r="AR15" s="1412">
        <v>591843</v>
      </c>
      <c r="AS15" s="1412"/>
      <c r="AT15" s="1412"/>
      <c r="AU15" s="1412"/>
      <c r="AV15" s="1412"/>
      <c r="AW15" s="1412"/>
      <c r="AX15" s="1412"/>
      <c r="AY15" s="1412">
        <v>14983634</v>
      </c>
      <c r="AZ15" s="1412">
        <v>0</v>
      </c>
      <c r="BA15" s="1412"/>
      <c r="BB15" s="1412"/>
      <c r="BC15" s="1412"/>
      <c r="BD15" s="1412">
        <v>14983634</v>
      </c>
      <c r="BE15" s="1412">
        <v>0</v>
      </c>
      <c r="BF15" s="1412"/>
      <c r="BG15" s="1412"/>
      <c r="BH15" s="1412"/>
      <c r="BI15" s="1412"/>
      <c r="BJ15" s="1412"/>
      <c r="BK15" s="1412"/>
      <c r="BL15" s="1412">
        <v>0</v>
      </c>
      <c r="BM15" s="1412">
        <v>0</v>
      </c>
      <c r="BN15" s="1412"/>
      <c r="BO15" s="1412"/>
      <c r="BP15" s="1412"/>
      <c r="BQ15" s="1412"/>
      <c r="BR15" s="1412"/>
      <c r="BS15" s="1412"/>
      <c r="BT15" s="1412">
        <v>0</v>
      </c>
      <c r="BU15" s="1412">
        <v>0</v>
      </c>
      <c r="BV15" s="1412"/>
      <c r="BW15" s="1412"/>
      <c r="BX15" s="1412"/>
      <c r="BY15" s="1412"/>
      <c r="BZ15" s="1412"/>
      <c r="CA15" s="1412"/>
      <c r="CB15" s="1412"/>
      <c r="CC15" s="1412">
        <v>198874</v>
      </c>
      <c r="CD15" s="1412">
        <v>198874</v>
      </c>
      <c r="CE15" s="1412"/>
      <c r="CF15" s="1412">
        <v>198874</v>
      </c>
      <c r="CG15" s="1412"/>
      <c r="CH15" s="1412"/>
      <c r="CI15" s="1412"/>
      <c r="CJ15" s="1412">
        <v>0</v>
      </c>
      <c r="CK15" s="1412"/>
      <c r="CL15" s="1412"/>
      <c r="CM15" s="1412"/>
      <c r="CN15" s="1412"/>
      <c r="CO15" s="1412"/>
      <c r="CP15" s="1412"/>
      <c r="CQ15" s="1412">
        <v>2000000</v>
      </c>
      <c r="CR15" s="1412"/>
      <c r="CS15" s="1412">
        <v>2000000</v>
      </c>
      <c r="CT15" s="1412"/>
      <c r="CU15" s="1412">
        <v>68928070</v>
      </c>
      <c r="CV15" s="1412">
        <v>61024280</v>
      </c>
      <c r="CW15" s="1412">
        <v>7903790</v>
      </c>
      <c r="CX15" s="1412"/>
      <c r="CY15" s="1412">
        <v>0</v>
      </c>
      <c r="CZ15" s="1412"/>
      <c r="DA15" s="1412">
        <v>0</v>
      </c>
      <c r="DB15" s="1412"/>
      <c r="DC15" s="1412"/>
      <c r="DD15" s="1412"/>
      <c r="DE15" s="1412">
        <v>0</v>
      </c>
      <c r="DF15" s="1412"/>
      <c r="DG15" s="1412"/>
      <c r="DH15" s="1412"/>
      <c r="DI15" s="1412">
        <v>0</v>
      </c>
      <c r="DJ15" s="1412"/>
      <c r="DK15" s="1412"/>
      <c r="DL15" s="1412"/>
      <c r="DM15" s="1412"/>
      <c r="DN15" s="1412">
        <v>0</v>
      </c>
      <c r="DO15" s="1412"/>
      <c r="DP15" s="1412">
        <v>0</v>
      </c>
      <c r="DQ15" s="1412"/>
      <c r="DR15" s="1412"/>
      <c r="DS15" s="1412"/>
      <c r="DT15" s="1412">
        <v>0</v>
      </c>
      <c r="DU15" s="1412"/>
      <c r="DV15" s="1412"/>
      <c r="DW15" s="1412"/>
      <c r="DX15" s="1412"/>
      <c r="DY15" s="1412">
        <v>1788340</v>
      </c>
      <c r="DZ15" s="1412"/>
      <c r="EA15" s="1412">
        <v>11946</v>
      </c>
      <c r="EB15" s="1412">
        <v>217917</v>
      </c>
      <c r="EC15" s="1412"/>
      <c r="ED15" s="1412">
        <v>1532119</v>
      </c>
      <c r="EE15" s="1412">
        <v>26358</v>
      </c>
      <c r="EF15" s="1412"/>
      <c r="EG15" s="1412"/>
      <c r="EH15" s="1412">
        <v>8044790</v>
      </c>
      <c r="EI15" s="1412">
        <v>1624550</v>
      </c>
      <c r="EJ15" s="1412">
        <v>5437653</v>
      </c>
      <c r="EK15" s="1412">
        <v>982587</v>
      </c>
      <c r="EL15" s="1412"/>
      <c r="EM15" s="1412">
        <v>16130487</v>
      </c>
      <c r="EN15" s="1412"/>
      <c r="EO15" s="1412"/>
      <c r="EP15" s="1412"/>
      <c r="EQ15" s="1412"/>
      <c r="ER15" s="1412"/>
      <c r="ES15" s="1412">
        <v>126678463</v>
      </c>
    </row>
    <row r="16" spans="4:149" ht="14.4">
      <c r="D16" s="1206"/>
      <c r="E16" s="1208">
        <v>42309</v>
      </c>
      <c r="F16" s="1412"/>
      <c r="G16" s="1363">
        <v>19653</v>
      </c>
      <c r="H16" s="1412"/>
      <c r="I16" s="1412">
        <v>15499828</v>
      </c>
      <c r="J16" s="1412">
        <v>15499828</v>
      </c>
      <c r="K16" s="1412"/>
      <c r="L16" s="1412"/>
      <c r="M16" s="1412">
        <v>461936</v>
      </c>
      <c r="N16" s="1412">
        <v>461936</v>
      </c>
      <c r="O16" s="1412">
        <v>461936</v>
      </c>
      <c r="P16" s="1412"/>
      <c r="Q16" s="1412">
        <v>0</v>
      </c>
      <c r="R16" s="1412"/>
      <c r="S16" s="1412"/>
      <c r="T16" s="1412">
        <v>0</v>
      </c>
      <c r="U16" s="1412"/>
      <c r="V16" s="1412"/>
      <c r="W16" s="1412"/>
      <c r="X16" s="1412">
        <v>0</v>
      </c>
      <c r="Y16" s="1412">
        <v>0</v>
      </c>
      <c r="Z16" s="1412"/>
      <c r="AA16" s="1412"/>
      <c r="AB16" s="1412">
        <v>0</v>
      </c>
      <c r="AC16" s="1412"/>
      <c r="AD16" s="1412"/>
      <c r="AE16" s="1412"/>
      <c r="AF16" s="1412">
        <v>0</v>
      </c>
      <c r="AG16" s="1412"/>
      <c r="AH16" s="1412"/>
      <c r="AI16" s="1412"/>
      <c r="AJ16" s="1412"/>
      <c r="AK16" s="1412">
        <v>0</v>
      </c>
      <c r="AL16" s="1412"/>
      <c r="AM16" s="1412"/>
      <c r="AN16" s="1412"/>
      <c r="AO16" s="1412">
        <v>2726667</v>
      </c>
      <c r="AP16" s="1412">
        <v>2057550</v>
      </c>
      <c r="AQ16" s="1412">
        <v>669117</v>
      </c>
      <c r="AR16" s="1412">
        <v>669117</v>
      </c>
      <c r="AS16" s="1412"/>
      <c r="AT16" s="1412"/>
      <c r="AU16" s="1412"/>
      <c r="AV16" s="1412"/>
      <c r="AW16" s="1412"/>
      <c r="AX16" s="1412"/>
      <c r="AY16" s="1412">
        <v>14983634</v>
      </c>
      <c r="AZ16" s="1412">
        <v>0</v>
      </c>
      <c r="BA16" s="1412"/>
      <c r="BB16" s="1412"/>
      <c r="BC16" s="1412"/>
      <c r="BD16" s="1412">
        <v>14983634</v>
      </c>
      <c r="BE16" s="1412">
        <v>0</v>
      </c>
      <c r="BF16" s="1412"/>
      <c r="BG16" s="1412"/>
      <c r="BH16" s="1412"/>
      <c r="BI16" s="1412"/>
      <c r="BJ16" s="1412"/>
      <c r="BK16" s="1412"/>
      <c r="BL16" s="1412">
        <v>0</v>
      </c>
      <c r="BM16" s="1412">
        <v>0</v>
      </c>
      <c r="BN16" s="1412"/>
      <c r="BO16" s="1412"/>
      <c r="BP16" s="1412"/>
      <c r="BQ16" s="1412"/>
      <c r="BR16" s="1412"/>
      <c r="BS16" s="1412"/>
      <c r="BT16" s="1412">
        <v>0</v>
      </c>
      <c r="BU16" s="1412">
        <v>0</v>
      </c>
      <c r="BV16" s="1412"/>
      <c r="BW16" s="1412"/>
      <c r="BX16" s="1412"/>
      <c r="BY16" s="1412"/>
      <c r="BZ16" s="1412"/>
      <c r="CA16" s="1412"/>
      <c r="CB16" s="1412"/>
      <c r="CC16" s="1412">
        <v>199521</v>
      </c>
      <c r="CD16" s="1412">
        <v>199521</v>
      </c>
      <c r="CE16" s="1412"/>
      <c r="CF16" s="1412">
        <v>199521</v>
      </c>
      <c r="CG16" s="1412"/>
      <c r="CH16" s="1412"/>
      <c r="CI16" s="1412"/>
      <c r="CJ16" s="1412">
        <v>0</v>
      </c>
      <c r="CK16" s="1412"/>
      <c r="CL16" s="1412"/>
      <c r="CM16" s="1412"/>
      <c r="CN16" s="1412"/>
      <c r="CO16" s="1412"/>
      <c r="CP16" s="1412"/>
      <c r="CQ16" s="1412">
        <v>0</v>
      </c>
      <c r="CR16" s="1412"/>
      <c r="CS16" s="1412"/>
      <c r="CT16" s="1412"/>
      <c r="CU16" s="1412">
        <v>69473323</v>
      </c>
      <c r="CV16" s="1412">
        <v>61726323</v>
      </c>
      <c r="CW16" s="1412">
        <v>7747000</v>
      </c>
      <c r="CX16" s="1412"/>
      <c r="CY16" s="1412">
        <v>0</v>
      </c>
      <c r="CZ16" s="1412"/>
      <c r="DA16" s="1412">
        <v>0</v>
      </c>
      <c r="DB16" s="1412"/>
      <c r="DC16" s="1412"/>
      <c r="DD16" s="1412"/>
      <c r="DE16" s="1412">
        <v>0</v>
      </c>
      <c r="DF16" s="1412"/>
      <c r="DG16" s="1412"/>
      <c r="DH16" s="1412"/>
      <c r="DI16" s="1412">
        <v>0</v>
      </c>
      <c r="DJ16" s="1412"/>
      <c r="DK16" s="1412"/>
      <c r="DL16" s="1412"/>
      <c r="DM16" s="1412"/>
      <c r="DN16" s="1412">
        <v>0</v>
      </c>
      <c r="DO16" s="1412"/>
      <c r="DP16" s="1412">
        <v>0</v>
      </c>
      <c r="DQ16" s="1412"/>
      <c r="DR16" s="1412"/>
      <c r="DS16" s="1412"/>
      <c r="DT16" s="1412">
        <v>0</v>
      </c>
      <c r="DU16" s="1412"/>
      <c r="DV16" s="1412"/>
      <c r="DW16" s="1412"/>
      <c r="DX16" s="1412"/>
      <c r="DY16" s="1412">
        <v>1600534</v>
      </c>
      <c r="DZ16" s="1412"/>
      <c r="EA16" s="1412">
        <v>11654</v>
      </c>
      <c r="EB16" s="1412">
        <v>209002</v>
      </c>
      <c r="EC16" s="1412"/>
      <c r="ED16" s="1412">
        <v>1354459</v>
      </c>
      <c r="EE16" s="1412">
        <v>25419</v>
      </c>
      <c r="EF16" s="1412"/>
      <c r="EG16" s="1412"/>
      <c r="EH16" s="1412">
        <v>8151882</v>
      </c>
      <c r="EI16" s="1412">
        <v>1621717</v>
      </c>
      <c r="EJ16" s="1412">
        <v>5565074</v>
      </c>
      <c r="EK16" s="1412">
        <v>965091</v>
      </c>
      <c r="EL16" s="1412"/>
      <c r="EM16" s="1412">
        <v>16127480</v>
      </c>
      <c r="EN16" s="1412"/>
      <c r="EO16" s="1412"/>
      <c r="EP16" s="1412"/>
      <c r="EQ16" s="1412"/>
      <c r="ER16" s="1412"/>
      <c r="ES16" s="1412">
        <v>129244458</v>
      </c>
    </row>
    <row r="17" spans="5:149" ht="14.4">
      <c r="E17" s="1208">
        <v>42339</v>
      </c>
      <c r="F17" s="1412"/>
      <c r="G17" s="1363">
        <v>30087</v>
      </c>
      <c r="H17" s="1412"/>
      <c r="I17" s="1412">
        <v>161686</v>
      </c>
      <c r="J17" s="1412">
        <v>161686</v>
      </c>
      <c r="K17" s="1412"/>
      <c r="L17" s="1412"/>
      <c r="M17" s="1412">
        <v>136940</v>
      </c>
      <c r="N17" s="1412">
        <v>136940</v>
      </c>
      <c r="O17" s="1412">
        <v>136940</v>
      </c>
      <c r="P17" s="1412"/>
      <c r="Q17" s="1412">
        <v>0</v>
      </c>
      <c r="R17" s="1412"/>
      <c r="S17" s="1412"/>
      <c r="T17" s="1412">
        <v>0</v>
      </c>
      <c r="U17" s="1412"/>
      <c r="V17" s="1412"/>
      <c r="W17" s="1412"/>
      <c r="X17" s="1412">
        <v>0</v>
      </c>
      <c r="Y17" s="1412">
        <v>0</v>
      </c>
      <c r="Z17" s="1412"/>
      <c r="AA17" s="1412"/>
      <c r="AB17" s="1412">
        <v>0</v>
      </c>
      <c r="AC17" s="1412"/>
      <c r="AD17" s="1412"/>
      <c r="AE17" s="1412"/>
      <c r="AF17" s="1412">
        <v>0</v>
      </c>
      <c r="AG17" s="1412"/>
      <c r="AH17" s="1412"/>
      <c r="AI17" s="1412"/>
      <c r="AJ17" s="1412"/>
      <c r="AK17" s="1412">
        <v>0</v>
      </c>
      <c r="AL17" s="1412"/>
      <c r="AM17" s="1412"/>
      <c r="AN17" s="1412"/>
      <c r="AO17" s="1412">
        <v>3257803</v>
      </c>
      <c r="AP17" s="1412">
        <v>2719845</v>
      </c>
      <c r="AQ17" s="1412">
        <v>537958</v>
      </c>
      <c r="AR17" s="1412">
        <v>537958</v>
      </c>
      <c r="AS17" s="1412"/>
      <c r="AT17" s="1412"/>
      <c r="AU17" s="1412"/>
      <c r="AV17" s="1412"/>
      <c r="AW17" s="1412"/>
      <c r="AX17" s="1412"/>
      <c r="AY17" s="1412">
        <v>36483634</v>
      </c>
      <c r="AZ17" s="1412">
        <v>0</v>
      </c>
      <c r="BA17" s="1412"/>
      <c r="BB17" s="1412"/>
      <c r="BC17" s="1412"/>
      <c r="BD17" s="1412">
        <v>36483634</v>
      </c>
      <c r="BE17" s="1412">
        <v>0</v>
      </c>
      <c r="BF17" s="1412"/>
      <c r="BG17" s="1412"/>
      <c r="BH17" s="1412"/>
      <c r="BI17" s="1412"/>
      <c r="BJ17" s="1412"/>
      <c r="BK17" s="1412"/>
      <c r="BL17" s="1412">
        <v>0</v>
      </c>
      <c r="BM17" s="1412">
        <v>0</v>
      </c>
      <c r="BN17" s="1412"/>
      <c r="BO17" s="1412"/>
      <c r="BP17" s="1412"/>
      <c r="BQ17" s="1412"/>
      <c r="BR17" s="1412"/>
      <c r="BS17" s="1412"/>
      <c r="BT17" s="1412">
        <v>0</v>
      </c>
      <c r="BU17" s="1412">
        <v>0</v>
      </c>
      <c r="BV17" s="1412"/>
      <c r="BW17" s="1412"/>
      <c r="BX17" s="1412"/>
      <c r="BY17" s="1412"/>
      <c r="BZ17" s="1412"/>
      <c r="CA17" s="1412"/>
      <c r="CB17" s="1412"/>
      <c r="CC17" s="1412">
        <v>199939</v>
      </c>
      <c r="CD17" s="1412">
        <v>199939</v>
      </c>
      <c r="CE17" s="1412"/>
      <c r="CF17" s="1412">
        <v>199939</v>
      </c>
      <c r="CG17" s="1412"/>
      <c r="CH17" s="1412"/>
      <c r="CI17" s="1412"/>
      <c r="CJ17" s="1412">
        <v>0</v>
      </c>
      <c r="CK17" s="1412"/>
      <c r="CL17" s="1412"/>
      <c r="CM17" s="1412"/>
      <c r="CN17" s="1412"/>
      <c r="CO17" s="1412"/>
      <c r="CP17" s="1412"/>
      <c r="CQ17" s="1412">
        <v>5000000</v>
      </c>
      <c r="CR17" s="1412"/>
      <c r="CS17" s="1412">
        <v>5000000</v>
      </c>
      <c r="CT17" s="1412"/>
      <c r="CU17" s="1412">
        <v>70891026</v>
      </c>
      <c r="CV17" s="1412">
        <v>63732968</v>
      </c>
      <c r="CW17" s="1412">
        <v>7158058</v>
      </c>
      <c r="CX17" s="1412"/>
      <c r="CY17" s="1412">
        <v>0</v>
      </c>
      <c r="CZ17" s="1412"/>
      <c r="DA17" s="1412">
        <v>0</v>
      </c>
      <c r="DB17" s="1412"/>
      <c r="DC17" s="1412"/>
      <c r="DD17" s="1412"/>
      <c r="DE17" s="1412">
        <v>0</v>
      </c>
      <c r="DF17" s="1412"/>
      <c r="DG17" s="1412"/>
      <c r="DH17" s="1412"/>
      <c r="DI17" s="1412">
        <v>0</v>
      </c>
      <c r="DJ17" s="1412"/>
      <c r="DK17" s="1412"/>
      <c r="DL17" s="1412"/>
      <c r="DM17" s="1412"/>
      <c r="DN17" s="1412">
        <v>0</v>
      </c>
      <c r="DO17" s="1412"/>
      <c r="DP17" s="1412">
        <v>0</v>
      </c>
      <c r="DQ17" s="1412"/>
      <c r="DR17" s="1412"/>
      <c r="DS17" s="1412"/>
      <c r="DT17" s="1412">
        <v>0</v>
      </c>
      <c r="DU17" s="1412"/>
      <c r="DV17" s="1412"/>
      <c r="DW17" s="1412"/>
      <c r="DX17" s="1412"/>
      <c r="DY17" s="1412">
        <v>1619018</v>
      </c>
      <c r="DZ17" s="1412"/>
      <c r="EA17" s="1412">
        <v>11338</v>
      </c>
      <c r="EB17" s="1412">
        <v>201484</v>
      </c>
      <c r="EC17" s="1412"/>
      <c r="ED17" s="1412">
        <v>1379951</v>
      </c>
      <c r="EE17" s="1412">
        <v>26245</v>
      </c>
      <c r="EF17" s="1412"/>
      <c r="EG17" s="1412"/>
      <c r="EH17" s="1412">
        <v>8066384</v>
      </c>
      <c r="EI17" s="1412">
        <v>1618885</v>
      </c>
      <c r="EJ17" s="1412">
        <v>5511316</v>
      </c>
      <c r="EK17" s="1412">
        <v>936183</v>
      </c>
      <c r="EL17" s="1412"/>
      <c r="EM17" s="1412">
        <v>17633992</v>
      </c>
      <c r="EN17" s="1412"/>
      <c r="EO17" s="1412"/>
      <c r="EP17" s="1412"/>
      <c r="EQ17" s="1412"/>
      <c r="ER17" s="1412"/>
      <c r="ES17" s="1412">
        <v>143480509</v>
      </c>
    </row>
    <row r="18" spans="5:149" ht="14.4">
      <c r="E18" s="1208"/>
      <c r="F18" s="1412"/>
      <c r="G18" s="1363"/>
      <c r="H18" s="1412"/>
      <c r="I18" s="1412"/>
      <c r="J18" s="1412"/>
      <c r="K18" s="1412"/>
      <c r="L18" s="1412"/>
      <c r="M18" s="1412"/>
      <c r="N18" s="1412"/>
      <c r="O18" s="1412"/>
      <c r="P18" s="1412"/>
      <c r="Q18" s="1412"/>
      <c r="R18" s="1412"/>
      <c r="S18" s="1412"/>
      <c r="T18" s="1412"/>
      <c r="U18" s="1412"/>
      <c r="V18" s="1412"/>
      <c r="W18" s="1412"/>
      <c r="X18" s="1412"/>
      <c r="Y18" s="1412"/>
      <c r="Z18" s="1412"/>
      <c r="AA18" s="1412"/>
      <c r="AB18" s="1412"/>
      <c r="AC18" s="1412"/>
      <c r="AD18" s="1412"/>
      <c r="AE18" s="1412"/>
      <c r="AF18" s="1412"/>
      <c r="AG18" s="1412"/>
      <c r="AH18" s="1412"/>
      <c r="AI18" s="1412"/>
      <c r="AJ18" s="1412"/>
      <c r="AK18" s="1412"/>
      <c r="AL18" s="1412"/>
      <c r="AM18" s="1412"/>
      <c r="AN18" s="1412"/>
      <c r="AO18" s="1412"/>
      <c r="AP18" s="1412"/>
      <c r="AQ18" s="1412"/>
      <c r="AR18" s="1412"/>
      <c r="AS18" s="1412"/>
      <c r="AT18" s="1412"/>
      <c r="AU18" s="1412"/>
      <c r="AV18" s="1412"/>
      <c r="AW18" s="1412"/>
      <c r="AX18" s="1412"/>
      <c r="AY18" s="1412"/>
      <c r="AZ18" s="1412"/>
      <c r="BA18" s="1412"/>
      <c r="BB18" s="1412"/>
      <c r="BC18" s="1412"/>
      <c r="BD18" s="1412"/>
      <c r="BE18" s="1412"/>
      <c r="BF18" s="1412"/>
      <c r="BG18" s="1412"/>
      <c r="BH18" s="1412"/>
      <c r="BI18" s="1412"/>
      <c r="BJ18" s="1412"/>
      <c r="BK18" s="1412"/>
      <c r="BL18" s="1412"/>
      <c r="BM18" s="1412"/>
      <c r="BN18" s="1412"/>
      <c r="BO18" s="1412"/>
      <c r="BP18" s="1412"/>
      <c r="BQ18" s="1412"/>
      <c r="BR18" s="1412"/>
      <c r="BS18" s="1412"/>
      <c r="BT18" s="1412"/>
      <c r="BU18" s="1412"/>
      <c r="BV18" s="1412"/>
      <c r="BW18" s="1412"/>
      <c r="BX18" s="1412"/>
      <c r="BY18" s="1412"/>
      <c r="BZ18" s="1412"/>
      <c r="CA18" s="1412"/>
      <c r="CB18" s="1412"/>
      <c r="CC18" s="1412"/>
      <c r="CD18" s="1412"/>
      <c r="CE18" s="1412"/>
      <c r="CF18" s="1412"/>
      <c r="CG18" s="1412"/>
      <c r="CH18" s="1412"/>
      <c r="CI18" s="1412"/>
      <c r="CJ18" s="1412"/>
      <c r="CK18" s="1412"/>
      <c r="CL18" s="1412"/>
      <c r="CM18" s="1412"/>
      <c r="CN18" s="1412"/>
      <c r="CO18" s="1412"/>
      <c r="CP18" s="1412"/>
      <c r="CQ18" s="1412"/>
      <c r="CR18" s="1412"/>
      <c r="CS18" s="1412"/>
      <c r="CT18" s="1412"/>
      <c r="CU18" s="1412"/>
      <c r="CV18" s="1412"/>
      <c r="CW18" s="1412"/>
      <c r="CX18" s="1412"/>
      <c r="CY18" s="1412"/>
      <c r="CZ18" s="1412"/>
      <c r="DA18" s="1412"/>
      <c r="DB18" s="1412"/>
      <c r="DC18" s="1412"/>
      <c r="DD18" s="1412"/>
      <c r="DE18" s="1412"/>
      <c r="DF18" s="1412"/>
      <c r="DG18" s="1412"/>
      <c r="DH18" s="1412"/>
      <c r="DI18" s="1412"/>
      <c r="DJ18" s="1412"/>
      <c r="DK18" s="1412"/>
      <c r="DL18" s="1412"/>
      <c r="DM18" s="1412"/>
      <c r="DN18" s="1412"/>
      <c r="DO18" s="1412"/>
      <c r="DP18" s="1412"/>
      <c r="DQ18" s="1412"/>
      <c r="DR18" s="1412"/>
      <c r="DS18" s="1412"/>
      <c r="DT18" s="1412"/>
      <c r="DU18" s="1412"/>
      <c r="DV18" s="1412"/>
      <c r="DW18" s="1412"/>
      <c r="DX18" s="1412"/>
      <c r="DY18" s="1412"/>
      <c r="DZ18" s="1412"/>
      <c r="EA18" s="1412"/>
      <c r="EB18" s="1412"/>
      <c r="EC18" s="1412"/>
      <c r="ED18" s="1412"/>
      <c r="EE18" s="1412"/>
      <c r="EF18" s="1412"/>
      <c r="EG18" s="1412"/>
      <c r="EH18" s="1412"/>
      <c r="EI18" s="1412"/>
      <c r="EJ18" s="1412"/>
      <c r="EK18" s="1412"/>
      <c r="EL18" s="1412"/>
      <c r="EM18" s="1412"/>
      <c r="EN18" s="1412"/>
      <c r="EO18" s="1412"/>
      <c r="EP18" s="1412"/>
      <c r="EQ18" s="1412"/>
      <c r="ER18" s="1412"/>
      <c r="ES18" s="1412"/>
    </row>
    <row r="19" spans="5:149" ht="14.4">
      <c r="E19" s="1208"/>
      <c r="F19" s="1412"/>
      <c r="G19" s="1363"/>
      <c r="H19" s="1412"/>
      <c r="I19" s="1412"/>
      <c r="J19" s="1412"/>
      <c r="K19" s="1412"/>
      <c r="L19" s="1412"/>
      <c r="M19" s="1412"/>
      <c r="N19" s="1412"/>
      <c r="O19" s="1412"/>
      <c r="P19" s="1412"/>
      <c r="Q19" s="1412"/>
      <c r="R19" s="1412"/>
      <c r="S19" s="1412"/>
      <c r="T19" s="1412"/>
      <c r="U19" s="1412"/>
      <c r="V19" s="1412"/>
      <c r="W19" s="1412"/>
      <c r="X19" s="1412"/>
      <c r="Y19" s="1412"/>
      <c r="Z19" s="1412"/>
      <c r="AA19" s="1412"/>
      <c r="AB19" s="1412"/>
      <c r="AC19" s="1412"/>
      <c r="AD19" s="1412"/>
      <c r="AE19" s="1412"/>
      <c r="AF19" s="1412"/>
      <c r="AG19" s="1412"/>
      <c r="AH19" s="1412"/>
      <c r="AI19" s="1412"/>
      <c r="AJ19" s="1412"/>
      <c r="AK19" s="1412"/>
      <c r="AL19" s="1412"/>
      <c r="AM19" s="1412"/>
      <c r="AN19" s="1412"/>
      <c r="AO19" s="1412"/>
      <c r="AP19" s="1412"/>
      <c r="AQ19" s="1412"/>
      <c r="AR19" s="1412"/>
      <c r="AS19" s="1412"/>
      <c r="AT19" s="1412"/>
      <c r="AU19" s="1412"/>
      <c r="AV19" s="1412"/>
      <c r="AW19" s="1412"/>
      <c r="AX19" s="1412"/>
      <c r="AY19" s="1412"/>
      <c r="AZ19" s="1412"/>
      <c r="BA19" s="1412"/>
      <c r="BB19" s="1412"/>
      <c r="BC19" s="1412"/>
      <c r="BD19" s="1412"/>
      <c r="BE19" s="1412"/>
      <c r="BF19" s="1412"/>
      <c r="BG19" s="1412"/>
      <c r="BH19" s="1412"/>
      <c r="BI19" s="1412"/>
      <c r="BJ19" s="1412"/>
      <c r="BK19" s="1412"/>
      <c r="BL19" s="1412"/>
      <c r="BM19" s="1412"/>
      <c r="BN19" s="1412"/>
      <c r="BO19" s="1412"/>
      <c r="BP19" s="1412"/>
      <c r="BQ19" s="1412"/>
      <c r="BR19" s="1412"/>
      <c r="BS19" s="1412"/>
      <c r="BT19" s="1412"/>
      <c r="BU19" s="1412"/>
      <c r="BV19" s="1412"/>
      <c r="BW19" s="1412"/>
      <c r="BX19" s="1412"/>
      <c r="BY19" s="1412"/>
      <c r="BZ19" s="1412"/>
      <c r="CA19" s="1412"/>
      <c r="CB19" s="1412"/>
      <c r="CC19" s="1412"/>
      <c r="CD19" s="1412"/>
      <c r="CE19" s="1412"/>
      <c r="CF19" s="1412"/>
      <c r="CG19" s="1412"/>
      <c r="CH19" s="1412"/>
      <c r="CI19" s="1412"/>
      <c r="CJ19" s="1412"/>
      <c r="CK19" s="1412"/>
      <c r="CL19" s="1412"/>
      <c r="CM19" s="1412"/>
      <c r="CN19" s="1412"/>
      <c r="CO19" s="1412"/>
      <c r="CP19" s="1412"/>
      <c r="CQ19" s="1412"/>
      <c r="CR19" s="1412"/>
      <c r="CS19" s="1412"/>
      <c r="CT19" s="1412"/>
      <c r="CU19" s="1412"/>
      <c r="CV19" s="1412"/>
      <c r="CW19" s="1412"/>
      <c r="CX19" s="1412"/>
      <c r="CY19" s="1412"/>
      <c r="CZ19" s="1412"/>
      <c r="DA19" s="1412"/>
      <c r="DB19" s="1412"/>
      <c r="DC19" s="1412"/>
      <c r="DD19" s="1412"/>
      <c r="DE19" s="1412"/>
      <c r="DF19" s="1412"/>
      <c r="DG19" s="1412"/>
      <c r="DH19" s="1412"/>
      <c r="DI19" s="1412"/>
      <c r="DJ19" s="1412"/>
      <c r="DK19" s="1412"/>
      <c r="DL19" s="1412"/>
      <c r="DM19" s="1412"/>
      <c r="DN19" s="1412"/>
      <c r="DO19" s="1412"/>
      <c r="DP19" s="1412"/>
      <c r="DQ19" s="1412"/>
      <c r="DR19" s="1412"/>
      <c r="DS19" s="1412"/>
      <c r="DT19" s="1412"/>
      <c r="DU19" s="1412"/>
      <c r="DV19" s="1412"/>
      <c r="DW19" s="1412"/>
      <c r="DX19" s="1412"/>
      <c r="DY19" s="1412"/>
      <c r="DZ19" s="1412"/>
      <c r="EA19" s="1412"/>
      <c r="EB19" s="1412"/>
      <c r="EC19" s="1412"/>
      <c r="ED19" s="1412"/>
      <c r="EE19" s="1412"/>
      <c r="EF19" s="1412"/>
      <c r="EG19" s="1412"/>
      <c r="EH19" s="1412"/>
      <c r="EI19" s="1412"/>
      <c r="EJ19" s="1412"/>
      <c r="EK19" s="1412"/>
      <c r="EL19" s="1412"/>
      <c r="EM19" s="1412"/>
      <c r="EN19" s="1412"/>
      <c r="EO19" s="1412"/>
      <c r="EP19" s="1412"/>
      <c r="EQ19" s="1412"/>
      <c r="ER19" s="1412"/>
      <c r="ES19" s="1412"/>
    </row>
    <row r="20" spans="5:149" ht="14.4">
      <c r="E20" s="1208">
        <v>42370</v>
      </c>
      <c r="F20" s="1412"/>
      <c r="G20" s="1363">
        <v>38626</v>
      </c>
      <c r="H20" s="1412"/>
      <c r="I20" s="1412">
        <v>12260533</v>
      </c>
      <c r="J20" s="1412">
        <v>12260533</v>
      </c>
      <c r="K20" s="1412"/>
      <c r="L20" s="1412"/>
      <c r="M20" s="1412">
        <v>453188</v>
      </c>
      <c r="N20" s="1412">
        <v>453188</v>
      </c>
      <c r="O20" s="1412">
        <v>453188</v>
      </c>
      <c r="P20" s="1412"/>
      <c r="Q20" s="1412">
        <v>0</v>
      </c>
      <c r="R20" s="1412"/>
      <c r="S20" s="1412"/>
      <c r="T20" s="1412">
        <v>0</v>
      </c>
      <c r="U20" s="1412"/>
      <c r="V20" s="1412"/>
      <c r="W20" s="1412"/>
      <c r="X20" s="1412">
        <v>0</v>
      </c>
      <c r="Y20" s="1412">
        <v>0</v>
      </c>
      <c r="Z20" s="1412"/>
      <c r="AA20" s="1412"/>
      <c r="AB20" s="1412">
        <v>0</v>
      </c>
      <c r="AC20" s="1412"/>
      <c r="AD20" s="1412"/>
      <c r="AE20" s="1412"/>
      <c r="AF20" s="1412">
        <v>0</v>
      </c>
      <c r="AG20" s="1412"/>
      <c r="AH20" s="1412"/>
      <c r="AI20" s="1412"/>
      <c r="AJ20" s="1412"/>
      <c r="AK20" s="1412">
        <v>0</v>
      </c>
      <c r="AL20" s="1412"/>
      <c r="AM20" s="1412"/>
      <c r="AN20" s="1412"/>
      <c r="AO20" s="1412">
        <v>4175636</v>
      </c>
      <c r="AP20" s="1412">
        <v>3811005</v>
      </c>
      <c r="AQ20" s="1412">
        <v>364631</v>
      </c>
      <c r="AR20" s="1412">
        <v>364631</v>
      </c>
      <c r="AS20" s="1412"/>
      <c r="AT20" s="1412"/>
      <c r="AU20" s="1412"/>
      <c r="AV20" s="1412"/>
      <c r="AW20" s="1412"/>
      <c r="AX20" s="1412"/>
      <c r="AY20" s="1412">
        <v>30867591</v>
      </c>
      <c r="AZ20" s="1412">
        <v>0</v>
      </c>
      <c r="BA20" s="1412"/>
      <c r="BB20" s="1412"/>
      <c r="BC20" s="1412"/>
      <c r="BD20" s="1412">
        <v>30867591</v>
      </c>
      <c r="BE20" s="1412">
        <v>0</v>
      </c>
      <c r="BF20" s="1412"/>
      <c r="BG20" s="1412"/>
      <c r="BH20" s="1412"/>
      <c r="BI20" s="1412"/>
      <c r="BJ20" s="1412"/>
      <c r="BK20" s="1412"/>
      <c r="BL20" s="1412">
        <v>0</v>
      </c>
      <c r="BM20" s="1412">
        <v>0</v>
      </c>
      <c r="BN20" s="1412"/>
      <c r="BO20" s="1412"/>
      <c r="BP20" s="1412"/>
      <c r="BQ20" s="1412"/>
      <c r="BR20" s="1412"/>
      <c r="BS20" s="1412"/>
      <c r="BT20" s="1412">
        <v>0</v>
      </c>
      <c r="BU20" s="1412">
        <v>0</v>
      </c>
      <c r="BV20" s="1412"/>
      <c r="BW20" s="1412"/>
      <c r="BX20" s="1412"/>
      <c r="BY20" s="1412"/>
      <c r="BZ20" s="1412"/>
      <c r="CA20" s="1412"/>
      <c r="CB20" s="1412"/>
      <c r="CC20" s="1412">
        <v>197819</v>
      </c>
      <c r="CD20" s="1412">
        <v>197819</v>
      </c>
      <c r="CE20" s="1412"/>
      <c r="CF20" s="1412">
        <v>197819</v>
      </c>
      <c r="CG20" s="1412"/>
      <c r="CH20" s="1412"/>
      <c r="CI20" s="1412"/>
      <c r="CJ20" s="1412">
        <v>0</v>
      </c>
      <c r="CK20" s="1412"/>
      <c r="CL20" s="1412"/>
      <c r="CM20" s="1412"/>
      <c r="CN20" s="1412"/>
      <c r="CO20" s="1412"/>
      <c r="CP20" s="1412"/>
      <c r="CQ20" s="1412">
        <v>5000000</v>
      </c>
      <c r="CR20" s="1412"/>
      <c r="CS20" s="1412">
        <v>5000000</v>
      </c>
      <c r="CT20" s="1412"/>
      <c r="CU20" s="1412">
        <v>68807330</v>
      </c>
      <c r="CV20" s="1412">
        <v>61954303</v>
      </c>
      <c r="CW20" s="1412">
        <v>6853027</v>
      </c>
      <c r="CX20" s="1412"/>
      <c r="CY20" s="1412">
        <v>0</v>
      </c>
      <c r="CZ20" s="1412"/>
      <c r="DA20" s="1412">
        <v>0</v>
      </c>
      <c r="DB20" s="1412"/>
      <c r="DC20" s="1412"/>
      <c r="DD20" s="1412"/>
      <c r="DE20" s="1412">
        <v>0</v>
      </c>
      <c r="DF20" s="1412"/>
      <c r="DG20" s="1412"/>
      <c r="DH20" s="1412"/>
      <c r="DI20" s="1412">
        <v>0</v>
      </c>
      <c r="DJ20" s="1412"/>
      <c r="DK20" s="1412"/>
      <c r="DL20" s="1412"/>
      <c r="DM20" s="1412"/>
      <c r="DN20" s="1412">
        <v>0</v>
      </c>
      <c r="DO20" s="1412"/>
      <c r="DP20" s="1412">
        <v>0</v>
      </c>
      <c r="DQ20" s="1412"/>
      <c r="DR20" s="1412"/>
      <c r="DS20" s="1412"/>
      <c r="DT20" s="1412">
        <v>0</v>
      </c>
      <c r="DU20" s="1412"/>
      <c r="DV20" s="1412"/>
      <c r="DW20" s="1412"/>
      <c r="DX20" s="1412"/>
      <c r="DY20" s="1412">
        <v>1520077</v>
      </c>
      <c r="DZ20" s="1412"/>
      <c r="EA20" s="1412">
        <v>1520</v>
      </c>
      <c r="EB20" s="1412">
        <v>168380</v>
      </c>
      <c r="EC20" s="1412"/>
      <c r="ED20" s="1412">
        <v>1323977</v>
      </c>
      <c r="EE20" s="1412">
        <v>26200</v>
      </c>
      <c r="EF20" s="1412"/>
      <c r="EG20" s="1412"/>
      <c r="EH20" s="1412">
        <v>8429412</v>
      </c>
      <c r="EI20" s="1412">
        <v>2019656</v>
      </c>
      <c r="EJ20" s="1412">
        <v>5502482</v>
      </c>
      <c r="EK20" s="1412">
        <v>907274</v>
      </c>
      <c r="EL20" s="1412"/>
      <c r="EM20" s="1412">
        <v>16766364</v>
      </c>
      <c r="EN20" s="1412"/>
      <c r="EO20" s="1412"/>
      <c r="EP20" s="1412"/>
      <c r="EQ20" s="1412"/>
      <c r="ER20" s="1412"/>
      <c r="ES20" s="1412">
        <v>148516576</v>
      </c>
    </row>
    <row r="21" spans="5:149" ht="14.4">
      <c r="E21" s="1208">
        <v>42401</v>
      </c>
      <c r="F21" s="1412"/>
      <c r="G21" s="1363">
        <v>29353</v>
      </c>
      <c r="H21" s="1412"/>
      <c r="I21" s="1412">
        <v>9138731</v>
      </c>
      <c r="J21" s="1412">
        <v>9138731</v>
      </c>
      <c r="K21" s="1412"/>
      <c r="L21" s="1412"/>
      <c r="M21" s="1412">
        <v>983586</v>
      </c>
      <c r="N21" s="1412">
        <v>983586</v>
      </c>
      <c r="O21" s="1412">
        <v>983586</v>
      </c>
      <c r="P21" s="1412"/>
      <c r="Q21" s="1412">
        <v>0</v>
      </c>
      <c r="R21" s="1412"/>
      <c r="S21" s="1412"/>
      <c r="T21" s="1412">
        <v>0</v>
      </c>
      <c r="U21" s="1412"/>
      <c r="V21" s="1412"/>
      <c r="W21" s="1412"/>
      <c r="X21" s="1412">
        <v>0</v>
      </c>
      <c r="Y21" s="1412">
        <v>0</v>
      </c>
      <c r="Z21" s="1412"/>
      <c r="AA21" s="1412"/>
      <c r="AB21" s="1412">
        <v>0</v>
      </c>
      <c r="AC21" s="1412"/>
      <c r="AD21" s="1412"/>
      <c r="AE21" s="1412"/>
      <c r="AF21" s="1412">
        <v>0</v>
      </c>
      <c r="AG21" s="1412"/>
      <c r="AH21" s="1412"/>
      <c r="AI21" s="1412"/>
      <c r="AJ21" s="1412"/>
      <c r="AK21" s="1412">
        <v>0</v>
      </c>
      <c r="AL21" s="1412"/>
      <c r="AM21" s="1412"/>
      <c r="AN21" s="1412"/>
      <c r="AO21" s="1412">
        <v>1756955</v>
      </c>
      <c r="AP21" s="1412">
        <v>1234501</v>
      </c>
      <c r="AQ21" s="1412">
        <v>522454</v>
      </c>
      <c r="AR21" s="1412">
        <v>522454</v>
      </c>
      <c r="AS21" s="1412"/>
      <c r="AT21" s="1412"/>
      <c r="AU21" s="1412"/>
      <c r="AV21" s="1412"/>
      <c r="AW21" s="1412"/>
      <c r="AX21" s="1412"/>
      <c r="AY21" s="1412">
        <v>35015318</v>
      </c>
      <c r="AZ21" s="1412">
        <v>0</v>
      </c>
      <c r="BA21" s="1412"/>
      <c r="BB21" s="1412"/>
      <c r="BC21" s="1412"/>
      <c r="BD21" s="1412">
        <v>35015318</v>
      </c>
      <c r="BE21" s="1412">
        <v>0</v>
      </c>
      <c r="BF21" s="1412"/>
      <c r="BG21" s="1412"/>
      <c r="BH21" s="1412"/>
      <c r="BI21" s="1412"/>
      <c r="BJ21" s="1412"/>
      <c r="BK21" s="1412"/>
      <c r="BL21" s="1412">
        <v>0</v>
      </c>
      <c r="BM21" s="1412">
        <v>0</v>
      </c>
      <c r="BN21" s="1412"/>
      <c r="BO21" s="1412"/>
      <c r="BP21" s="1412"/>
      <c r="BQ21" s="1412"/>
      <c r="BR21" s="1412"/>
      <c r="BS21" s="1412"/>
      <c r="BT21" s="1412">
        <v>0</v>
      </c>
      <c r="BU21" s="1412">
        <v>0</v>
      </c>
      <c r="BV21" s="1412"/>
      <c r="BW21" s="1412"/>
      <c r="BX21" s="1412"/>
      <c r="BY21" s="1412"/>
      <c r="BZ21" s="1412"/>
      <c r="CA21" s="1412"/>
      <c r="CB21" s="1412"/>
      <c r="CC21" s="1412">
        <v>0</v>
      </c>
      <c r="CD21" s="1412">
        <v>0</v>
      </c>
      <c r="CE21" s="1412"/>
      <c r="CF21" s="1412">
        <v>0</v>
      </c>
      <c r="CG21" s="1412"/>
      <c r="CH21" s="1412"/>
      <c r="CI21" s="1412"/>
      <c r="CJ21" s="1412">
        <v>0</v>
      </c>
      <c r="CK21" s="1412"/>
      <c r="CL21" s="1412"/>
      <c r="CM21" s="1412"/>
      <c r="CN21" s="1412"/>
      <c r="CO21" s="1412"/>
      <c r="CP21" s="1412"/>
      <c r="CQ21" s="1412">
        <v>6000000</v>
      </c>
      <c r="CR21" s="1412"/>
      <c r="CS21" s="1412">
        <v>6000000</v>
      </c>
      <c r="CT21" s="1412"/>
      <c r="CU21" s="1412">
        <v>68188613</v>
      </c>
      <c r="CV21" s="1412">
        <v>61408868</v>
      </c>
      <c r="CW21" s="1412">
        <v>6779745</v>
      </c>
      <c r="CX21" s="1412"/>
      <c r="CY21" s="1412">
        <v>0</v>
      </c>
      <c r="CZ21" s="1412"/>
      <c r="DA21" s="1412">
        <v>0</v>
      </c>
      <c r="DB21" s="1412"/>
      <c r="DC21" s="1412"/>
      <c r="DD21" s="1412"/>
      <c r="DE21" s="1412">
        <v>0</v>
      </c>
      <c r="DF21" s="1412"/>
      <c r="DG21" s="1412"/>
      <c r="DH21" s="1412"/>
      <c r="DI21" s="1412">
        <v>0</v>
      </c>
      <c r="DJ21" s="1412"/>
      <c r="DK21" s="1412"/>
      <c r="DL21" s="1412"/>
      <c r="DM21" s="1412"/>
      <c r="DN21" s="1412">
        <v>0</v>
      </c>
      <c r="DO21" s="1412"/>
      <c r="DP21" s="1412">
        <v>0</v>
      </c>
      <c r="DQ21" s="1412"/>
      <c r="DR21" s="1412"/>
      <c r="DS21" s="1412"/>
      <c r="DT21" s="1412">
        <v>0</v>
      </c>
      <c r="DU21" s="1412"/>
      <c r="DV21" s="1412"/>
      <c r="DW21" s="1412"/>
      <c r="DX21" s="1412"/>
      <c r="DY21" s="1412">
        <v>1480589</v>
      </c>
      <c r="DZ21" s="1412"/>
      <c r="EA21" s="1412">
        <v>1520</v>
      </c>
      <c r="EB21" s="1412">
        <v>178295</v>
      </c>
      <c r="EC21" s="1412"/>
      <c r="ED21" s="1412">
        <v>1274502</v>
      </c>
      <c r="EE21" s="1412">
        <v>26272</v>
      </c>
      <c r="EF21" s="1412"/>
      <c r="EG21" s="1412"/>
      <c r="EH21" s="1412">
        <v>8457319</v>
      </c>
      <c r="EI21" s="1412">
        <v>2016263</v>
      </c>
      <c r="EJ21" s="1412">
        <v>5562690</v>
      </c>
      <c r="EK21" s="1412">
        <v>878366</v>
      </c>
      <c r="EL21" s="1412"/>
      <c r="EM21" s="1412">
        <v>14882414</v>
      </c>
      <c r="EN21" s="1412"/>
      <c r="EO21" s="1412"/>
      <c r="EP21" s="1412"/>
      <c r="EQ21" s="1412"/>
      <c r="ER21" s="1412"/>
      <c r="ES21" s="1412">
        <v>145932878</v>
      </c>
    </row>
    <row r="22" spans="5:149" ht="14.4">
      <c r="E22" s="1208">
        <v>42430</v>
      </c>
      <c r="F22" s="1412"/>
      <c r="G22" s="1363">
        <v>23286</v>
      </c>
      <c r="H22" s="1412"/>
      <c r="I22" s="1412">
        <v>9017244</v>
      </c>
      <c r="J22" s="1412">
        <v>9017244</v>
      </c>
      <c r="K22" s="1412"/>
      <c r="L22" s="1412"/>
      <c r="M22" s="1412">
        <v>313644</v>
      </c>
      <c r="N22" s="1412">
        <v>313644</v>
      </c>
      <c r="O22" s="1412">
        <v>313644</v>
      </c>
      <c r="P22" s="1412"/>
      <c r="Q22" s="1412">
        <v>0</v>
      </c>
      <c r="R22" s="1412"/>
      <c r="S22" s="1412"/>
      <c r="T22" s="1412">
        <v>0</v>
      </c>
      <c r="U22" s="1412"/>
      <c r="V22" s="1412"/>
      <c r="W22" s="1412"/>
      <c r="X22" s="1412">
        <v>0</v>
      </c>
      <c r="Y22" s="1412">
        <v>0</v>
      </c>
      <c r="Z22" s="1412"/>
      <c r="AA22" s="1412"/>
      <c r="AB22" s="1412">
        <v>0</v>
      </c>
      <c r="AC22" s="1412"/>
      <c r="AD22" s="1412"/>
      <c r="AE22" s="1412"/>
      <c r="AF22" s="1412">
        <v>0</v>
      </c>
      <c r="AG22" s="1412"/>
      <c r="AH22" s="1412"/>
      <c r="AI22" s="1412"/>
      <c r="AJ22" s="1412"/>
      <c r="AK22" s="1412">
        <v>0</v>
      </c>
      <c r="AL22" s="1412"/>
      <c r="AM22" s="1412"/>
      <c r="AN22" s="1412"/>
      <c r="AO22" s="1412">
        <v>2089301</v>
      </c>
      <c r="AP22" s="1412">
        <v>1888548</v>
      </c>
      <c r="AQ22" s="1412">
        <v>200753</v>
      </c>
      <c r="AR22" s="1412">
        <v>200753</v>
      </c>
      <c r="AS22" s="1412"/>
      <c r="AT22" s="1412"/>
      <c r="AU22" s="1412"/>
      <c r="AV22" s="1412"/>
      <c r="AW22" s="1412"/>
      <c r="AX22" s="1412"/>
      <c r="AY22" s="1412">
        <v>30705318</v>
      </c>
      <c r="AZ22" s="1412">
        <v>0</v>
      </c>
      <c r="BA22" s="1412"/>
      <c r="BB22" s="1412"/>
      <c r="BC22" s="1412"/>
      <c r="BD22" s="1412">
        <v>30705318</v>
      </c>
      <c r="BE22" s="1412">
        <v>0</v>
      </c>
      <c r="BF22" s="1412"/>
      <c r="BG22" s="1412"/>
      <c r="BH22" s="1412"/>
      <c r="BI22" s="1412"/>
      <c r="BJ22" s="1412"/>
      <c r="BK22" s="1412"/>
      <c r="BL22" s="1412">
        <v>0</v>
      </c>
      <c r="BM22" s="1412">
        <v>0</v>
      </c>
      <c r="BN22" s="1412"/>
      <c r="BO22" s="1412"/>
      <c r="BP22" s="1412"/>
      <c r="BQ22" s="1412"/>
      <c r="BR22" s="1412"/>
      <c r="BS22" s="1412"/>
      <c r="BT22" s="1412">
        <v>0</v>
      </c>
      <c r="BU22" s="1412">
        <v>0</v>
      </c>
      <c r="BV22" s="1412"/>
      <c r="BW22" s="1412"/>
      <c r="BX22" s="1412"/>
      <c r="BY22" s="1412"/>
      <c r="BZ22" s="1412"/>
      <c r="CA22" s="1412"/>
      <c r="CB22" s="1412"/>
      <c r="CC22" s="1412">
        <v>0</v>
      </c>
      <c r="CD22" s="1412">
        <v>0</v>
      </c>
      <c r="CE22" s="1412"/>
      <c r="CF22" s="1412">
        <v>0</v>
      </c>
      <c r="CG22" s="1412"/>
      <c r="CH22" s="1412"/>
      <c r="CI22" s="1412"/>
      <c r="CJ22" s="1412">
        <v>0</v>
      </c>
      <c r="CK22" s="1412"/>
      <c r="CL22" s="1412"/>
      <c r="CM22" s="1412"/>
      <c r="CN22" s="1412"/>
      <c r="CO22" s="1412"/>
      <c r="CP22" s="1412"/>
      <c r="CQ22" s="1412">
        <v>5500000</v>
      </c>
      <c r="CR22" s="1412"/>
      <c r="CS22" s="1412">
        <v>5500000</v>
      </c>
      <c r="CT22" s="1412"/>
      <c r="CU22" s="1412">
        <v>67233399</v>
      </c>
      <c r="CV22" s="1412">
        <v>60566520</v>
      </c>
      <c r="CW22" s="1412">
        <v>6666879</v>
      </c>
      <c r="CX22" s="1412"/>
      <c r="CY22" s="1412">
        <v>0</v>
      </c>
      <c r="CZ22" s="1412"/>
      <c r="DA22" s="1412">
        <v>0</v>
      </c>
      <c r="DB22" s="1412"/>
      <c r="DC22" s="1412"/>
      <c r="DD22" s="1412"/>
      <c r="DE22" s="1412">
        <v>0</v>
      </c>
      <c r="DF22" s="1412"/>
      <c r="DG22" s="1412"/>
      <c r="DH22" s="1412"/>
      <c r="DI22" s="1412">
        <v>0</v>
      </c>
      <c r="DJ22" s="1412"/>
      <c r="DK22" s="1412"/>
      <c r="DL22" s="1412"/>
      <c r="DM22" s="1412"/>
      <c r="DN22" s="1412">
        <v>0</v>
      </c>
      <c r="DO22" s="1412"/>
      <c r="DP22" s="1412">
        <v>0</v>
      </c>
      <c r="DQ22" s="1412"/>
      <c r="DR22" s="1412"/>
      <c r="DS22" s="1412"/>
      <c r="DT22" s="1412">
        <v>0</v>
      </c>
      <c r="DU22" s="1412"/>
      <c r="DV22" s="1412"/>
      <c r="DW22" s="1412"/>
      <c r="DX22" s="1412"/>
      <c r="DY22" s="1412">
        <v>1426838</v>
      </c>
      <c r="DZ22" s="1412"/>
      <c r="EA22" s="1412">
        <v>1824</v>
      </c>
      <c r="EB22" s="1412">
        <v>218164</v>
      </c>
      <c r="EC22" s="1412"/>
      <c r="ED22" s="1412">
        <v>1179663</v>
      </c>
      <c r="EE22" s="1412">
        <v>27187</v>
      </c>
      <c r="EF22" s="1412"/>
      <c r="EG22" s="1412"/>
      <c r="EH22" s="1412">
        <v>8346771</v>
      </c>
      <c r="EI22" s="1412">
        <v>2012869</v>
      </c>
      <c r="EJ22" s="1412">
        <v>5483743</v>
      </c>
      <c r="EK22" s="1412">
        <v>850159</v>
      </c>
      <c r="EL22" s="1412"/>
      <c r="EM22" s="1412">
        <v>14822814</v>
      </c>
      <c r="EN22" s="1412"/>
      <c r="EO22" s="1412"/>
      <c r="EP22" s="1412"/>
      <c r="EQ22" s="1412"/>
      <c r="ER22" s="1412"/>
      <c r="ES22" s="1412">
        <v>139478615</v>
      </c>
    </row>
    <row r="23" spans="5:149" ht="14.4">
      <c r="E23" s="1208">
        <v>42461</v>
      </c>
      <c r="F23" s="1412"/>
      <c r="G23" s="1363">
        <v>13158</v>
      </c>
      <c r="H23" s="1412"/>
      <c r="I23" s="1412">
        <v>15360002</v>
      </c>
      <c r="J23" s="1412">
        <v>15360002</v>
      </c>
      <c r="K23" s="1412"/>
      <c r="L23" s="1412"/>
      <c r="M23" s="1412">
        <v>416499</v>
      </c>
      <c r="N23" s="1412">
        <v>416499</v>
      </c>
      <c r="O23" s="1412">
        <v>416499</v>
      </c>
      <c r="P23" s="1412"/>
      <c r="Q23" s="1412">
        <v>0</v>
      </c>
      <c r="R23" s="1412"/>
      <c r="S23" s="1412"/>
      <c r="T23" s="1412">
        <v>0</v>
      </c>
      <c r="U23" s="1412"/>
      <c r="V23" s="1412"/>
      <c r="W23" s="1412"/>
      <c r="X23" s="1412">
        <v>0</v>
      </c>
      <c r="Y23" s="1412">
        <v>0</v>
      </c>
      <c r="Z23" s="1412"/>
      <c r="AA23" s="1412"/>
      <c r="AB23" s="1412">
        <v>0</v>
      </c>
      <c r="AC23" s="1412"/>
      <c r="AD23" s="1412"/>
      <c r="AE23" s="1412"/>
      <c r="AF23" s="1412">
        <v>0</v>
      </c>
      <c r="AG23" s="1412"/>
      <c r="AH23" s="1412"/>
      <c r="AI23" s="1412"/>
      <c r="AJ23" s="1412"/>
      <c r="AK23" s="1412">
        <v>0</v>
      </c>
      <c r="AL23" s="1412"/>
      <c r="AM23" s="1412"/>
      <c r="AN23" s="1412"/>
      <c r="AO23" s="1412">
        <v>901005</v>
      </c>
      <c r="AP23" s="1412">
        <v>866580</v>
      </c>
      <c r="AQ23" s="1412">
        <v>34425</v>
      </c>
      <c r="AR23" s="1412">
        <v>34425</v>
      </c>
      <c r="AS23" s="1412"/>
      <c r="AT23" s="1412"/>
      <c r="AU23" s="1412"/>
      <c r="AV23" s="1412"/>
      <c r="AW23" s="1412"/>
      <c r="AX23" s="1412"/>
      <c r="AY23" s="1412">
        <v>30705318</v>
      </c>
      <c r="AZ23" s="1412">
        <v>0</v>
      </c>
      <c r="BA23" s="1412"/>
      <c r="BB23" s="1412"/>
      <c r="BC23" s="1412"/>
      <c r="BD23" s="1412">
        <v>30705318</v>
      </c>
      <c r="BE23" s="1412">
        <v>0</v>
      </c>
      <c r="BF23" s="1412"/>
      <c r="BG23" s="1412"/>
      <c r="BH23" s="1412"/>
      <c r="BI23" s="1412"/>
      <c r="BJ23" s="1412"/>
      <c r="BK23" s="1412"/>
      <c r="BL23" s="1412">
        <v>0</v>
      </c>
      <c r="BM23" s="1412">
        <v>0</v>
      </c>
      <c r="BN23" s="1412"/>
      <c r="BO23" s="1412"/>
      <c r="BP23" s="1412"/>
      <c r="BQ23" s="1412"/>
      <c r="BR23" s="1412"/>
      <c r="BS23" s="1412"/>
      <c r="BT23" s="1412">
        <v>0</v>
      </c>
      <c r="BU23" s="1412">
        <v>0</v>
      </c>
      <c r="BV23" s="1412"/>
      <c r="BW23" s="1412"/>
      <c r="BX23" s="1412"/>
      <c r="BY23" s="1412"/>
      <c r="BZ23" s="1412"/>
      <c r="CA23" s="1412"/>
      <c r="CB23" s="1412"/>
      <c r="CC23" s="1412">
        <v>0</v>
      </c>
      <c r="CD23" s="1412">
        <v>0</v>
      </c>
      <c r="CE23" s="1412"/>
      <c r="CF23" s="1412">
        <v>0</v>
      </c>
      <c r="CG23" s="1412"/>
      <c r="CH23" s="1412"/>
      <c r="CI23" s="1412"/>
      <c r="CJ23" s="1412">
        <v>0</v>
      </c>
      <c r="CK23" s="1412"/>
      <c r="CL23" s="1412"/>
      <c r="CM23" s="1412"/>
      <c r="CN23" s="1412"/>
      <c r="CO23" s="1412"/>
      <c r="CP23" s="1412"/>
      <c r="CQ23" s="1412">
        <v>9500000</v>
      </c>
      <c r="CR23" s="1412"/>
      <c r="CS23" s="1412">
        <v>9500000</v>
      </c>
      <c r="CT23" s="1412"/>
      <c r="CU23" s="1412">
        <v>66396493</v>
      </c>
      <c r="CV23" s="1412">
        <v>59995107</v>
      </c>
      <c r="CW23" s="1412">
        <v>6401386</v>
      </c>
      <c r="CX23" s="1412"/>
      <c r="CY23" s="1412">
        <v>0</v>
      </c>
      <c r="CZ23" s="1412"/>
      <c r="DA23" s="1412">
        <v>0</v>
      </c>
      <c r="DB23" s="1412"/>
      <c r="DC23" s="1412"/>
      <c r="DD23" s="1412"/>
      <c r="DE23" s="1412">
        <v>0</v>
      </c>
      <c r="DF23" s="1412"/>
      <c r="DG23" s="1412"/>
      <c r="DH23" s="1412"/>
      <c r="DI23" s="1412">
        <v>0</v>
      </c>
      <c r="DJ23" s="1412"/>
      <c r="DK23" s="1412"/>
      <c r="DL23" s="1412"/>
      <c r="DM23" s="1412"/>
      <c r="DN23" s="1412">
        <v>0</v>
      </c>
      <c r="DO23" s="1412"/>
      <c r="DP23" s="1412">
        <v>0</v>
      </c>
      <c r="DQ23" s="1412"/>
      <c r="DR23" s="1412"/>
      <c r="DS23" s="1412"/>
      <c r="DT23" s="1412">
        <v>0</v>
      </c>
      <c r="DU23" s="1412"/>
      <c r="DV23" s="1412"/>
      <c r="DW23" s="1412"/>
      <c r="DX23" s="1412"/>
      <c r="DY23" s="1412">
        <v>683700</v>
      </c>
      <c r="DZ23" s="1412"/>
      <c r="EA23" s="1412">
        <v>1824</v>
      </c>
      <c r="EB23" s="1412">
        <v>0</v>
      </c>
      <c r="EC23" s="1412"/>
      <c r="ED23" s="1412">
        <v>654524</v>
      </c>
      <c r="EE23" s="1412">
        <v>27352</v>
      </c>
      <c r="EF23" s="1412"/>
      <c r="EG23" s="1412"/>
      <c r="EH23" s="1412">
        <v>8301366</v>
      </c>
      <c r="EI23" s="1412">
        <v>2009475</v>
      </c>
      <c r="EJ23" s="1412">
        <v>5469938</v>
      </c>
      <c r="EK23" s="1412">
        <v>821953</v>
      </c>
      <c r="EL23" s="1412"/>
      <c r="EM23" s="1412">
        <v>15040992</v>
      </c>
      <c r="EN23" s="1412"/>
      <c r="EO23" s="1412"/>
      <c r="EP23" s="1412"/>
      <c r="EQ23" s="1412"/>
      <c r="ER23" s="1412"/>
      <c r="ES23" s="1412">
        <v>147318533</v>
      </c>
    </row>
    <row r="24" spans="5:149" ht="14.4">
      <c r="E24" s="1208">
        <v>42491</v>
      </c>
      <c r="F24" s="1412"/>
      <c r="G24" s="1363">
        <v>17897</v>
      </c>
      <c r="H24" s="1412"/>
      <c r="I24" s="1412">
        <v>14961083</v>
      </c>
      <c r="J24" s="1412">
        <v>14961083</v>
      </c>
      <c r="K24" s="1412"/>
      <c r="L24" s="1412"/>
      <c r="M24" s="1412">
        <v>1165246</v>
      </c>
      <c r="N24" s="1412">
        <v>1165246</v>
      </c>
      <c r="O24" s="1412">
        <v>1165246</v>
      </c>
      <c r="P24" s="1412"/>
      <c r="Q24" s="1412">
        <v>0</v>
      </c>
      <c r="R24" s="1412"/>
      <c r="S24" s="1412"/>
      <c r="T24" s="1412">
        <v>0</v>
      </c>
      <c r="U24" s="1412"/>
      <c r="V24" s="1412"/>
      <c r="W24" s="1412"/>
      <c r="X24" s="1412">
        <v>0</v>
      </c>
      <c r="Y24" s="1412">
        <v>0</v>
      </c>
      <c r="Z24" s="1412"/>
      <c r="AA24" s="1412"/>
      <c r="AB24" s="1412">
        <v>0</v>
      </c>
      <c r="AC24" s="1412"/>
      <c r="AD24" s="1412"/>
      <c r="AE24" s="1412"/>
      <c r="AF24" s="1412">
        <v>0</v>
      </c>
      <c r="AG24" s="1412"/>
      <c r="AH24" s="1412"/>
      <c r="AI24" s="1412"/>
      <c r="AJ24" s="1412"/>
      <c r="AK24" s="1412">
        <v>0</v>
      </c>
      <c r="AL24" s="1412"/>
      <c r="AM24" s="1412"/>
      <c r="AN24" s="1412"/>
      <c r="AO24" s="1412">
        <v>3191430</v>
      </c>
      <c r="AP24" s="1412">
        <v>3094446</v>
      </c>
      <c r="AQ24" s="1412">
        <v>96984</v>
      </c>
      <c r="AR24" s="1412">
        <v>96984</v>
      </c>
      <c r="AS24" s="1412"/>
      <c r="AT24" s="1412"/>
      <c r="AU24" s="1412"/>
      <c r="AV24" s="1412"/>
      <c r="AW24" s="1412"/>
      <c r="AX24" s="1412"/>
      <c r="AY24" s="1412">
        <v>31083394</v>
      </c>
      <c r="AZ24" s="1412">
        <v>0</v>
      </c>
      <c r="BA24" s="1412"/>
      <c r="BB24" s="1412"/>
      <c r="BC24" s="1412"/>
      <c r="BD24" s="1412">
        <v>31083394</v>
      </c>
      <c r="BE24" s="1412">
        <v>0</v>
      </c>
      <c r="BF24" s="1412"/>
      <c r="BG24" s="1412"/>
      <c r="BH24" s="1412"/>
      <c r="BI24" s="1412"/>
      <c r="BJ24" s="1412"/>
      <c r="BK24" s="1412"/>
      <c r="BL24" s="1412">
        <v>0</v>
      </c>
      <c r="BM24" s="1412">
        <v>0</v>
      </c>
      <c r="BN24" s="1412"/>
      <c r="BO24" s="1412"/>
      <c r="BP24" s="1412"/>
      <c r="BQ24" s="1412"/>
      <c r="BR24" s="1412"/>
      <c r="BS24" s="1412"/>
      <c r="BT24" s="1412">
        <v>0</v>
      </c>
      <c r="BU24" s="1412">
        <v>0</v>
      </c>
      <c r="BV24" s="1412"/>
      <c r="BW24" s="1412"/>
      <c r="BX24" s="1412"/>
      <c r="BY24" s="1412"/>
      <c r="BZ24" s="1412"/>
      <c r="CA24" s="1412"/>
      <c r="CB24" s="1412"/>
      <c r="CC24" s="1412">
        <v>0</v>
      </c>
      <c r="CD24" s="1412">
        <v>0</v>
      </c>
      <c r="CE24" s="1412"/>
      <c r="CF24" s="1412">
        <v>0</v>
      </c>
      <c r="CG24" s="1412"/>
      <c r="CH24" s="1412"/>
      <c r="CI24" s="1412"/>
      <c r="CJ24" s="1412">
        <v>0</v>
      </c>
      <c r="CK24" s="1412"/>
      <c r="CL24" s="1412"/>
      <c r="CM24" s="1412"/>
      <c r="CN24" s="1412"/>
      <c r="CO24" s="1412"/>
      <c r="CP24" s="1412"/>
      <c r="CQ24" s="1412">
        <v>6500000</v>
      </c>
      <c r="CR24" s="1412"/>
      <c r="CS24" s="1412">
        <v>6500000</v>
      </c>
      <c r="CT24" s="1412"/>
      <c r="CU24" s="1412">
        <v>66051258</v>
      </c>
      <c r="CV24" s="1412">
        <v>59474559</v>
      </c>
      <c r="CW24" s="1412">
        <v>6576699</v>
      </c>
      <c r="CX24" s="1412"/>
      <c r="CY24" s="1412">
        <v>0</v>
      </c>
      <c r="CZ24" s="1412"/>
      <c r="DA24" s="1412">
        <v>0</v>
      </c>
      <c r="DB24" s="1412"/>
      <c r="DC24" s="1412"/>
      <c r="DD24" s="1412"/>
      <c r="DE24" s="1412">
        <v>0</v>
      </c>
      <c r="DF24" s="1412"/>
      <c r="DG24" s="1412"/>
      <c r="DH24" s="1412"/>
      <c r="DI24" s="1412">
        <v>0</v>
      </c>
      <c r="DJ24" s="1412"/>
      <c r="DK24" s="1412"/>
      <c r="DL24" s="1412"/>
      <c r="DM24" s="1412"/>
      <c r="DN24" s="1412">
        <v>0</v>
      </c>
      <c r="DO24" s="1412"/>
      <c r="DP24" s="1412">
        <v>0</v>
      </c>
      <c r="DQ24" s="1412"/>
      <c r="DR24" s="1412"/>
      <c r="DS24" s="1412"/>
      <c r="DT24" s="1412">
        <v>0</v>
      </c>
      <c r="DU24" s="1412"/>
      <c r="DV24" s="1412"/>
      <c r="DW24" s="1412"/>
      <c r="DX24" s="1412"/>
      <c r="DY24" s="1412">
        <v>690867</v>
      </c>
      <c r="DZ24" s="1412"/>
      <c r="EA24" s="1412">
        <v>1824</v>
      </c>
      <c r="EB24" s="1412">
        <v>0</v>
      </c>
      <c r="EC24" s="1412"/>
      <c r="ED24" s="1412">
        <v>662310</v>
      </c>
      <c r="EE24" s="1412">
        <v>26733</v>
      </c>
      <c r="EF24" s="1412"/>
      <c r="EG24" s="1412"/>
      <c r="EH24" s="1412">
        <v>8185503</v>
      </c>
      <c r="EI24" s="1412">
        <v>2006081</v>
      </c>
      <c r="EJ24" s="1412">
        <v>5385665</v>
      </c>
      <c r="EK24" s="1412">
        <v>793757</v>
      </c>
      <c r="EL24" s="1412"/>
      <c r="EM24" s="1412">
        <v>14496076</v>
      </c>
      <c r="EN24" s="1412"/>
      <c r="EO24" s="1412"/>
      <c r="EP24" s="1412"/>
      <c r="EQ24" s="1412"/>
      <c r="ER24" s="1412"/>
      <c r="ES24" s="1412">
        <v>146342754</v>
      </c>
    </row>
    <row r="25" spans="5:149" ht="14.4">
      <c r="E25" s="1208">
        <v>42522</v>
      </c>
      <c r="F25" s="1412"/>
      <c r="G25" s="1363">
        <v>17424</v>
      </c>
      <c r="H25" s="1412"/>
      <c r="I25" s="1412">
        <v>13623798</v>
      </c>
      <c r="J25" s="1412">
        <v>13623798</v>
      </c>
      <c r="K25" s="1412"/>
      <c r="L25" s="1412"/>
      <c r="M25" s="1412">
        <v>1217170</v>
      </c>
      <c r="N25" s="1412">
        <v>1217170</v>
      </c>
      <c r="O25" s="1412">
        <v>1217170</v>
      </c>
      <c r="P25" s="1412"/>
      <c r="Q25" s="1412">
        <v>0</v>
      </c>
      <c r="R25" s="1412"/>
      <c r="S25" s="1412"/>
      <c r="T25" s="1412">
        <v>0</v>
      </c>
      <c r="U25" s="1412"/>
      <c r="V25" s="1412"/>
      <c r="W25" s="1412"/>
      <c r="X25" s="1412">
        <v>0</v>
      </c>
      <c r="Y25" s="1412">
        <v>0</v>
      </c>
      <c r="Z25" s="1412"/>
      <c r="AA25" s="1412"/>
      <c r="AB25" s="1412">
        <v>0</v>
      </c>
      <c r="AC25" s="1412"/>
      <c r="AD25" s="1412"/>
      <c r="AE25" s="1412"/>
      <c r="AF25" s="1412">
        <v>0</v>
      </c>
      <c r="AG25" s="1412"/>
      <c r="AH25" s="1412"/>
      <c r="AI25" s="1412"/>
      <c r="AJ25" s="1412"/>
      <c r="AK25" s="1412">
        <v>0</v>
      </c>
      <c r="AL25" s="1412"/>
      <c r="AM25" s="1412"/>
      <c r="AN25" s="1412"/>
      <c r="AO25" s="1412">
        <v>3167513</v>
      </c>
      <c r="AP25" s="1412">
        <v>3056166</v>
      </c>
      <c r="AQ25" s="1412">
        <v>111347</v>
      </c>
      <c r="AR25" s="1412">
        <v>111347</v>
      </c>
      <c r="AS25" s="1412"/>
      <c r="AT25" s="1412"/>
      <c r="AU25" s="1412"/>
      <c r="AV25" s="1412"/>
      <c r="AW25" s="1412"/>
      <c r="AX25" s="1412"/>
      <c r="AY25" s="1412">
        <v>29976865</v>
      </c>
      <c r="AZ25" s="1412">
        <v>0</v>
      </c>
      <c r="BA25" s="1412"/>
      <c r="BB25" s="1412"/>
      <c r="BC25" s="1412"/>
      <c r="BD25" s="1412">
        <v>29976865</v>
      </c>
      <c r="BE25" s="1412">
        <v>0</v>
      </c>
      <c r="BF25" s="1412"/>
      <c r="BG25" s="1412"/>
      <c r="BH25" s="1412"/>
      <c r="BI25" s="1412"/>
      <c r="BJ25" s="1412"/>
      <c r="BK25" s="1412"/>
      <c r="BL25" s="1412">
        <v>0</v>
      </c>
      <c r="BM25" s="1412">
        <v>0</v>
      </c>
      <c r="BN25" s="1412"/>
      <c r="BO25" s="1412"/>
      <c r="BP25" s="1412"/>
      <c r="BQ25" s="1412"/>
      <c r="BR25" s="1412"/>
      <c r="BS25" s="1412"/>
      <c r="BT25" s="1412">
        <v>0</v>
      </c>
      <c r="BU25" s="1412">
        <v>0</v>
      </c>
      <c r="BV25" s="1412"/>
      <c r="BW25" s="1412"/>
      <c r="BX25" s="1412"/>
      <c r="BY25" s="1412"/>
      <c r="BZ25" s="1412"/>
      <c r="CA25" s="1412"/>
      <c r="CB25" s="1412"/>
      <c r="CC25" s="1412">
        <v>0</v>
      </c>
      <c r="CD25" s="1412">
        <v>0</v>
      </c>
      <c r="CE25" s="1412"/>
      <c r="CF25" s="1412">
        <v>0</v>
      </c>
      <c r="CG25" s="1412"/>
      <c r="CH25" s="1412"/>
      <c r="CI25" s="1412"/>
      <c r="CJ25" s="1412">
        <v>0</v>
      </c>
      <c r="CK25" s="1412"/>
      <c r="CL25" s="1412"/>
      <c r="CM25" s="1412"/>
      <c r="CN25" s="1412"/>
      <c r="CO25" s="1412"/>
      <c r="CP25" s="1412"/>
      <c r="CQ25" s="1412">
        <v>9500000</v>
      </c>
      <c r="CR25" s="1412"/>
      <c r="CS25" s="1412">
        <v>9500000</v>
      </c>
      <c r="CT25" s="1412"/>
      <c r="CU25" s="1412">
        <v>66838161</v>
      </c>
      <c r="CV25" s="1412">
        <v>60267115</v>
      </c>
      <c r="CW25" s="1412">
        <v>6571046</v>
      </c>
      <c r="CX25" s="1412"/>
      <c r="CY25" s="1412">
        <v>0</v>
      </c>
      <c r="CZ25" s="1412"/>
      <c r="DA25" s="1412">
        <v>0</v>
      </c>
      <c r="DB25" s="1412"/>
      <c r="DC25" s="1412"/>
      <c r="DD25" s="1412"/>
      <c r="DE25" s="1412">
        <v>0</v>
      </c>
      <c r="DF25" s="1412"/>
      <c r="DG25" s="1412"/>
      <c r="DH25" s="1412"/>
      <c r="DI25" s="1412">
        <v>0</v>
      </c>
      <c r="DJ25" s="1412"/>
      <c r="DK25" s="1412"/>
      <c r="DL25" s="1412"/>
      <c r="DM25" s="1412"/>
      <c r="DN25" s="1412">
        <v>0</v>
      </c>
      <c r="DO25" s="1412"/>
      <c r="DP25" s="1412">
        <v>0</v>
      </c>
      <c r="DQ25" s="1412"/>
      <c r="DR25" s="1412"/>
      <c r="DS25" s="1412"/>
      <c r="DT25" s="1412">
        <v>0</v>
      </c>
      <c r="DU25" s="1412"/>
      <c r="DV25" s="1412"/>
      <c r="DW25" s="1412"/>
      <c r="DX25" s="1412"/>
      <c r="DY25" s="1412">
        <v>663638</v>
      </c>
      <c r="DZ25" s="1412"/>
      <c r="EA25" s="1412">
        <v>1824</v>
      </c>
      <c r="EB25" s="1412">
        <v>0</v>
      </c>
      <c r="EC25" s="1412"/>
      <c r="ED25" s="1412">
        <v>635182</v>
      </c>
      <c r="EE25" s="1412">
        <v>26632</v>
      </c>
      <c r="EF25" s="1412"/>
      <c r="EG25" s="1412"/>
      <c r="EH25" s="1412">
        <v>8076053</v>
      </c>
      <c r="EI25" s="1412">
        <v>2002687</v>
      </c>
      <c r="EJ25" s="1412">
        <v>5319970</v>
      </c>
      <c r="EK25" s="1412">
        <v>753396</v>
      </c>
      <c r="EL25" s="1412"/>
      <c r="EM25" s="1412">
        <v>15869853</v>
      </c>
      <c r="EN25" s="1412"/>
      <c r="EO25" s="1412"/>
      <c r="EP25" s="1412"/>
      <c r="EQ25" s="1412"/>
      <c r="ER25" s="1412"/>
      <c r="ES25" s="1412">
        <v>148950475</v>
      </c>
    </row>
    <row r="26" spans="5:149" ht="14.4">
      <c r="E26" s="1208">
        <v>42552</v>
      </c>
      <c r="F26" s="1412"/>
      <c r="G26" s="1363">
        <v>8373</v>
      </c>
      <c r="H26" s="1412"/>
      <c r="I26" s="1412">
        <v>11017351</v>
      </c>
      <c r="J26" s="1412">
        <v>11017351</v>
      </c>
      <c r="K26" s="1412"/>
      <c r="L26" s="1412"/>
      <c r="M26" s="1412">
        <v>137398</v>
      </c>
      <c r="N26" s="1412">
        <v>137398</v>
      </c>
      <c r="O26" s="1412">
        <v>137398</v>
      </c>
      <c r="P26" s="1412"/>
      <c r="Q26" s="1412">
        <v>0</v>
      </c>
      <c r="R26" s="1412"/>
      <c r="S26" s="1412"/>
      <c r="T26" s="1412">
        <v>0</v>
      </c>
      <c r="U26" s="1412"/>
      <c r="V26" s="1412"/>
      <c r="W26" s="1412"/>
      <c r="X26" s="1412">
        <v>0</v>
      </c>
      <c r="Y26" s="1412">
        <v>0</v>
      </c>
      <c r="Z26" s="1412"/>
      <c r="AA26" s="1412"/>
      <c r="AB26" s="1412">
        <v>0</v>
      </c>
      <c r="AC26" s="1412"/>
      <c r="AD26" s="1412"/>
      <c r="AE26" s="1412"/>
      <c r="AF26" s="1412">
        <v>0</v>
      </c>
      <c r="AG26" s="1412"/>
      <c r="AH26" s="1412"/>
      <c r="AI26" s="1412"/>
      <c r="AJ26" s="1412"/>
      <c r="AK26" s="1412">
        <v>0</v>
      </c>
      <c r="AL26" s="1412"/>
      <c r="AM26" s="1412"/>
      <c r="AN26" s="1412"/>
      <c r="AO26" s="1412">
        <v>1291996</v>
      </c>
      <c r="AP26" s="1412">
        <v>932985</v>
      </c>
      <c r="AQ26" s="1412">
        <v>359011</v>
      </c>
      <c r="AR26" s="1412">
        <v>359011</v>
      </c>
      <c r="AS26" s="1412"/>
      <c r="AT26" s="1412"/>
      <c r="AU26" s="1412"/>
      <c r="AV26" s="1412"/>
      <c r="AW26" s="1412"/>
      <c r="AX26" s="1412"/>
      <c r="AY26" s="1412">
        <v>31427786</v>
      </c>
      <c r="AZ26" s="1412">
        <v>0</v>
      </c>
      <c r="BA26" s="1412"/>
      <c r="BB26" s="1412"/>
      <c r="BC26" s="1412"/>
      <c r="BD26" s="1412">
        <v>31427786</v>
      </c>
      <c r="BE26" s="1412">
        <v>0</v>
      </c>
      <c r="BF26" s="1412"/>
      <c r="BG26" s="1412"/>
      <c r="BH26" s="1412"/>
      <c r="BI26" s="1412"/>
      <c r="BJ26" s="1412"/>
      <c r="BK26" s="1412"/>
      <c r="BL26" s="1412">
        <v>0</v>
      </c>
      <c r="BM26" s="1412">
        <v>0</v>
      </c>
      <c r="BN26" s="1412"/>
      <c r="BO26" s="1412"/>
      <c r="BP26" s="1412"/>
      <c r="BQ26" s="1412"/>
      <c r="BR26" s="1412"/>
      <c r="BS26" s="1412"/>
      <c r="BT26" s="1412">
        <v>0</v>
      </c>
      <c r="BU26" s="1412">
        <v>0</v>
      </c>
      <c r="BV26" s="1412"/>
      <c r="BW26" s="1412"/>
      <c r="BX26" s="1412"/>
      <c r="BY26" s="1412"/>
      <c r="BZ26" s="1412"/>
      <c r="CA26" s="1412"/>
      <c r="CB26" s="1412"/>
      <c r="CC26" s="1412">
        <v>0</v>
      </c>
      <c r="CD26" s="1412">
        <v>0</v>
      </c>
      <c r="CE26" s="1412"/>
      <c r="CF26" s="1412">
        <v>0</v>
      </c>
      <c r="CG26" s="1412"/>
      <c r="CH26" s="1412"/>
      <c r="CI26" s="1412"/>
      <c r="CJ26" s="1412">
        <v>0</v>
      </c>
      <c r="CK26" s="1412"/>
      <c r="CL26" s="1412"/>
      <c r="CM26" s="1412"/>
      <c r="CN26" s="1412"/>
      <c r="CO26" s="1412"/>
      <c r="CP26" s="1412"/>
      <c r="CQ26" s="1412">
        <v>12500000</v>
      </c>
      <c r="CR26" s="1412"/>
      <c r="CS26" s="1412">
        <v>12500000</v>
      </c>
      <c r="CT26" s="1412"/>
      <c r="CU26" s="1412">
        <v>66433633</v>
      </c>
      <c r="CV26" s="1412">
        <v>60121936</v>
      </c>
      <c r="CW26" s="1412">
        <v>6311697</v>
      </c>
      <c r="CX26" s="1412"/>
      <c r="CY26" s="1412">
        <v>0</v>
      </c>
      <c r="CZ26" s="1412"/>
      <c r="DA26" s="1412">
        <v>0</v>
      </c>
      <c r="DB26" s="1412"/>
      <c r="DC26" s="1412"/>
      <c r="DD26" s="1412"/>
      <c r="DE26" s="1412">
        <v>0</v>
      </c>
      <c r="DF26" s="1412"/>
      <c r="DG26" s="1412"/>
      <c r="DH26" s="1412"/>
      <c r="DI26" s="1412">
        <v>0</v>
      </c>
      <c r="DJ26" s="1412"/>
      <c r="DK26" s="1412"/>
      <c r="DL26" s="1412"/>
      <c r="DM26" s="1412"/>
      <c r="DN26" s="1412">
        <v>0</v>
      </c>
      <c r="DO26" s="1412"/>
      <c r="DP26" s="1412">
        <v>0</v>
      </c>
      <c r="DQ26" s="1412"/>
      <c r="DR26" s="1412"/>
      <c r="DS26" s="1412"/>
      <c r="DT26" s="1412">
        <v>0</v>
      </c>
      <c r="DU26" s="1412"/>
      <c r="DV26" s="1412"/>
      <c r="DW26" s="1412"/>
      <c r="DX26" s="1412"/>
      <c r="DY26" s="1412">
        <v>421764</v>
      </c>
      <c r="DZ26" s="1412"/>
      <c r="EA26" s="1412">
        <v>0</v>
      </c>
      <c r="EB26" s="1412">
        <v>0</v>
      </c>
      <c r="EC26" s="1412"/>
      <c r="ED26" s="1412">
        <v>395836</v>
      </c>
      <c r="EE26" s="1412">
        <v>25928</v>
      </c>
      <c r="EF26" s="1412"/>
      <c r="EG26" s="1412"/>
      <c r="EH26" s="1412">
        <v>8037433</v>
      </c>
      <c r="EI26" s="1412">
        <v>1999293</v>
      </c>
      <c r="EJ26" s="1412">
        <v>5251621</v>
      </c>
      <c r="EK26" s="1412">
        <v>786519</v>
      </c>
      <c r="EL26" s="1412"/>
      <c r="EM26" s="1412">
        <v>16166672</v>
      </c>
      <c r="EN26" s="1412"/>
      <c r="EO26" s="1412"/>
      <c r="EP26" s="1412"/>
      <c r="EQ26" s="1412"/>
      <c r="ER26" s="1412"/>
      <c r="ES26" s="1412">
        <v>147442406</v>
      </c>
    </row>
    <row r="27" spans="5:149" ht="14.4">
      <c r="E27" s="1208">
        <v>42583</v>
      </c>
      <c r="F27" s="1412"/>
      <c r="G27" s="1363">
        <v>22039</v>
      </c>
      <c r="H27" s="1412"/>
      <c r="I27" s="1412">
        <v>16111286</v>
      </c>
      <c r="J27" s="1412">
        <v>16111286</v>
      </c>
      <c r="K27" s="1412"/>
      <c r="L27" s="1412"/>
      <c r="M27" s="1412">
        <v>386379</v>
      </c>
      <c r="N27" s="1412">
        <v>386379</v>
      </c>
      <c r="O27" s="1412">
        <v>386379</v>
      </c>
      <c r="P27" s="1412"/>
      <c r="Q27" s="1412">
        <v>0</v>
      </c>
      <c r="R27" s="1412"/>
      <c r="S27" s="1412"/>
      <c r="T27" s="1412">
        <v>0</v>
      </c>
      <c r="U27" s="1412"/>
      <c r="V27" s="1412"/>
      <c r="W27" s="1412"/>
      <c r="X27" s="1412">
        <v>0</v>
      </c>
      <c r="Y27" s="1412">
        <v>0</v>
      </c>
      <c r="Z27" s="1412"/>
      <c r="AA27" s="1412"/>
      <c r="AB27" s="1412">
        <v>0</v>
      </c>
      <c r="AC27" s="1412"/>
      <c r="AD27" s="1412"/>
      <c r="AE27" s="1412"/>
      <c r="AF27" s="1412">
        <v>0</v>
      </c>
      <c r="AG27" s="1412"/>
      <c r="AH27" s="1412"/>
      <c r="AI27" s="1412"/>
      <c r="AJ27" s="1412"/>
      <c r="AK27" s="1412">
        <v>0</v>
      </c>
      <c r="AL27" s="1412"/>
      <c r="AM27" s="1412"/>
      <c r="AN27" s="1412"/>
      <c r="AO27" s="1412">
        <v>694086</v>
      </c>
      <c r="AP27" s="1412">
        <v>614094</v>
      </c>
      <c r="AQ27" s="1412">
        <v>79992</v>
      </c>
      <c r="AR27" s="1412">
        <v>79992</v>
      </c>
      <c r="AS27" s="1412"/>
      <c r="AT27" s="1412"/>
      <c r="AU27" s="1412"/>
      <c r="AV27" s="1412"/>
      <c r="AW27" s="1412"/>
      <c r="AX27" s="1412"/>
      <c r="AY27" s="1412">
        <v>27503408</v>
      </c>
      <c r="AZ27" s="1412">
        <v>0</v>
      </c>
      <c r="BA27" s="1412"/>
      <c r="BB27" s="1412"/>
      <c r="BC27" s="1412"/>
      <c r="BD27" s="1412">
        <v>27503408</v>
      </c>
      <c r="BE27" s="1412">
        <v>0</v>
      </c>
      <c r="BF27" s="1412"/>
      <c r="BG27" s="1412"/>
      <c r="BH27" s="1412"/>
      <c r="BI27" s="1412"/>
      <c r="BJ27" s="1412"/>
      <c r="BK27" s="1412"/>
      <c r="BL27" s="1412">
        <v>0</v>
      </c>
      <c r="BM27" s="1412">
        <v>0</v>
      </c>
      <c r="BN27" s="1412"/>
      <c r="BO27" s="1412"/>
      <c r="BP27" s="1412"/>
      <c r="BQ27" s="1412"/>
      <c r="BR27" s="1412"/>
      <c r="BS27" s="1412"/>
      <c r="BT27" s="1412">
        <v>0</v>
      </c>
      <c r="BU27" s="1412">
        <v>0</v>
      </c>
      <c r="BV27" s="1412"/>
      <c r="BW27" s="1412"/>
      <c r="BX27" s="1412"/>
      <c r="BY27" s="1412"/>
      <c r="BZ27" s="1412"/>
      <c r="CA27" s="1412"/>
      <c r="CB27" s="1412"/>
      <c r="CC27" s="1412">
        <v>148276</v>
      </c>
      <c r="CD27" s="1412">
        <v>0</v>
      </c>
      <c r="CE27" s="1412"/>
      <c r="CF27" s="1412">
        <v>0</v>
      </c>
      <c r="CG27" s="1412"/>
      <c r="CH27" s="1412"/>
      <c r="CI27" s="1412"/>
      <c r="CJ27" s="1412">
        <v>148276</v>
      </c>
      <c r="CK27" s="1412"/>
      <c r="CL27" s="1412">
        <v>148276</v>
      </c>
      <c r="CM27" s="1412"/>
      <c r="CN27" s="1412"/>
      <c r="CO27" s="1412"/>
      <c r="CP27" s="1412"/>
      <c r="CQ27" s="1412">
        <v>12000000</v>
      </c>
      <c r="CR27" s="1412"/>
      <c r="CS27" s="1412">
        <v>12000000</v>
      </c>
      <c r="CT27" s="1412"/>
      <c r="CU27" s="1412">
        <v>67325266</v>
      </c>
      <c r="CV27" s="1412">
        <v>61030556</v>
      </c>
      <c r="CW27" s="1412">
        <v>6294710</v>
      </c>
      <c r="CX27" s="1412"/>
      <c r="CY27" s="1412">
        <v>0</v>
      </c>
      <c r="CZ27" s="1412"/>
      <c r="DA27" s="1412">
        <v>0</v>
      </c>
      <c r="DB27" s="1412"/>
      <c r="DC27" s="1412"/>
      <c r="DD27" s="1412"/>
      <c r="DE27" s="1412">
        <v>0</v>
      </c>
      <c r="DF27" s="1412"/>
      <c r="DG27" s="1412"/>
      <c r="DH27" s="1412"/>
      <c r="DI27" s="1412">
        <v>0</v>
      </c>
      <c r="DJ27" s="1412"/>
      <c r="DK27" s="1412"/>
      <c r="DL27" s="1412"/>
      <c r="DM27" s="1412"/>
      <c r="DN27" s="1412">
        <v>0</v>
      </c>
      <c r="DO27" s="1412"/>
      <c r="DP27" s="1412">
        <v>0</v>
      </c>
      <c r="DQ27" s="1412"/>
      <c r="DR27" s="1412"/>
      <c r="DS27" s="1412"/>
      <c r="DT27" s="1412">
        <v>0</v>
      </c>
      <c r="DU27" s="1412"/>
      <c r="DV27" s="1412"/>
      <c r="DW27" s="1412"/>
      <c r="DX27" s="1412"/>
      <c r="DY27" s="1412">
        <v>426858</v>
      </c>
      <c r="DZ27" s="1412"/>
      <c r="EA27" s="1412">
        <v>0</v>
      </c>
      <c r="EB27" s="1412">
        <v>0</v>
      </c>
      <c r="EC27" s="1412"/>
      <c r="ED27" s="1412">
        <v>400070</v>
      </c>
      <c r="EE27" s="1412">
        <v>26788</v>
      </c>
      <c r="EF27" s="1412"/>
      <c r="EG27" s="1412"/>
      <c r="EH27" s="1412">
        <v>7917224</v>
      </c>
      <c r="EI27" s="1412">
        <v>1995900</v>
      </c>
      <c r="EJ27" s="1412">
        <v>5162803</v>
      </c>
      <c r="EK27" s="1412">
        <v>758521</v>
      </c>
      <c r="EL27" s="1412"/>
      <c r="EM27" s="1412">
        <v>16301364</v>
      </c>
      <c r="EN27" s="1412"/>
      <c r="EO27" s="1412"/>
      <c r="EP27" s="1412"/>
      <c r="EQ27" s="1412"/>
      <c r="ER27" s="1412"/>
      <c r="ES27" s="1412">
        <v>148836186</v>
      </c>
    </row>
    <row r="28" spans="5:149" ht="14.4">
      <c r="E28" s="1208">
        <v>42614</v>
      </c>
      <c r="F28" s="1412"/>
      <c r="G28" s="1363">
        <v>24424</v>
      </c>
      <c r="H28" s="1412"/>
      <c r="I28" s="1412">
        <v>16886465</v>
      </c>
      <c r="J28" s="1412">
        <v>16886465</v>
      </c>
      <c r="K28" s="1412"/>
      <c r="L28" s="1412"/>
      <c r="M28" s="1412">
        <v>439537</v>
      </c>
      <c r="N28" s="1412">
        <v>439537</v>
      </c>
      <c r="O28" s="1412">
        <v>439537</v>
      </c>
      <c r="P28" s="1412"/>
      <c r="Q28" s="1412">
        <v>0</v>
      </c>
      <c r="R28" s="1412"/>
      <c r="S28" s="1412"/>
      <c r="T28" s="1412">
        <v>0</v>
      </c>
      <c r="U28" s="1412"/>
      <c r="V28" s="1412"/>
      <c r="W28" s="1412"/>
      <c r="X28" s="1412">
        <v>0</v>
      </c>
      <c r="Y28" s="1412">
        <v>0</v>
      </c>
      <c r="Z28" s="1412"/>
      <c r="AA28" s="1412"/>
      <c r="AB28" s="1412">
        <v>0</v>
      </c>
      <c r="AC28" s="1412"/>
      <c r="AD28" s="1412"/>
      <c r="AE28" s="1412"/>
      <c r="AF28" s="1412">
        <v>0</v>
      </c>
      <c r="AG28" s="1412"/>
      <c r="AH28" s="1412"/>
      <c r="AI28" s="1412"/>
      <c r="AJ28" s="1412"/>
      <c r="AK28" s="1412">
        <v>0</v>
      </c>
      <c r="AL28" s="1412"/>
      <c r="AM28" s="1412"/>
      <c r="AN28" s="1412"/>
      <c r="AO28" s="1412">
        <v>571158</v>
      </c>
      <c r="AP28" s="1412">
        <v>478069</v>
      </c>
      <c r="AQ28" s="1412">
        <v>93089</v>
      </c>
      <c r="AR28" s="1412">
        <v>93089</v>
      </c>
      <c r="AS28" s="1412"/>
      <c r="AT28" s="1412"/>
      <c r="AU28" s="1412"/>
      <c r="AV28" s="1412"/>
      <c r="AW28" s="1412"/>
      <c r="AX28" s="1412"/>
      <c r="AY28" s="1412">
        <v>35881286</v>
      </c>
      <c r="AZ28" s="1412">
        <v>0</v>
      </c>
      <c r="BA28" s="1412"/>
      <c r="BB28" s="1412"/>
      <c r="BC28" s="1412"/>
      <c r="BD28" s="1412">
        <v>35881286</v>
      </c>
      <c r="BE28" s="1412">
        <v>0</v>
      </c>
      <c r="BF28" s="1412"/>
      <c r="BG28" s="1412"/>
      <c r="BH28" s="1412"/>
      <c r="BI28" s="1412"/>
      <c r="BJ28" s="1412"/>
      <c r="BK28" s="1412"/>
      <c r="BL28" s="1412">
        <v>0</v>
      </c>
      <c r="BM28" s="1412">
        <v>0</v>
      </c>
      <c r="BN28" s="1412"/>
      <c r="BO28" s="1412"/>
      <c r="BP28" s="1412"/>
      <c r="BQ28" s="1412"/>
      <c r="BR28" s="1412"/>
      <c r="BS28" s="1412"/>
      <c r="BT28" s="1412">
        <v>0</v>
      </c>
      <c r="BU28" s="1412">
        <v>0</v>
      </c>
      <c r="BV28" s="1412"/>
      <c r="BW28" s="1412"/>
      <c r="BX28" s="1412"/>
      <c r="BY28" s="1412"/>
      <c r="BZ28" s="1412"/>
      <c r="CA28" s="1412"/>
      <c r="CB28" s="1412"/>
      <c r="CC28" s="1412">
        <v>147762</v>
      </c>
      <c r="CD28" s="1412">
        <v>0</v>
      </c>
      <c r="CE28" s="1412"/>
      <c r="CF28" s="1412">
        <v>0</v>
      </c>
      <c r="CG28" s="1412"/>
      <c r="CH28" s="1412"/>
      <c r="CI28" s="1412"/>
      <c r="CJ28" s="1412">
        <v>147762</v>
      </c>
      <c r="CK28" s="1412"/>
      <c r="CL28" s="1412">
        <v>147762</v>
      </c>
      <c r="CM28" s="1412"/>
      <c r="CN28" s="1412"/>
      <c r="CO28" s="1412"/>
      <c r="CP28" s="1412"/>
      <c r="CQ28" s="1412">
        <v>9000000</v>
      </c>
      <c r="CR28" s="1412"/>
      <c r="CS28" s="1412">
        <v>9000000</v>
      </c>
      <c r="CT28" s="1412"/>
      <c r="CU28" s="1412">
        <v>67990575</v>
      </c>
      <c r="CV28" s="1412">
        <v>61543278</v>
      </c>
      <c r="CW28" s="1412">
        <v>6447297</v>
      </c>
      <c r="CX28" s="1412"/>
      <c r="CY28" s="1412">
        <v>0</v>
      </c>
      <c r="CZ28" s="1412"/>
      <c r="DA28" s="1412">
        <v>0</v>
      </c>
      <c r="DB28" s="1412"/>
      <c r="DC28" s="1412"/>
      <c r="DD28" s="1412"/>
      <c r="DE28" s="1412">
        <v>0</v>
      </c>
      <c r="DF28" s="1412"/>
      <c r="DG28" s="1412"/>
      <c r="DH28" s="1412"/>
      <c r="DI28" s="1412">
        <v>0</v>
      </c>
      <c r="DJ28" s="1412"/>
      <c r="DK28" s="1412"/>
      <c r="DL28" s="1412"/>
      <c r="DM28" s="1412"/>
      <c r="DN28" s="1412">
        <v>0</v>
      </c>
      <c r="DO28" s="1412"/>
      <c r="DP28" s="1412">
        <v>0</v>
      </c>
      <c r="DQ28" s="1412"/>
      <c r="DR28" s="1412"/>
      <c r="DS28" s="1412"/>
      <c r="DT28" s="1412">
        <v>0</v>
      </c>
      <c r="DU28" s="1412"/>
      <c r="DV28" s="1412"/>
      <c r="DW28" s="1412"/>
      <c r="DX28" s="1412"/>
      <c r="DY28" s="1412">
        <v>443673</v>
      </c>
      <c r="DZ28" s="1412"/>
      <c r="EA28" s="1412">
        <v>0</v>
      </c>
      <c r="EB28" s="1412">
        <v>0</v>
      </c>
      <c r="EC28" s="1412"/>
      <c r="ED28" s="1412">
        <v>416736</v>
      </c>
      <c r="EE28" s="1412">
        <v>26937</v>
      </c>
      <c r="EF28" s="1412"/>
      <c r="EG28" s="1412"/>
      <c r="EH28" s="1412">
        <v>7824206</v>
      </c>
      <c r="EI28" s="1412">
        <v>1992506</v>
      </c>
      <c r="EJ28" s="1412">
        <v>5073301</v>
      </c>
      <c r="EK28" s="1412">
        <v>758399</v>
      </c>
      <c r="EL28" s="1412"/>
      <c r="EM28" s="1412">
        <v>16484209</v>
      </c>
      <c r="EN28" s="1412"/>
      <c r="EO28" s="1412"/>
      <c r="EP28" s="1412"/>
      <c r="EQ28" s="1412"/>
      <c r="ER28" s="1412"/>
      <c r="ES28" s="1412">
        <v>155693295</v>
      </c>
    </row>
    <row r="29" spans="5:149" ht="14.4">
      <c r="E29" s="1208">
        <v>42644</v>
      </c>
      <c r="F29" s="1412"/>
      <c r="G29" s="1363">
        <v>23023</v>
      </c>
      <c r="H29" s="1412"/>
      <c r="I29" s="1412">
        <v>11438407</v>
      </c>
      <c r="J29" s="1412">
        <v>11438407</v>
      </c>
      <c r="K29" s="1412"/>
      <c r="L29" s="1412"/>
      <c r="M29" s="1412">
        <v>43358</v>
      </c>
      <c r="N29" s="1412">
        <v>43358</v>
      </c>
      <c r="O29" s="1412">
        <v>43358</v>
      </c>
      <c r="P29" s="1412"/>
      <c r="Q29" s="1412">
        <v>0</v>
      </c>
      <c r="R29" s="1412"/>
      <c r="S29" s="1412"/>
      <c r="T29" s="1412">
        <v>0</v>
      </c>
      <c r="U29" s="1412"/>
      <c r="V29" s="1412"/>
      <c r="W29" s="1412"/>
      <c r="X29" s="1412">
        <v>0</v>
      </c>
      <c r="Y29" s="1412">
        <v>0</v>
      </c>
      <c r="Z29" s="1412"/>
      <c r="AA29" s="1412"/>
      <c r="AB29" s="1412">
        <v>0</v>
      </c>
      <c r="AC29" s="1412"/>
      <c r="AD29" s="1412"/>
      <c r="AE29" s="1412"/>
      <c r="AF29" s="1412">
        <v>0</v>
      </c>
      <c r="AG29" s="1412"/>
      <c r="AH29" s="1412"/>
      <c r="AI29" s="1412"/>
      <c r="AJ29" s="1412"/>
      <c r="AK29" s="1412">
        <v>0</v>
      </c>
      <c r="AL29" s="1412"/>
      <c r="AM29" s="1412"/>
      <c r="AN29" s="1412"/>
      <c r="AO29" s="1412">
        <v>642308</v>
      </c>
      <c r="AP29" s="1412">
        <v>283219</v>
      </c>
      <c r="AQ29" s="1412">
        <v>359089</v>
      </c>
      <c r="AR29" s="1412">
        <v>359089</v>
      </c>
      <c r="AS29" s="1412"/>
      <c r="AT29" s="1412"/>
      <c r="AU29" s="1412"/>
      <c r="AV29" s="1412"/>
      <c r="AW29" s="1412"/>
      <c r="AX29" s="1412"/>
      <c r="AY29" s="1412">
        <v>40245360</v>
      </c>
      <c r="AZ29" s="1412">
        <v>0</v>
      </c>
      <c r="BA29" s="1412"/>
      <c r="BB29" s="1412"/>
      <c r="BC29" s="1412"/>
      <c r="BD29" s="1412">
        <v>40245360</v>
      </c>
      <c r="BE29" s="1412">
        <v>0</v>
      </c>
      <c r="BF29" s="1412"/>
      <c r="BG29" s="1412"/>
      <c r="BH29" s="1412"/>
      <c r="BI29" s="1412"/>
      <c r="BJ29" s="1412"/>
      <c r="BK29" s="1412"/>
      <c r="BL29" s="1412">
        <v>0</v>
      </c>
      <c r="BM29" s="1412">
        <v>0</v>
      </c>
      <c r="BN29" s="1412"/>
      <c r="BO29" s="1412"/>
      <c r="BP29" s="1412"/>
      <c r="BQ29" s="1412"/>
      <c r="BR29" s="1412"/>
      <c r="BS29" s="1412"/>
      <c r="BT29" s="1412">
        <v>0</v>
      </c>
      <c r="BU29" s="1412">
        <v>0</v>
      </c>
      <c r="BV29" s="1412"/>
      <c r="BW29" s="1412"/>
      <c r="BX29" s="1412"/>
      <c r="BY29" s="1412"/>
      <c r="BZ29" s="1412"/>
      <c r="CA29" s="1412"/>
      <c r="CB29" s="1412"/>
      <c r="CC29" s="1412">
        <v>145496</v>
      </c>
      <c r="CD29" s="1412">
        <v>0</v>
      </c>
      <c r="CE29" s="1412"/>
      <c r="CF29" s="1412">
        <v>0</v>
      </c>
      <c r="CG29" s="1412"/>
      <c r="CH29" s="1412"/>
      <c r="CI29" s="1412"/>
      <c r="CJ29" s="1412">
        <v>145496</v>
      </c>
      <c r="CK29" s="1412"/>
      <c r="CL29" s="1412">
        <v>145496</v>
      </c>
      <c r="CM29" s="1412"/>
      <c r="CN29" s="1412"/>
      <c r="CO29" s="1412"/>
      <c r="CP29" s="1412"/>
      <c r="CQ29" s="1412">
        <v>4000000</v>
      </c>
      <c r="CR29" s="1412"/>
      <c r="CS29" s="1412">
        <v>4000000</v>
      </c>
      <c r="CT29" s="1412"/>
      <c r="CU29" s="1412">
        <v>67620173</v>
      </c>
      <c r="CV29" s="1412">
        <v>61373883</v>
      </c>
      <c r="CW29" s="1412">
        <v>6246290</v>
      </c>
      <c r="CX29" s="1412"/>
      <c r="CY29" s="1412">
        <v>0</v>
      </c>
      <c r="CZ29" s="1412"/>
      <c r="DA29" s="1412">
        <v>0</v>
      </c>
      <c r="DB29" s="1412"/>
      <c r="DC29" s="1412"/>
      <c r="DD29" s="1412"/>
      <c r="DE29" s="1412">
        <v>0</v>
      </c>
      <c r="DF29" s="1412"/>
      <c r="DG29" s="1412"/>
      <c r="DH29" s="1412"/>
      <c r="DI29" s="1412">
        <v>0</v>
      </c>
      <c r="DJ29" s="1412"/>
      <c r="DK29" s="1412"/>
      <c r="DL29" s="1412"/>
      <c r="DM29" s="1412"/>
      <c r="DN29" s="1412">
        <v>0</v>
      </c>
      <c r="DO29" s="1412"/>
      <c r="DP29" s="1412">
        <v>0</v>
      </c>
      <c r="DQ29" s="1412"/>
      <c r="DR29" s="1412"/>
      <c r="DS29" s="1412"/>
      <c r="DT29" s="1412">
        <v>0</v>
      </c>
      <c r="DU29" s="1412"/>
      <c r="DV29" s="1412"/>
      <c r="DW29" s="1412"/>
      <c r="DX29" s="1412"/>
      <c r="DY29" s="1412">
        <v>594212</v>
      </c>
      <c r="DZ29" s="1412"/>
      <c r="EA29" s="1412">
        <v>0</v>
      </c>
      <c r="EB29" s="1412">
        <v>0</v>
      </c>
      <c r="EC29" s="1412"/>
      <c r="ED29" s="1412">
        <v>567875</v>
      </c>
      <c r="EE29" s="1412">
        <v>26337</v>
      </c>
      <c r="EF29" s="1412"/>
      <c r="EG29" s="1412"/>
      <c r="EH29" s="1412">
        <v>7781871</v>
      </c>
      <c r="EI29" s="1412">
        <v>1989112</v>
      </c>
      <c r="EJ29" s="1412">
        <v>5060481</v>
      </c>
      <c r="EK29" s="1412">
        <v>732278</v>
      </c>
      <c r="EL29" s="1412"/>
      <c r="EM29" s="1412">
        <v>16269504</v>
      </c>
      <c r="EN29" s="1412"/>
      <c r="EO29" s="1412"/>
      <c r="EP29" s="1412"/>
      <c r="EQ29" s="1412"/>
      <c r="ER29" s="1412"/>
      <c r="ES29" s="1412">
        <v>148803712</v>
      </c>
    </row>
    <row r="30" spans="5:149" ht="14.4">
      <c r="E30" s="1208">
        <v>42675</v>
      </c>
      <c r="F30" s="1412"/>
      <c r="G30" s="1363">
        <v>185326</v>
      </c>
      <c r="H30" s="1412"/>
      <c r="I30" s="1412">
        <v>19960570</v>
      </c>
      <c r="J30" s="1412">
        <v>19960570</v>
      </c>
      <c r="K30" s="1412"/>
      <c r="L30" s="1412"/>
      <c r="M30" s="1412">
        <v>98160</v>
      </c>
      <c r="N30" s="1412">
        <v>98160</v>
      </c>
      <c r="O30" s="1412">
        <v>98160</v>
      </c>
      <c r="P30" s="1412"/>
      <c r="Q30" s="1412">
        <v>0</v>
      </c>
      <c r="R30" s="1412"/>
      <c r="S30" s="1412"/>
      <c r="T30" s="1412">
        <v>0</v>
      </c>
      <c r="U30" s="1412"/>
      <c r="V30" s="1412"/>
      <c r="W30" s="1412"/>
      <c r="X30" s="1412">
        <v>0</v>
      </c>
      <c r="Y30" s="1412">
        <v>0</v>
      </c>
      <c r="Z30" s="1412"/>
      <c r="AA30" s="1412"/>
      <c r="AB30" s="1412">
        <v>0</v>
      </c>
      <c r="AC30" s="1412"/>
      <c r="AD30" s="1412"/>
      <c r="AE30" s="1412"/>
      <c r="AF30" s="1412">
        <v>0</v>
      </c>
      <c r="AG30" s="1412"/>
      <c r="AH30" s="1412"/>
      <c r="AI30" s="1412"/>
      <c r="AJ30" s="1412"/>
      <c r="AK30" s="1412">
        <v>0</v>
      </c>
      <c r="AL30" s="1412"/>
      <c r="AM30" s="1412"/>
      <c r="AN30" s="1412"/>
      <c r="AO30" s="1412">
        <v>987308</v>
      </c>
      <c r="AP30" s="1412">
        <v>359568</v>
      </c>
      <c r="AQ30" s="1412">
        <v>627740</v>
      </c>
      <c r="AR30" s="1412">
        <v>627740</v>
      </c>
      <c r="AS30" s="1412"/>
      <c r="AT30" s="1412"/>
      <c r="AU30" s="1412"/>
      <c r="AV30" s="1412"/>
      <c r="AW30" s="1412"/>
      <c r="AX30" s="1412"/>
      <c r="AY30" s="1412">
        <v>35738789</v>
      </c>
      <c r="AZ30" s="1412">
        <v>0</v>
      </c>
      <c r="BA30" s="1412"/>
      <c r="BB30" s="1412"/>
      <c r="BC30" s="1412"/>
      <c r="BD30" s="1412">
        <v>35738789</v>
      </c>
      <c r="BE30" s="1412">
        <v>0</v>
      </c>
      <c r="BF30" s="1412"/>
      <c r="BG30" s="1412"/>
      <c r="BH30" s="1412"/>
      <c r="BI30" s="1412"/>
      <c r="BJ30" s="1412"/>
      <c r="BK30" s="1412"/>
      <c r="BL30" s="1412">
        <v>0</v>
      </c>
      <c r="BM30" s="1412">
        <v>0</v>
      </c>
      <c r="BN30" s="1412"/>
      <c r="BO30" s="1412"/>
      <c r="BP30" s="1412"/>
      <c r="BQ30" s="1412"/>
      <c r="BR30" s="1412"/>
      <c r="BS30" s="1412"/>
      <c r="BT30" s="1412">
        <v>0</v>
      </c>
      <c r="BU30" s="1412">
        <v>0</v>
      </c>
      <c r="BV30" s="1412"/>
      <c r="BW30" s="1412"/>
      <c r="BX30" s="1412"/>
      <c r="BY30" s="1412"/>
      <c r="BZ30" s="1412"/>
      <c r="CA30" s="1412"/>
      <c r="CB30" s="1412"/>
      <c r="CC30" s="1412">
        <v>147464</v>
      </c>
      <c r="CD30" s="1412">
        <v>0</v>
      </c>
      <c r="CE30" s="1412"/>
      <c r="CF30" s="1412">
        <v>0</v>
      </c>
      <c r="CG30" s="1412"/>
      <c r="CH30" s="1412"/>
      <c r="CI30" s="1412"/>
      <c r="CJ30" s="1412">
        <v>147464</v>
      </c>
      <c r="CK30" s="1412"/>
      <c r="CL30" s="1412">
        <v>147464</v>
      </c>
      <c r="CM30" s="1412"/>
      <c r="CN30" s="1412"/>
      <c r="CO30" s="1412"/>
      <c r="CP30" s="1412"/>
      <c r="CQ30" s="1412">
        <v>5000000</v>
      </c>
      <c r="CR30" s="1412"/>
      <c r="CS30" s="1412">
        <v>5000000</v>
      </c>
      <c r="CT30" s="1412"/>
      <c r="CU30" s="1412">
        <v>67122973</v>
      </c>
      <c r="CV30" s="1412">
        <v>61065458</v>
      </c>
      <c r="CW30" s="1412">
        <v>6057515</v>
      </c>
      <c r="CX30" s="1412"/>
      <c r="CY30" s="1412">
        <v>0</v>
      </c>
      <c r="CZ30" s="1412"/>
      <c r="DA30" s="1412">
        <v>0</v>
      </c>
      <c r="DB30" s="1412"/>
      <c r="DC30" s="1412"/>
      <c r="DD30" s="1412"/>
      <c r="DE30" s="1412">
        <v>0</v>
      </c>
      <c r="DF30" s="1412"/>
      <c r="DG30" s="1412"/>
      <c r="DH30" s="1412"/>
      <c r="DI30" s="1412">
        <v>0</v>
      </c>
      <c r="DJ30" s="1412"/>
      <c r="DK30" s="1412"/>
      <c r="DL30" s="1412"/>
      <c r="DM30" s="1412"/>
      <c r="DN30" s="1412">
        <v>0</v>
      </c>
      <c r="DO30" s="1412"/>
      <c r="DP30" s="1412">
        <v>0</v>
      </c>
      <c r="DQ30" s="1412"/>
      <c r="DR30" s="1412"/>
      <c r="DS30" s="1412"/>
      <c r="DT30" s="1412">
        <v>0</v>
      </c>
      <c r="DU30" s="1412"/>
      <c r="DV30" s="1412"/>
      <c r="DW30" s="1412"/>
      <c r="DX30" s="1412"/>
      <c r="DY30" s="1412">
        <v>674140</v>
      </c>
      <c r="DZ30" s="1412"/>
      <c r="EA30" s="1412">
        <v>0</v>
      </c>
      <c r="EB30" s="1412">
        <v>0</v>
      </c>
      <c r="EC30" s="1412"/>
      <c r="ED30" s="1412">
        <v>648605</v>
      </c>
      <c r="EE30" s="1412">
        <v>25535</v>
      </c>
      <c r="EF30" s="1412"/>
      <c r="EG30" s="1412"/>
      <c r="EH30" s="1412">
        <v>7733634</v>
      </c>
      <c r="EI30" s="1412">
        <v>1985718</v>
      </c>
      <c r="EJ30" s="1412">
        <v>5041144</v>
      </c>
      <c r="EK30" s="1412">
        <v>706772</v>
      </c>
      <c r="EL30" s="1412"/>
      <c r="EM30" s="1412">
        <v>15084974</v>
      </c>
      <c r="EN30" s="1412"/>
      <c r="EO30" s="1412"/>
      <c r="EP30" s="1412"/>
      <c r="EQ30" s="1412"/>
      <c r="ER30" s="1412"/>
      <c r="ES30" s="1412">
        <v>152733338</v>
      </c>
    </row>
    <row r="31" spans="5:149" ht="14.4">
      <c r="E31" s="1208">
        <v>42705</v>
      </c>
      <c r="F31" s="1412"/>
      <c r="G31" s="1363">
        <v>776442</v>
      </c>
      <c r="H31" s="1412"/>
      <c r="I31" s="1412">
        <v>20848860</v>
      </c>
      <c r="J31" s="1412">
        <v>20848860</v>
      </c>
      <c r="K31" s="1412"/>
      <c r="L31" s="1412"/>
      <c r="M31" s="1412">
        <v>113757</v>
      </c>
      <c r="N31" s="1412">
        <v>113757</v>
      </c>
      <c r="O31" s="1412">
        <v>113757</v>
      </c>
      <c r="P31" s="1412"/>
      <c r="Q31" s="1412">
        <v>0</v>
      </c>
      <c r="R31" s="1412"/>
      <c r="S31" s="1412"/>
      <c r="T31" s="1412">
        <v>0</v>
      </c>
      <c r="U31" s="1412"/>
      <c r="V31" s="1412"/>
      <c r="W31" s="1412"/>
      <c r="X31" s="1412">
        <v>0</v>
      </c>
      <c r="Y31" s="1412">
        <v>0</v>
      </c>
      <c r="Z31" s="1412"/>
      <c r="AA31" s="1412"/>
      <c r="AB31" s="1412">
        <v>0</v>
      </c>
      <c r="AC31" s="1412"/>
      <c r="AD31" s="1412"/>
      <c r="AE31" s="1412"/>
      <c r="AF31" s="1412">
        <v>0</v>
      </c>
      <c r="AG31" s="1412"/>
      <c r="AH31" s="1412"/>
      <c r="AI31" s="1412"/>
      <c r="AJ31" s="1412"/>
      <c r="AK31" s="1412">
        <v>0</v>
      </c>
      <c r="AL31" s="1412"/>
      <c r="AM31" s="1412"/>
      <c r="AN31" s="1412"/>
      <c r="AO31" s="1412">
        <v>1615723</v>
      </c>
      <c r="AP31" s="1412">
        <v>570398</v>
      </c>
      <c r="AQ31" s="1412">
        <v>1045325</v>
      </c>
      <c r="AR31" s="1412">
        <v>1045325</v>
      </c>
      <c r="AS31" s="1412"/>
      <c r="AT31" s="1412"/>
      <c r="AU31" s="1412"/>
      <c r="AV31" s="1412"/>
      <c r="AW31" s="1412"/>
      <c r="AX31" s="1412"/>
      <c r="AY31" s="1412">
        <v>45707989</v>
      </c>
      <c r="AZ31" s="1412">
        <v>0</v>
      </c>
      <c r="BA31" s="1412"/>
      <c r="BB31" s="1412"/>
      <c r="BC31" s="1412"/>
      <c r="BD31" s="1412">
        <v>45707989</v>
      </c>
      <c r="BE31" s="1412">
        <v>0</v>
      </c>
      <c r="BF31" s="1412"/>
      <c r="BG31" s="1412"/>
      <c r="BH31" s="1412"/>
      <c r="BI31" s="1412"/>
      <c r="BJ31" s="1412"/>
      <c r="BK31" s="1412"/>
      <c r="BL31" s="1412">
        <v>0</v>
      </c>
      <c r="BM31" s="1412">
        <v>0</v>
      </c>
      <c r="BN31" s="1412"/>
      <c r="BO31" s="1412"/>
      <c r="BP31" s="1412"/>
      <c r="BQ31" s="1412"/>
      <c r="BR31" s="1412"/>
      <c r="BS31" s="1412"/>
      <c r="BT31" s="1412">
        <v>0</v>
      </c>
      <c r="BU31" s="1412">
        <v>0</v>
      </c>
      <c r="BV31" s="1412"/>
      <c r="BW31" s="1412"/>
      <c r="BX31" s="1412"/>
      <c r="BY31" s="1412"/>
      <c r="BZ31" s="1412"/>
      <c r="CA31" s="1412"/>
      <c r="CB31" s="1412"/>
      <c r="CC31" s="1412">
        <v>145007</v>
      </c>
      <c r="CD31" s="1412">
        <v>0</v>
      </c>
      <c r="CE31" s="1412"/>
      <c r="CF31" s="1412">
        <v>0</v>
      </c>
      <c r="CG31" s="1412"/>
      <c r="CH31" s="1412"/>
      <c r="CI31" s="1412"/>
      <c r="CJ31" s="1412">
        <v>145007</v>
      </c>
      <c r="CK31" s="1412"/>
      <c r="CL31" s="1412">
        <v>145007</v>
      </c>
      <c r="CM31" s="1412"/>
      <c r="CN31" s="1412"/>
      <c r="CO31" s="1412"/>
      <c r="CP31" s="1412"/>
      <c r="CQ31" s="1412">
        <v>6000000</v>
      </c>
      <c r="CR31" s="1412"/>
      <c r="CS31" s="1412">
        <v>6000000</v>
      </c>
      <c r="CT31" s="1412"/>
      <c r="CU31" s="1412">
        <v>65389610</v>
      </c>
      <c r="CV31" s="1412">
        <v>59317478</v>
      </c>
      <c r="CW31" s="1412">
        <v>6072132</v>
      </c>
      <c r="CX31" s="1412"/>
      <c r="CY31" s="1412">
        <v>0</v>
      </c>
      <c r="CZ31" s="1412"/>
      <c r="DA31" s="1412">
        <v>0</v>
      </c>
      <c r="DB31" s="1412"/>
      <c r="DC31" s="1412"/>
      <c r="DD31" s="1412"/>
      <c r="DE31" s="1412">
        <v>0</v>
      </c>
      <c r="DF31" s="1412"/>
      <c r="DG31" s="1412"/>
      <c r="DH31" s="1412"/>
      <c r="DI31" s="1412">
        <v>0</v>
      </c>
      <c r="DJ31" s="1412"/>
      <c r="DK31" s="1412"/>
      <c r="DL31" s="1412"/>
      <c r="DM31" s="1412"/>
      <c r="DN31" s="1412">
        <v>0</v>
      </c>
      <c r="DO31" s="1412"/>
      <c r="DP31" s="1412">
        <v>0</v>
      </c>
      <c r="DQ31" s="1412"/>
      <c r="DR31" s="1412"/>
      <c r="DS31" s="1412"/>
      <c r="DT31" s="1412">
        <v>0</v>
      </c>
      <c r="DU31" s="1412"/>
      <c r="DV31" s="1412"/>
      <c r="DW31" s="1412"/>
      <c r="DX31" s="1412"/>
      <c r="DY31" s="1412">
        <v>728446</v>
      </c>
      <c r="DZ31" s="1412"/>
      <c r="EA31" s="1412">
        <v>0</v>
      </c>
      <c r="EB31" s="1412">
        <v>0</v>
      </c>
      <c r="EC31" s="1412"/>
      <c r="ED31" s="1412">
        <v>703168</v>
      </c>
      <c r="EE31" s="1412">
        <v>25278</v>
      </c>
      <c r="EF31" s="1412"/>
      <c r="EG31" s="1412"/>
      <c r="EH31" s="1412">
        <v>7752677.5699999994</v>
      </c>
      <c r="EI31" s="1412">
        <v>1982324.17</v>
      </c>
      <c r="EJ31" s="1412">
        <v>5089083.5999999996</v>
      </c>
      <c r="EK31" s="1412">
        <v>681269.8</v>
      </c>
      <c r="EL31" s="1412"/>
      <c r="EM31" s="1412">
        <v>15250775</v>
      </c>
      <c r="EN31" s="1412"/>
      <c r="EO31" s="1412"/>
      <c r="EP31" s="1412"/>
      <c r="EQ31" s="1412"/>
      <c r="ER31" s="1412"/>
      <c r="ES31" s="1412">
        <v>164329286.56999999</v>
      </c>
    </row>
    <row r="32" spans="5:149">
      <c r="F32" s="1413"/>
      <c r="H32" s="1413"/>
      <c r="I32" s="1413"/>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E32" s="1413"/>
      <c r="AF32" s="1413"/>
      <c r="AG32" s="1413"/>
      <c r="AH32" s="1413"/>
      <c r="AI32" s="1413"/>
      <c r="AJ32" s="1413"/>
      <c r="AK32" s="1413"/>
      <c r="AL32" s="1413"/>
      <c r="AM32" s="1413"/>
      <c r="AN32" s="1413"/>
      <c r="AO32" s="1413"/>
      <c r="AP32" s="1413"/>
      <c r="AQ32" s="1413"/>
      <c r="AR32" s="1413"/>
      <c r="AS32" s="1413"/>
      <c r="AT32" s="1413"/>
      <c r="AU32" s="1413"/>
      <c r="AV32" s="1413"/>
      <c r="AW32" s="1413"/>
      <c r="AX32" s="1413"/>
      <c r="AY32" s="1413"/>
      <c r="AZ32" s="1413"/>
      <c r="BA32" s="1413"/>
      <c r="BB32" s="1413"/>
      <c r="BC32" s="1413"/>
      <c r="BD32" s="1413"/>
      <c r="BE32" s="1413"/>
      <c r="BF32" s="1413"/>
      <c r="BG32" s="1413"/>
      <c r="BH32" s="1413"/>
      <c r="BI32" s="1413"/>
      <c r="BJ32" s="1413"/>
      <c r="BK32" s="1413"/>
      <c r="BL32" s="1413"/>
      <c r="BM32" s="1413"/>
      <c r="BN32" s="1413"/>
      <c r="BO32" s="1413"/>
      <c r="BP32" s="1413"/>
      <c r="BQ32" s="1413"/>
      <c r="BR32" s="1413"/>
      <c r="BS32" s="1413"/>
      <c r="BT32" s="1413"/>
      <c r="BU32" s="1413"/>
      <c r="BV32" s="1413"/>
      <c r="BW32" s="1413"/>
      <c r="BX32" s="1413"/>
      <c r="BY32" s="1413"/>
      <c r="BZ32" s="1413"/>
      <c r="CA32" s="1413"/>
      <c r="CB32" s="1413"/>
      <c r="CC32" s="1413"/>
      <c r="CD32" s="1413"/>
      <c r="CE32" s="1413"/>
      <c r="CF32" s="1413"/>
      <c r="CG32" s="1413"/>
      <c r="CH32" s="1413"/>
      <c r="CI32" s="1413"/>
      <c r="CJ32" s="1413"/>
      <c r="CK32" s="1413"/>
      <c r="CL32" s="1413"/>
      <c r="CM32" s="1413"/>
      <c r="CN32" s="1413"/>
      <c r="CO32" s="1413"/>
      <c r="CP32" s="1413"/>
      <c r="CQ32" s="1413"/>
      <c r="CR32" s="1413"/>
      <c r="CS32" s="1413"/>
      <c r="CT32" s="1413"/>
      <c r="CU32" s="1413"/>
      <c r="CV32" s="1413"/>
      <c r="CW32" s="1413"/>
      <c r="CX32" s="1413"/>
      <c r="CY32" s="1413"/>
      <c r="CZ32" s="1413"/>
      <c r="DA32" s="1413"/>
      <c r="DB32" s="1413"/>
      <c r="DC32" s="1413"/>
      <c r="DD32" s="1413"/>
      <c r="DE32" s="1413"/>
      <c r="DF32" s="1413"/>
      <c r="DG32" s="1413"/>
      <c r="DH32" s="1413"/>
      <c r="DI32" s="1413"/>
      <c r="DJ32" s="1413"/>
      <c r="DK32" s="1413"/>
      <c r="DL32" s="1413"/>
      <c r="DM32" s="1413"/>
      <c r="DN32" s="1413"/>
      <c r="DO32" s="1413"/>
      <c r="DP32" s="1413"/>
      <c r="DQ32" s="1413"/>
      <c r="DR32" s="1413"/>
      <c r="DS32" s="1413"/>
      <c r="DT32" s="1413"/>
      <c r="DU32" s="1413"/>
      <c r="DV32" s="1413"/>
      <c r="DW32" s="1413"/>
      <c r="DX32" s="1413"/>
      <c r="DY32" s="1413"/>
      <c r="DZ32" s="1413"/>
      <c r="EA32" s="1413"/>
      <c r="EB32" s="1413"/>
      <c r="EC32" s="1413"/>
      <c r="ED32" s="1413"/>
      <c r="EE32" s="1413"/>
      <c r="EF32" s="1413"/>
      <c r="EG32" s="1413"/>
      <c r="EH32" s="1413"/>
      <c r="EI32" s="1413"/>
      <c r="EJ32" s="1413"/>
      <c r="EK32" s="1413"/>
      <c r="EL32" s="1413"/>
      <c r="EM32" s="1413"/>
      <c r="EN32" s="1413"/>
      <c r="EO32" s="1413"/>
      <c r="EP32" s="1413"/>
      <c r="EQ32" s="1413"/>
      <c r="ER32" s="1413"/>
      <c r="ES32" s="1203"/>
    </row>
    <row r="33" spans="5:150">
      <c r="F33" s="1413"/>
      <c r="H33" s="1413"/>
      <c r="I33" s="1413"/>
      <c r="J33" s="1413"/>
      <c r="K33" s="1413"/>
      <c r="L33" s="1413"/>
      <c r="M33" s="1413"/>
      <c r="N33" s="1413"/>
      <c r="O33" s="1413"/>
      <c r="P33" s="1413"/>
      <c r="Q33" s="1413"/>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1413"/>
      <c r="AV33" s="1413"/>
      <c r="AW33" s="1413"/>
      <c r="AX33" s="1413"/>
      <c r="AY33" s="1413"/>
      <c r="AZ33" s="1413"/>
      <c r="BA33" s="1413"/>
      <c r="BB33" s="1413"/>
      <c r="BC33" s="1413"/>
      <c r="BD33" s="1413"/>
      <c r="BE33" s="1413"/>
      <c r="BF33" s="1413"/>
      <c r="BG33" s="1413"/>
      <c r="BH33" s="1413"/>
      <c r="BI33" s="1413"/>
      <c r="BJ33" s="1413"/>
      <c r="BK33" s="1413"/>
      <c r="BL33" s="1413"/>
      <c r="BM33" s="1413"/>
      <c r="BN33" s="1413"/>
      <c r="BO33" s="1413"/>
      <c r="BP33" s="1413"/>
      <c r="BQ33" s="1413"/>
      <c r="BR33" s="1413"/>
      <c r="BS33" s="1413"/>
      <c r="BT33" s="1413"/>
      <c r="BU33" s="1413"/>
      <c r="BV33" s="1413"/>
      <c r="BW33" s="1413"/>
      <c r="BX33" s="1413"/>
      <c r="BY33" s="1413"/>
      <c r="BZ33" s="1413"/>
      <c r="CA33" s="1413"/>
      <c r="CB33" s="1413"/>
      <c r="CC33" s="1413"/>
      <c r="CD33" s="1413"/>
      <c r="CE33" s="1413"/>
      <c r="CF33" s="1413"/>
      <c r="CG33" s="1413"/>
      <c r="CH33" s="1413"/>
      <c r="CI33" s="1413"/>
      <c r="CJ33" s="1413"/>
      <c r="CK33" s="1413"/>
      <c r="CL33" s="1413"/>
      <c r="CM33" s="1413"/>
      <c r="CN33" s="1413"/>
      <c r="CO33" s="1413"/>
      <c r="CP33" s="1413"/>
      <c r="CQ33" s="1413"/>
      <c r="CR33" s="1413"/>
      <c r="CS33" s="1413"/>
      <c r="CT33" s="1413"/>
      <c r="CU33" s="1413"/>
      <c r="CV33" s="1413"/>
      <c r="CW33" s="1413"/>
      <c r="CX33" s="1413"/>
      <c r="CY33" s="1413"/>
      <c r="CZ33" s="1413"/>
      <c r="DA33" s="1413"/>
      <c r="DB33" s="1413"/>
      <c r="DC33" s="1413"/>
      <c r="DD33" s="1413"/>
      <c r="DE33" s="1413"/>
      <c r="DF33" s="1413"/>
      <c r="DG33" s="1413"/>
      <c r="DH33" s="1413"/>
      <c r="DI33" s="1413"/>
      <c r="DJ33" s="1413"/>
      <c r="DK33" s="1413"/>
      <c r="DL33" s="1413"/>
      <c r="DM33" s="1413"/>
      <c r="DN33" s="1413"/>
      <c r="DO33" s="1413"/>
      <c r="DP33" s="1413"/>
      <c r="DQ33" s="1413"/>
      <c r="DR33" s="1413"/>
      <c r="DS33" s="1413"/>
      <c r="DT33" s="1413"/>
      <c r="DU33" s="1413"/>
      <c r="DV33" s="1413"/>
      <c r="DW33" s="1413"/>
      <c r="DX33" s="1413"/>
      <c r="DY33" s="1413"/>
      <c r="DZ33" s="1413"/>
      <c r="EA33" s="1413"/>
      <c r="EB33" s="1413"/>
      <c r="EC33" s="1413"/>
      <c r="ED33" s="1413"/>
      <c r="EE33" s="1413"/>
      <c r="EF33" s="1413"/>
      <c r="EG33" s="1413"/>
      <c r="EH33" s="1413"/>
      <c r="EI33" s="1413"/>
      <c r="EJ33" s="1413"/>
      <c r="EK33" s="1413"/>
      <c r="EL33" s="1413"/>
      <c r="EM33" s="1413"/>
      <c r="EN33" s="1413"/>
      <c r="EO33" s="1413"/>
      <c r="EP33" s="1413"/>
      <c r="EQ33" s="1413"/>
      <c r="ER33" s="1413"/>
      <c r="ES33" s="1203"/>
    </row>
    <row r="34" spans="5:150" ht="14.4">
      <c r="E34" s="1208">
        <v>42736</v>
      </c>
      <c r="F34" s="1412"/>
      <c r="G34" s="1363">
        <v>132168</v>
      </c>
      <c r="H34" s="1412"/>
      <c r="I34" s="1412">
        <v>20850719</v>
      </c>
      <c r="J34" s="1412">
        <v>20850719</v>
      </c>
      <c r="K34" s="1412"/>
      <c r="L34" s="1412"/>
      <c r="M34" s="1412">
        <v>170974</v>
      </c>
      <c r="N34" s="1412">
        <v>170974</v>
      </c>
      <c r="O34" s="1412">
        <v>170974</v>
      </c>
      <c r="P34" s="1412"/>
      <c r="Q34" s="1412">
        <v>0</v>
      </c>
      <c r="R34" s="1412"/>
      <c r="S34" s="1412"/>
      <c r="T34" s="1412">
        <v>0</v>
      </c>
      <c r="U34" s="1412"/>
      <c r="V34" s="1412"/>
      <c r="W34" s="1412"/>
      <c r="X34" s="1412">
        <v>0</v>
      </c>
      <c r="Y34" s="1412">
        <v>0</v>
      </c>
      <c r="Z34" s="1412"/>
      <c r="AA34" s="1412"/>
      <c r="AB34" s="1412">
        <v>0</v>
      </c>
      <c r="AC34" s="1412"/>
      <c r="AD34" s="1412"/>
      <c r="AE34" s="1412"/>
      <c r="AF34" s="1412">
        <v>0</v>
      </c>
      <c r="AG34" s="1412"/>
      <c r="AH34" s="1412"/>
      <c r="AI34" s="1412"/>
      <c r="AJ34" s="1412"/>
      <c r="AK34" s="1412">
        <v>0</v>
      </c>
      <c r="AL34" s="1412"/>
      <c r="AM34" s="1412"/>
      <c r="AN34" s="1412"/>
      <c r="AO34" s="1412">
        <v>390211</v>
      </c>
      <c r="AP34" s="1412">
        <v>207901</v>
      </c>
      <c r="AQ34" s="1412">
        <v>182310</v>
      </c>
      <c r="AR34" s="1412">
        <v>182310</v>
      </c>
      <c r="AS34" s="1412"/>
      <c r="AT34" s="1412"/>
      <c r="AU34" s="1412"/>
      <c r="AV34" s="1412"/>
      <c r="AW34" s="1412"/>
      <c r="AX34" s="1412"/>
      <c r="AY34" s="1412">
        <v>45707989</v>
      </c>
      <c r="AZ34" s="1412">
        <v>0</v>
      </c>
      <c r="BA34" s="1412"/>
      <c r="BB34" s="1412"/>
      <c r="BC34" s="1412"/>
      <c r="BD34" s="1412">
        <v>45707989</v>
      </c>
      <c r="BE34" s="1412">
        <v>0</v>
      </c>
      <c r="BF34" s="1412"/>
      <c r="BG34" s="1412"/>
      <c r="BH34" s="1412"/>
      <c r="BI34" s="1412"/>
      <c r="BJ34" s="1412"/>
      <c r="BK34" s="1412"/>
      <c r="BL34" s="1412">
        <v>0</v>
      </c>
      <c r="BM34" s="1412">
        <v>0</v>
      </c>
      <c r="BN34" s="1412"/>
      <c r="BO34" s="1412"/>
      <c r="BP34" s="1412"/>
      <c r="BQ34" s="1412"/>
      <c r="BR34" s="1412"/>
      <c r="BS34" s="1412"/>
      <c r="BT34" s="1412">
        <v>0</v>
      </c>
      <c r="BU34" s="1412">
        <v>0</v>
      </c>
      <c r="BV34" s="1412"/>
      <c r="BW34" s="1412"/>
      <c r="BX34" s="1412"/>
      <c r="BY34" s="1412"/>
      <c r="BZ34" s="1412"/>
      <c r="CA34" s="1412"/>
      <c r="CB34" s="1412"/>
      <c r="CC34" s="1412">
        <v>137881</v>
      </c>
      <c r="CD34" s="1412">
        <v>0</v>
      </c>
      <c r="CE34" s="1412"/>
      <c r="CF34" s="1412">
        <v>0</v>
      </c>
      <c r="CG34" s="1412"/>
      <c r="CH34" s="1412"/>
      <c r="CI34" s="1412"/>
      <c r="CJ34" s="1412">
        <v>137881</v>
      </c>
      <c r="CK34" s="1412"/>
      <c r="CL34" s="1412">
        <v>137881</v>
      </c>
      <c r="CM34" s="1412"/>
      <c r="CN34" s="1412"/>
      <c r="CO34" s="1412"/>
      <c r="CP34" s="1412"/>
      <c r="CQ34" s="1412">
        <v>6000000</v>
      </c>
      <c r="CR34" s="1412"/>
      <c r="CS34" s="1412">
        <v>6000000</v>
      </c>
      <c r="CT34" s="1412"/>
      <c r="CU34" s="1412">
        <v>64844889</v>
      </c>
      <c r="CV34" s="1412">
        <v>59383242</v>
      </c>
      <c r="CW34" s="1412">
        <v>5461647</v>
      </c>
      <c r="CX34" s="1412"/>
      <c r="CY34" s="1412">
        <v>0</v>
      </c>
      <c r="CZ34" s="1412"/>
      <c r="DA34" s="1412">
        <v>0</v>
      </c>
      <c r="DB34" s="1412"/>
      <c r="DC34" s="1412"/>
      <c r="DD34" s="1412"/>
      <c r="DE34" s="1412">
        <v>0</v>
      </c>
      <c r="DF34" s="1412"/>
      <c r="DG34" s="1412"/>
      <c r="DH34" s="1412"/>
      <c r="DI34" s="1412">
        <v>0</v>
      </c>
      <c r="DJ34" s="1412"/>
      <c r="DK34" s="1412"/>
      <c r="DL34" s="1412"/>
      <c r="DM34" s="1412"/>
      <c r="DN34" s="1412">
        <v>0</v>
      </c>
      <c r="DO34" s="1412"/>
      <c r="DP34" s="1412">
        <v>0</v>
      </c>
      <c r="DQ34" s="1412"/>
      <c r="DR34" s="1412"/>
      <c r="DS34" s="1412"/>
      <c r="DT34" s="1412">
        <v>0</v>
      </c>
      <c r="DU34" s="1412"/>
      <c r="DV34" s="1412"/>
      <c r="DW34" s="1412"/>
      <c r="DX34" s="1412"/>
      <c r="DY34" s="1412">
        <v>580930</v>
      </c>
      <c r="DZ34" s="1412"/>
      <c r="EA34" s="1412">
        <v>0</v>
      </c>
      <c r="EB34" s="1412">
        <v>0</v>
      </c>
      <c r="EC34" s="1412"/>
      <c r="ED34" s="1412">
        <v>555237</v>
      </c>
      <c r="EE34" s="1412">
        <v>25693</v>
      </c>
      <c r="EF34" s="1412"/>
      <c r="EG34" s="1412"/>
      <c r="EH34" s="1412">
        <v>7688023.6400000006</v>
      </c>
      <c r="EI34" s="1412">
        <v>1978930.32</v>
      </c>
      <c r="EJ34" s="1412">
        <v>5014065.38</v>
      </c>
      <c r="EK34" s="1412">
        <v>695027.94</v>
      </c>
      <c r="EL34" s="1412"/>
      <c r="EM34" s="1412">
        <v>15329491</v>
      </c>
      <c r="EN34" s="1412"/>
      <c r="EO34" s="1412"/>
      <c r="EP34" s="1412"/>
      <c r="EQ34" s="1412"/>
      <c r="ER34" s="1412"/>
      <c r="ES34" s="1412">
        <v>161833275.63999999</v>
      </c>
      <c r="ET34" s="1207"/>
    </row>
    <row r="35" spans="5:150" ht="14.4">
      <c r="E35" s="1208">
        <v>42767</v>
      </c>
      <c r="F35" s="1412"/>
      <c r="G35" s="1363">
        <v>1821394</v>
      </c>
      <c r="H35" s="1412"/>
      <c r="I35" s="1412">
        <v>21101147</v>
      </c>
      <c r="J35" s="1412">
        <v>21101147</v>
      </c>
      <c r="K35" s="1412"/>
      <c r="L35" s="1412"/>
      <c r="M35" s="1412">
        <v>67878</v>
      </c>
      <c r="N35" s="1412">
        <v>67878</v>
      </c>
      <c r="O35" s="1412">
        <v>67878</v>
      </c>
      <c r="P35" s="1412"/>
      <c r="Q35" s="1412">
        <v>0</v>
      </c>
      <c r="R35" s="1412"/>
      <c r="S35" s="1412"/>
      <c r="T35" s="1412">
        <v>0</v>
      </c>
      <c r="U35" s="1412"/>
      <c r="V35" s="1412"/>
      <c r="W35" s="1412"/>
      <c r="X35" s="1412">
        <v>0</v>
      </c>
      <c r="Y35" s="1412">
        <v>0</v>
      </c>
      <c r="Z35" s="1412"/>
      <c r="AA35" s="1412"/>
      <c r="AB35" s="1412">
        <v>0</v>
      </c>
      <c r="AC35" s="1412"/>
      <c r="AD35" s="1412"/>
      <c r="AE35" s="1412"/>
      <c r="AF35" s="1412">
        <v>0</v>
      </c>
      <c r="AG35" s="1412"/>
      <c r="AH35" s="1412"/>
      <c r="AI35" s="1412"/>
      <c r="AJ35" s="1412"/>
      <c r="AK35" s="1412">
        <v>0</v>
      </c>
      <c r="AL35" s="1412"/>
      <c r="AM35" s="1412"/>
      <c r="AN35" s="1412"/>
      <c r="AO35" s="1412">
        <v>414848</v>
      </c>
      <c r="AP35" s="1412">
        <v>111868</v>
      </c>
      <c r="AQ35" s="1412">
        <v>302980</v>
      </c>
      <c r="AR35" s="1412">
        <v>302980</v>
      </c>
      <c r="AS35" s="1412"/>
      <c r="AT35" s="1412"/>
      <c r="AU35" s="1412"/>
      <c r="AV35" s="1412"/>
      <c r="AW35" s="1412"/>
      <c r="AX35" s="1412"/>
      <c r="AY35" s="1412">
        <v>49257009</v>
      </c>
      <c r="AZ35" s="1412">
        <v>0</v>
      </c>
      <c r="BA35" s="1412"/>
      <c r="BB35" s="1412"/>
      <c r="BC35" s="1412"/>
      <c r="BD35" s="1412">
        <v>49257009</v>
      </c>
      <c r="BE35" s="1412">
        <v>0</v>
      </c>
      <c r="BF35" s="1412"/>
      <c r="BG35" s="1412"/>
      <c r="BH35" s="1412"/>
      <c r="BI35" s="1412"/>
      <c r="BJ35" s="1412"/>
      <c r="BK35" s="1412"/>
      <c r="BL35" s="1412">
        <v>0</v>
      </c>
      <c r="BM35" s="1412">
        <v>0</v>
      </c>
      <c r="BN35" s="1412"/>
      <c r="BO35" s="1412"/>
      <c r="BP35" s="1412"/>
      <c r="BQ35" s="1412"/>
      <c r="BR35" s="1412"/>
      <c r="BS35" s="1412"/>
      <c r="BT35" s="1412">
        <v>0</v>
      </c>
      <c r="BU35" s="1412">
        <v>0</v>
      </c>
      <c r="BV35" s="1412"/>
      <c r="BW35" s="1412"/>
      <c r="BX35" s="1412"/>
      <c r="BY35" s="1412"/>
      <c r="BZ35" s="1412"/>
      <c r="CA35" s="1412"/>
      <c r="CB35" s="1412"/>
      <c r="CC35" s="1412">
        <v>139467</v>
      </c>
      <c r="CD35" s="1412">
        <v>0</v>
      </c>
      <c r="CE35" s="1412"/>
      <c r="CF35" s="1412">
        <v>0</v>
      </c>
      <c r="CG35" s="1412"/>
      <c r="CH35" s="1412"/>
      <c r="CI35" s="1412"/>
      <c r="CJ35" s="1412">
        <v>139467</v>
      </c>
      <c r="CK35" s="1412"/>
      <c r="CL35" s="1412">
        <v>139467</v>
      </c>
      <c r="CM35" s="1412"/>
      <c r="CN35" s="1412"/>
      <c r="CO35" s="1412"/>
      <c r="CP35" s="1412"/>
      <c r="CQ35" s="1412">
        <v>2000000</v>
      </c>
      <c r="CR35" s="1412"/>
      <c r="CS35" s="1412">
        <v>2000000</v>
      </c>
      <c r="CT35" s="1412"/>
      <c r="CU35" s="1412">
        <v>65106201</v>
      </c>
      <c r="CV35" s="1412">
        <v>59539265</v>
      </c>
      <c r="CW35" s="1412">
        <v>5566936</v>
      </c>
      <c r="CX35" s="1412"/>
      <c r="CY35" s="1412">
        <v>0</v>
      </c>
      <c r="CZ35" s="1412"/>
      <c r="DA35" s="1412">
        <v>0</v>
      </c>
      <c r="DB35" s="1412"/>
      <c r="DC35" s="1412"/>
      <c r="DD35" s="1412"/>
      <c r="DE35" s="1412">
        <v>0</v>
      </c>
      <c r="DF35" s="1412"/>
      <c r="DG35" s="1412"/>
      <c r="DH35" s="1412"/>
      <c r="DI35" s="1412">
        <v>0</v>
      </c>
      <c r="DJ35" s="1412"/>
      <c r="DK35" s="1412"/>
      <c r="DL35" s="1412"/>
      <c r="DM35" s="1412"/>
      <c r="DN35" s="1412">
        <v>0</v>
      </c>
      <c r="DO35" s="1412"/>
      <c r="DP35" s="1412">
        <v>0</v>
      </c>
      <c r="DQ35" s="1412"/>
      <c r="DR35" s="1412"/>
      <c r="DS35" s="1412"/>
      <c r="DT35" s="1412">
        <v>0</v>
      </c>
      <c r="DU35" s="1412"/>
      <c r="DV35" s="1412"/>
      <c r="DW35" s="1412"/>
      <c r="DX35" s="1412"/>
      <c r="DY35" s="1412">
        <v>549819</v>
      </c>
      <c r="DZ35" s="1412"/>
      <c r="EA35" s="1412">
        <v>0</v>
      </c>
      <c r="EB35" s="1412">
        <v>0</v>
      </c>
      <c r="EC35" s="1412"/>
      <c r="ED35" s="1412">
        <v>524395</v>
      </c>
      <c r="EE35" s="1412">
        <v>25424</v>
      </c>
      <c r="EF35" s="1412"/>
      <c r="EG35" s="1412"/>
      <c r="EH35" s="1412">
        <v>7813070.1500000004</v>
      </c>
      <c r="EI35" s="1412">
        <v>1975536.48</v>
      </c>
      <c r="EJ35" s="1412">
        <v>5103700.43</v>
      </c>
      <c r="EK35" s="1412">
        <v>733833.24</v>
      </c>
      <c r="EL35" s="1412"/>
      <c r="EM35" s="1412">
        <v>15136996</v>
      </c>
      <c r="EN35" s="1412"/>
      <c r="EO35" s="1412"/>
      <c r="EP35" s="1412"/>
      <c r="EQ35" s="1412"/>
      <c r="ER35" s="1412"/>
      <c r="ES35" s="1412">
        <v>163407829.15000001</v>
      </c>
      <c r="ET35" s="1207"/>
    </row>
    <row r="36" spans="5:150" ht="14.4">
      <c r="E36" s="1208">
        <v>42795</v>
      </c>
      <c r="F36" s="1412"/>
      <c r="G36" s="1363">
        <v>174141</v>
      </c>
      <c r="H36" s="1412"/>
      <c r="I36" s="1412">
        <v>27014412</v>
      </c>
      <c r="J36" s="1412">
        <v>27014412</v>
      </c>
      <c r="K36" s="1412"/>
      <c r="L36" s="1412"/>
      <c r="M36" s="1412">
        <v>120206</v>
      </c>
      <c r="N36" s="1412">
        <v>120206</v>
      </c>
      <c r="O36" s="1412">
        <v>120206</v>
      </c>
      <c r="P36" s="1412"/>
      <c r="Q36" s="1412">
        <v>0</v>
      </c>
      <c r="R36" s="1412"/>
      <c r="S36" s="1412"/>
      <c r="T36" s="1412">
        <v>0</v>
      </c>
      <c r="U36" s="1412"/>
      <c r="V36" s="1412"/>
      <c r="W36" s="1412"/>
      <c r="X36" s="1412">
        <v>0</v>
      </c>
      <c r="Y36" s="1412">
        <v>0</v>
      </c>
      <c r="Z36" s="1412"/>
      <c r="AA36" s="1412"/>
      <c r="AB36" s="1412">
        <v>0</v>
      </c>
      <c r="AC36" s="1412"/>
      <c r="AD36" s="1412"/>
      <c r="AE36" s="1412"/>
      <c r="AF36" s="1412">
        <v>0</v>
      </c>
      <c r="AG36" s="1412"/>
      <c r="AH36" s="1412"/>
      <c r="AI36" s="1412"/>
      <c r="AJ36" s="1412"/>
      <c r="AK36" s="1412">
        <v>0</v>
      </c>
      <c r="AL36" s="1412"/>
      <c r="AM36" s="1412"/>
      <c r="AN36" s="1412"/>
      <c r="AO36" s="1412">
        <v>256757</v>
      </c>
      <c r="AP36" s="1412">
        <v>78637</v>
      </c>
      <c r="AQ36" s="1412">
        <v>178120</v>
      </c>
      <c r="AR36" s="1412">
        <v>178120</v>
      </c>
      <c r="AS36" s="1412"/>
      <c r="AT36" s="1412"/>
      <c r="AU36" s="1412"/>
      <c r="AV36" s="1412"/>
      <c r="AW36" s="1412"/>
      <c r="AX36" s="1412"/>
      <c r="AY36" s="1412">
        <v>51015484</v>
      </c>
      <c r="AZ36" s="1412">
        <v>0</v>
      </c>
      <c r="BA36" s="1412"/>
      <c r="BB36" s="1412"/>
      <c r="BC36" s="1412"/>
      <c r="BD36" s="1412">
        <v>51015484</v>
      </c>
      <c r="BE36" s="1412">
        <v>0</v>
      </c>
      <c r="BF36" s="1412"/>
      <c r="BG36" s="1412"/>
      <c r="BH36" s="1412"/>
      <c r="BI36" s="1412"/>
      <c r="BJ36" s="1412"/>
      <c r="BK36" s="1412"/>
      <c r="BL36" s="1412">
        <v>0</v>
      </c>
      <c r="BM36" s="1412">
        <v>0</v>
      </c>
      <c r="BN36" s="1412"/>
      <c r="BO36" s="1412"/>
      <c r="BP36" s="1412"/>
      <c r="BQ36" s="1412"/>
      <c r="BR36" s="1412"/>
      <c r="BS36" s="1412"/>
      <c r="BT36" s="1412">
        <v>0</v>
      </c>
      <c r="BU36" s="1412">
        <v>0</v>
      </c>
      <c r="BV36" s="1412"/>
      <c r="BW36" s="1412"/>
      <c r="BX36" s="1412"/>
      <c r="BY36" s="1412"/>
      <c r="BZ36" s="1412"/>
      <c r="CA36" s="1412"/>
      <c r="CB36" s="1412"/>
      <c r="CC36" s="1412">
        <v>136743</v>
      </c>
      <c r="CD36" s="1412">
        <v>0</v>
      </c>
      <c r="CE36" s="1412"/>
      <c r="CF36" s="1412">
        <v>0</v>
      </c>
      <c r="CG36" s="1412"/>
      <c r="CH36" s="1412"/>
      <c r="CI36" s="1412"/>
      <c r="CJ36" s="1412">
        <v>136743</v>
      </c>
      <c r="CK36" s="1412"/>
      <c r="CL36" s="1412">
        <v>136743</v>
      </c>
      <c r="CM36" s="1412"/>
      <c r="CN36" s="1412"/>
      <c r="CO36" s="1412"/>
      <c r="CP36" s="1412"/>
      <c r="CQ36" s="1412">
        <v>2000000</v>
      </c>
      <c r="CR36" s="1412"/>
      <c r="CS36" s="1412">
        <v>2000000</v>
      </c>
      <c r="CT36" s="1412"/>
      <c r="CU36" s="1412">
        <v>65697046</v>
      </c>
      <c r="CV36" s="1412">
        <v>60317483</v>
      </c>
      <c r="CW36" s="1412">
        <v>5379563</v>
      </c>
      <c r="CX36" s="1412"/>
      <c r="CY36" s="1412">
        <v>0</v>
      </c>
      <c r="CZ36" s="1412"/>
      <c r="DA36" s="1412">
        <v>0</v>
      </c>
      <c r="DB36" s="1412"/>
      <c r="DC36" s="1412"/>
      <c r="DD36" s="1412"/>
      <c r="DE36" s="1412">
        <v>0</v>
      </c>
      <c r="DF36" s="1412"/>
      <c r="DG36" s="1412"/>
      <c r="DH36" s="1412"/>
      <c r="DI36" s="1412">
        <v>0</v>
      </c>
      <c r="DJ36" s="1412"/>
      <c r="DK36" s="1412"/>
      <c r="DL36" s="1412"/>
      <c r="DM36" s="1412"/>
      <c r="DN36" s="1412">
        <v>0</v>
      </c>
      <c r="DO36" s="1412"/>
      <c r="DP36" s="1412">
        <v>0</v>
      </c>
      <c r="DQ36" s="1412"/>
      <c r="DR36" s="1412"/>
      <c r="DS36" s="1412"/>
      <c r="DT36" s="1412">
        <v>0</v>
      </c>
      <c r="DU36" s="1412"/>
      <c r="DV36" s="1412"/>
      <c r="DW36" s="1412"/>
      <c r="DX36" s="1412"/>
      <c r="DY36" s="1412">
        <v>840108</v>
      </c>
      <c r="DZ36" s="1412"/>
      <c r="EA36" s="1412">
        <v>0</v>
      </c>
      <c r="EB36" s="1412">
        <v>0</v>
      </c>
      <c r="EC36" s="1412"/>
      <c r="ED36" s="1412">
        <v>814480</v>
      </c>
      <c r="EE36" s="1412">
        <v>25628</v>
      </c>
      <c r="EF36" s="1412"/>
      <c r="EG36" s="1412"/>
      <c r="EH36" s="1412">
        <v>7884559.29</v>
      </c>
      <c r="EI36" s="1412">
        <v>1972142.64</v>
      </c>
      <c r="EJ36" s="1412">
        <v>5168874.91</v>
      </c>
      <c r="EK36" s="1412">
        <v>743541.74</v>
      </c>
      <c r="EL36" s="1412"/>
      <c r="EM36" s="1412">
        <v>15250263</v>
      </c>
      <c r="EN36" s="1412"/>
      <c r="EO36" s="1412"/>
      <c r="EP36" s="1412"/>
      <c r="EQ36" s="1412"/>
      <c r="ER36" s="1412"/>
      <c r="ES36" s="1412">
        <v>170389719.28999999</v>
      </c>
      <c r="ET36" s="1207"/>
    </row>
    <row r="37" spans="5:150" ht="14.4">
      <c r="E37" s="1208">
        <v>42826</v>
      </c>
      <c r="F37" s="1412"/>
      <c r="G37" s="1363">
        <v>135818</v>
      </c>
      <c r="H37" s="1412"/>
      <c r="I37" s="1412">
        <v>36519466</v>
      </c>
      <c r="J37" s="1412">
        <v>36519466</v>
      </c>
      <c r="K37" s="1412"/>
      <c r="L37" s="1412"/>
      <c r="M37" s="1412">
        <v>161080</v>
      </c>
      <c r="N37" s="1412">
        <v>161080</v>
      </c>
      <c r="O37" s="1412">
        <v>161080</v>
      </c>
      <c r="P37" s="1412"/>
      <c r="Q37" s="1412">
        <v>0</v>
      </c>
      <c r="R37" s="1412"/>
      <c r="S37" s="1412"/>
      <c r="T37" s="1412">
        <v>0</v>
      </c>
      <c r="U37" s="1412"/>
      <c r="V37" s="1412"/>
      <c r="W37" s="1412"/>
      <c r="X37" s="1412">
        <v>0</v>
      </c>
      <c r="Y37" s="1412">
        <v>0</v>
      </c>
      <c r="Z37" s="1412"/>
      <c r="AA37" s="1412"/>
      <c r="AB37" s="1412">
        <v>0</v>
      </c>
      <c r="AC37" s="1412"/>
      <c r="AD37" s="1412"/>
      <c r="AE37" s="1412"/>
      <c r="AF37" s="1412">
        <v>0</v>
      </c>
      <c r="AG37" s="1412"/>
      <c r="AH37" s="1412"/>
      <c r="AI37" s="1412"/>
      <c r="AJ37" s="1412"/>
      <c r="AK37" s="1412">
        <v>0</v>
      </c>
      <c r="AL37" s="1412"/>
      <c r="AM37" s="1412"/>
      <c r="AN37" s="1412"/>
      <c r="AO37" s="1412">
        <v>615247</v>
      </c>
      <c r="AP37" s="1412">
        <v>116773</v>
      </c>
      <c r="AQ37" s="1412">
        <v>498474</v>
      </c>
      <c r="AR37" s="1412">
        <v>498474</v>
      </c>
      <c r="AS37" s="1412"/>
      <c r="AT37" s="1412"/>
      <c r="AU37" s="1412"/>
      <c r="AV37" s="1412"/>
      <c r="AW37" s="1412"/>
      <c r="AX37" s="1412"/>
      <c r="AY37" s="1412">
        <v>50910809</v>
      </c>
      <c r="AZ37" s="1412">
        <v>0</v>
      </c>
      <c r="BA37" s="1412"/>
      <c r="BB37" s="1412"/>
      <c r="BC37" s="1412"/>
      <c r="BD37" s="1412">
        <v>50910809</v>
      </c>
      <c r="BE37" s="1412">
        <v>0</v>
      </c>
      <c r="BF37" s="1412"/>
      <c r="BG37" s="1412"/>
      <c r="BH37" s="1412"/>
      <c r="BI37" s="1412"/>
      <c r="BJ37" s="1412"/>
      <c r="BK37" s="1412"/>
      <c r="BL37" s="1412">
        <v>0</v>
      </c>
      <c r="BM37" s="1412">
        <v>0</v>
      </c>
      <c r="BN37" s="1412"/>
      <c r="BO37" s="1412"/>
      <c r="BP37" s="1412"/>
      <c r="BQ37" s="1412"/>
      <c r="BR37" s="1412"/>
      <c r="BS37" s="1412"/>
      <c r="BT37" s="1412">
        <v>0</v>
      </c>
      <c r="BU37" s="1412">
        <v>0</v>
      </c>
      <c r="BV37" s="1412"/>
      <c r="BW37" s="1412"/>
      <c r="BX37" s="1412"/>
      <c r="BY37" s="1412"/>
      <c r="BZ37" s="1412"/>
      <c r="CA37" s="1412"/>
      <c r="CB37" s="1412"/>
      <c r="CC37" s="1412">
        <v>133924</v>
      </c>
      <c r="CD37" s="1412">
        <v>0</v>
      </c>
      <c r="CE37" s="1412"/>
      <c r="CF37" s="1412">
        <v>0</v>
      </c>
      <c r="CG37" s="1412"/>
      <c r="CH37" s="1412"/>
      <c r="CI37" s="1412"/>
      <c r="CJ37" s="1412">
        <v>133924</v>
      </c>
      <c r="CK37" s="1412"/>
      <c r="CL37" s="1412">
        <v>133924</v>
      </c>
      <c r="CM37" s="1412"/>
      <c r="CN37" s="1412"/>
      <c r="CO37" s="1412"/>
      <c r="CP37" s="1412"/>
      <c r="CQ37" s="1412">
        <v>1000000</v>
      </c>
      <c r="CR37" s="1412"/>
      <c r="CS37" s="1412">
        <v>1000000</v>
      </c>
      <c r="CT37" s="1412"/>
      <c r="CU37" s="1412">
        <v>63476613</v>
      </c>
      <c r="CV37" s="1412">
        <v>61185940</v>
      </c>
      <c r="CW37" s="1412">
        <v>2290673</v>
      </c>
      <c r="CX37" s="1412"/>
      <c r="CY37" s="1412">
        <v>0</v>
      </c>
      <c r="CZ37" s="1412"/>
      <c r="DA37" s="1412">
        <v>0</v>
      </c>
      <c r="DB37" s="1412"/>
      <c r="DC37" s="1412"/>
      <c r="DD37" s="1412"/>
      <c r="DE37" s="1412">
        <v>0</v>
      </c>
      <c r="DF37" s="1412"/>
      <c r="DG37" s="1412"/>
      <c r="DH37" s="1412"/>
      <c r="DI37" s="1412">
        <v>0</v>
      </c>
      <c r="DJ37" s="1412"/>
      <c r="DK37" s="1412"/>
      <c r="DL37" s="1412"/>
      <c r="DM37" s="1412"/>
      <c r="DN37" s="1412">
        <v>0</v>
      </c>
      <c r="DO37" s="1412"/>
      <c r="DP37" s="1412">
        <v>0</v>
      </c>
      <c r="DQ37" s="1412"/>
      <c r="DR37" s="1412"/>
      <c r="DS37" s="1412"/>
      <c r="DT37" s="1412">
        <v>0</v>
      </c>
      <c r="DU37" s="1412"/>
      <c r="DV37" s="1412"/>
      <c r="DW37" s="1412"/>
      <c r="DX37" s="1412"/>
      <c r="DY37" s="1412">
        <v>912827</v>
      </c>
      <c r="DZ37" s="1412"/>
      <c r="EA37" s="1412">
        <v>0</v>
      </c>
      <c r="EB37" s="1412">
        <v>0</v>
      </c>
      <c r="EC37" s="1412"/>
      <c r="ED37" s="1412">
        <v>886743</v>
      </c>
      <c r="EE37" s="1412">
        <v>26084</v>
      </c>
      <c r="EF37" s="1412"/>
      <c r="EG37" s="1412"/>
      <c r="EH37" s="1412">
        <v>7903721.9199999999</v>
      </c>
      <c r="EI37" s="1412">
        <v>1968748.79</v>
      </c>
      <c r="EJ37" s="1412">
        <v>5137691.21</v>
      </c>
      <c r="EK37" s="1412">
        <v>797281.92</v>
      </c>
      <c r="EL37" s="1412"/>
      <c r="EM37" s="1412">
        <v>15268235</v>
      </c>
      <c r="EN37" s="1412"/>
      <c r="EO37" s="1412"/>
      <c r="EP37" s="1412"/>
      <c r="EQ37" s="1412"/>
      <c r="ER37" s="1412"/>
      <c r="ES37" s="1412">
        <v>177037740.91999999</v>
      </c>
      <c r="ET37" s="1207"/>
    </row>
    <row r="38" spans="5:150" ht="14.4">
      <c r="E38" s="1208">
        <v>42856</v>
      </c>
      <c r="F38" s="1412"/>
      <c r="G38" s="1363">
        <v>152270</v>
      </c>
      <c r="H38" s="1412"/>
      <c r="I38" s="1412">
        <v>33868713</v>
      </c>
      <c r="J38" s="1412">
        <v>33868713</v>
      </c>
      <c r="K38" s="1412"/>
      <c r="L38" s="1412"/>
      <c r="M38" s="1412">
        <v>204934</v>
      </c>
      <c r="N38" s="1412">
        <v>204934</v>
      </c>
      <c r="O38" s="1412">
        <v>204934</v>
      </c>
      <c r="P38" s="1412"/>
      <c r="Q38" s="1412">
        <v>0</v>
      </c>
      <c r="R38" s="1412"/>
      <c r="S38" s="1412"/>
      <c r="T38" s="1412">
        <v>0</v>
      </c>
      <c r="U38" s="1412"/>
      <c r="V38" s="1412"/>
      <c r="W38" s="1412"/>
      <c r="X38" s="1412">
        <v>0</v>
      </c>
      <c r="Y38" s="1412">
        <v>0</v>
      </c>
      <c r="Z38" s="1412"/>
      <c r="AA38" s="1412"/>
      <c r="AB38" s="1412">
        <v>0</v>
      </c>
      <c r="AC38" s="1412"/>
      <c r="AD38" s="1412"/>
      <c r="AE38" s="1412"/>
      <c r="AF38" s="1412">
        <v>0</v>
      </c>
      <c r="AG38" s="1412"/>
      <c r="AH38" s="1412"/>
      <c r="AI38" s="1412"/>
      <c r="AJ38" s="1412"/>
      <c r="AK38" s="1412">
        <v>0</v>
      </c>
      <c r="AL38" s="1412"/>
      <c r="AM38" s="1412"/>
      <c r="AN38" s="1412"/>
      <c r="AO38" s="1412">
        <v>636878</v>
      </c>
      <c r="AP38" s="1412">
        <v>371832</v>
      </c>
      <c r="AQ38" s="1412">
        <v>265046</v>
      </c>
      <c r="AR38" s="1412">
        <v>265046</v>
      </c>
      <c r="AS38" s="1412"/>
      <c r="AT38" s="1412"/>
      <c r="AU38" s="1412"/>
      <c r="AV38" s="1412"/>
      <c r="AW38" s="1412"/>
      <c r="AX38" s="1412"/>
      <c r="AY38" s="1412">
        <v>54392842</v>
      </c>
      <c r="AZ38" s="1412">
        <v>0</v>
      </c>
      <c r="BA38" s="1412"/>
      <c r="BB38" s="1412"/>
      <c r="BC38" s="1412"/>
      <c r="BD38" s="1412">
        <v>54392842</v>
      </c>
      <c r="BE38" s="1412">
        <v>0</v>
      </c>
      <c r="BF38" s="1412"/>
      <c r="BG38" s="1412"/>
      <c r="BH38" s="1412"/>
      <c r="BI38" s="1412"/>
      <c r="BJ38" s="1412"/>
      <c r="BK38" s="1412"/>
      <c r="BL38" s="1412">
        <v>0</v>
      </c>
      <c r="BM38" s="1412">
        <v>0</v>
      </c>
      <c r="BN38" s="1412"/>
      <c r="BO38" s="1412"/>
      <c r="BP38" s="1412"/>
      <c r="BQ38" s="1412"/>
      <c r="BR38" s="1412"/>
      <c r="BS38" s="1412"/>
      <c r="BT38" s="1412">
        <v>0</v>
      </c>
      <c r="BU38" s="1412">
        <v>0</v>
      </c>
      <c r="BV38" s="1412"/>
      <c r="BW38" s="1412"/>
      <c r="BX38" s="1412"/>
      <c r="BY38" s="1412"/>
      <c r="BZ38" s="1412"/>
      <c r="CA38" s="1412"/>
      <c r="CB38" s="1412"/>
      <c r="CC38" s="1412">
        <v>131120</v>
      </c>
      <c r="CD38" s="1412">
        <v>0</v>
      </c>
      <c r="CE38" s="1412"/>
      <c r="CF38" s="1412">
        <v>0</v>
      </c>
      <c r="CG38" s="1412"/>
      <c r="CH38" s="1412"/>
      <c r="CI38" s="1412"/>
      <c r="CJ38" s="1412">
        <v>131120</v>
      </c>
      <c r="CK38" s="1412"/>
      <c r="CL38" s="1412">
        <v>131120</v>
      </c>
      <c r="CM38" s="1412"/>
      <c r="CN38" s="1412"/>
      <c r="CO38" s="1412"/>
      <c r="CP38" s="1412"/>
      <c r="CQ38" s="1412">
        <v>3000000</v>
      </c>
      <c r="CR38" s="1412"/>
      <c r="CS38" s="1412">
        <v>3000000</v>
      </c>
      <c r="CT38" s="1412"/>
      <c r="CU38" s="1412">
        <v>63955591</v>
      </c>
      <c r="CV38" s="1412">
        <v>61789131</v>
      </c>
      <c r="CW38" s="1412">
        <v>2166460</v>
      </c>
      <c r="CX38" s="1412"/>
      <c r="CY38" s="1412">
        <v>0</v>
      </c>
      <c r="CZ38" s="1412"/>
      <c r="DA38" s="1412">
        <v>0</v>
      </c>
      <c r="DB38" s="1412"/>
      <c r="DC38" s="1412"/>
      <c r="DD38" s="1412"/>
      <c r="DE38" s="1412">
        <v>0</v>
      </c>
      <c r="DF38" s="1412"/>
      <c r="DG38" s="1412"/>
      <c r="DH38" s="1412"/>
      <c r="DI38" s="1412">
        <v>0</v>
      </c>
      <c r="DJ38" s="1412"/>
      <c r="DK38" s="1412"/>
      <c r="DL38" s="1412"/>
      <c r="DM38" s="1412"/>
      <c r="DN38" s="1412">
        <v>0</v>
      </c>
      <c r="DO38" s="1412"/>
      <c r="DP38" s="1412">
        <v>0</v>
      </c>
      <c r="DQ38" s="1412"/>
      <c r="DR38" s="1412"/>
      <c r="DS38" s="1412"/>
      <c r="DT38" s="1412">
        <v>0</v>
      </c>
      <c r="DU38" s="1412"/>
      <c r="DV38" s="1412"/>
      <c r="DW38" s="1412"/>
      <c r="DX38" s="1412"/>
      <c r="DY38" s="1412">
        <v>1327618</v>
      </c>
      <c r="DZ38" s="1412"/>
      <c r="EA38" s="1412">
        <v>0</v>
      </c>
      <c r="EB38" s="1412">
        <v>0</v>
      </c>
      <c r="EC38" s="1412"/>
      <c r="ED38" s="1412">
        <v>1300753</v>
      </c>
      <c r="EE38" s="1412">
        <v>26865</v>
      </c>
      <c r="EF38" s="1412"/>
      <c r="EG38" s="1412"/>
      <c r="EH38" s="1412">
        <v>7960538.1099999994</v>
      </c>
      <c r="EI38" s="1412">
        <v>1965354.95</v>
      </c>
      <c r="EJ38" s="1412">
        <v>5069539.1099999994</v>
      </c>
      <c r="EK38" s="1412">
        <v>925644.05</v>
      </c>
      <c r="EL38" s="1412"/>
      <c r="EM38" s="1412">
        <v>14930035</v>
      </c>
      <c r="EN38" s="1412"/>
      <c r="EO38" s="1412"/>
      <c r="EP38" s="1412"/>
      <c r="EQ38" s="1412"/>
      <c r="ER38" s="1412"/>
      <c r="ES38" s="1412">
        <v>180560539.11000001</v>
      </c>
      <c r="ET38" s="1207"/>
    </row>
    <row r="39" spans="5:150" s="949" customFormat="1">
      <c r="E39" s="1208">
        <v>42887</v>
      </c>
      <c r="F39" s="1412">
        <v>42917</v>
      </c>
      <c r="G39" s="1363">
        <v>12327</v>
      </c>
      <c r="H39" s="1412"/>
      <c r="I39" s="1412">
        <v>29731092</v>
      </c>
      <c r="J39" s="1412">
        <v>29731092</v>
      </c>
      <c r="K39" s="1412"/>
      <c r="L39" s="1412"/>
      <c r="M39" s="1412">
        <v>33799</v>
      </c>
      <c r="N39" s="1412">
        <v>33799</v>
      </c>
      <c r="O39" s="1412">
        <v>33799</v>
      </c>
      <c r="P39" s="1412"/>
      <c r="Q39" s="1412">
        <v>0</v>
      </c>
      <c r="R39" s="1412"/>
      <c r="S39" s="1412"/>
      <c r="T39" s="1412">
        <v>0</v>
      </c>
      <c r="U39" s="1412"/>
      <c r="V39" s="1412"/>
      <c r="W39" s="1412"/>
      <c r="X39" s="1412">
        <v>0</v>
      </c>
      <c r="Y39" s="1412">
        <v>0</v>
      </c>
      <c r="Z39" s="1412"/>
      <c r="AA39" s="1412"/>
      <c r="AB39" s="1412">
        <v>0</v>
      </c>
      <c r="AC39" s="1412"/>
      <c r="AD39" s="1412"/>
      <c r="AE39" s="1412"/>
      <c r="AF39" s="1412">
        <v>0</v>
      </c>
      <c r="AG39" s="1412"/>
      <c r="AH39" s="1412"/>
      <c r="AI39" s="1412"/>
      <c r="AJ39" s="1412"/>
      <c r="AK39" s="1412">
        <v>0</v>
      </c>
      <c r="AL39" s="1412"/>
      <c r="AM39" s="1412"/>
      <c r="AN39" s="1412"/>
      <c r="AO39" s="1412">
        <v>226592</v>
      </c>
      <c r="AP39" s="1412">
        <v>92468</v>
      </c>
      <c r="AQ39" s="1412">
        <v>134124</v>
      </c>
      <c r="AR39" s="1412">
        <v>134124</v>
      </c>
      <c r="AS39" s="1412"/>
      <c r="AT39" s="1412"/>
      <c r="AU39" s="1412"/>
      <c r="AV39" s="1412"/>
      <c r="AW39" s="1412"/>
      <c r="AX39" s="1412"/>
      <c r="AY39" s="1412">
        <v>55471198</v>
      </c>
      <c r="AZ39" s="1412">
        <v>0</v>
      </c>
      <c r="BA39" s="1412"/>
      <c r="BB39" s="1412"/>
      <c r="BC39" s="1412"/>
      <c r="BD39" s="1412">
        <v>55471198</v>
      </c>
      <c r="BE39" s="1412">
        <v>0</v>
      </c>
      <c r="BF39" s="1412"/>
      <c r="BG39" s="1412"/>
      <c r="BH39" s="1412"/>
      <c r="BI39" s="1412"/>
      <c r="BJ39" s="1412"/>
      <c r="BK39" s="1412"/>
      <c r="BL39" s="1412">
        <v>0</v>
      </c>
      <c r="BM39" s="1412">
        <v>0</v>
      </c>
      <c r="BN39" s="1412"/>
      <c r="BO39" s="1412"/>
      <c r="BP39" s="1412"/>
      <c r="BQ39" s="1412"/>
      <c r="BR39" s="1412"/>
      <c r="BS39" s="1412"/>
      <c r="BT39" s="1412">
        <v>0</v>
      </c>
      <c r="BU39" s="1412">
        <v>0</v>
      </c>
      <c r="BV39" s="1412"/>
      <c r="BW39" s="1412"/>
      <c r="BX39" s="1412"/>
      <c r="BY39" s="1412"/>
      <c r="BZ39" s="1412"/>
      <c r="CA39" s="1412"/>
      <c r="CB39" s="1412"/>
      <c r="CC39" s="1412">
        <v>127219</v>
      </c>
      <c r="CD39" s="1412">
        <v>0</v>
      </c>
      <c r="CE39" s="1412"/>
      <c r="CF39" s="1412">
        <v>0</v>
      </c>
      <c r="CG39" s="1412"/>
      <c r="CH39" s="1412"/>
      <c r="CI39" s="1412"/>
      <c r="CJ39" s="1412">
        <v>127219</v>
      </c>
      <c r="CK39" s="1412"/>
      <c r="CL39" s="1412">
        <v>127219</v>
      </c>
      <c r="CM39" s="1412"/>
      <c r="CN39" s="1412"/>
      <c r="CO39" s="1412"/>
      <c r="CP39" s="1412"/>
      <c r="CQ39" s="1412">
        <v>12000000</v>
      </c>
      <c r="CR39" s="1412"/>
      <c r="CS39" s="1412">
        <v>12000000</v>
      </c>
      <c r="CT39" s="1412"/>
      <c r="CU39" s="1412">
        <v>66229973</v>
      </c>
      <c r="CV39" s="1412">
        <v>64008930</v>
      </c>
      <c r="CW39" s="1412">
        <v>2221043</v>
      </c>
      <c r="CX39" s="1412"/>
      <c r="CY39" s="1412">
        <v>0</v>
      </c>
      <c r="CZ39" s="1412"/>
      <c r="DA39" s="1412">
        <v>0</v>
      </c>
      <c r="DB39" s="1412"/>
      <c r="DC39" s="1412"/>
      <c r="DD39" s="1412"/>
      <c r="DE39" s="1412">
        <v>0</v>
      </c>
      <c r="DF39" s="1412"/>
      <c r="DG39" s="1412"/>
      <c r="DH39" s="1412"/>
      <c r="DI39" s="1412">
        <v>0</v>
      </c>
      <c r="DJ39" s="1412"/>
      <c r="DK39" s="1412"/>
      <c r="DL39" s="1412"/>
      <c r="DM39" s="1412"/>
      <c r="DN39" s="1412">
        <v>0</v>
      </c>
      <c r="DO39" s="1412"/>
      <c r="DP39" s="1412">
        <v>0</v>
      </c>
      <c r="DQ39" s="1412"/>
      <c r="DR39" s="1412"/>
      <c r="DS39" s="1412"/>
      <c r="DT39" s="1412">
        <v>0</v>
      </c>
      <c r="DU39" s="1412"/>
      <c r="DV39" s="1412"/>
      <c r="DW39" s="1412"/>
      <c r="DX39" s="1412"/>
      <c r="DY39" s="1412">
        <v>1251779</v>
      </c>
      <c r="DZ39" s="1412"/>
      <c r="EA39" s="1412">
        <v>0</v>
      </c>
      <c r="EB39" s="1412">
        <v>0</v>
      </c>
      <c r="EC39" s="1412"/>
      <c r="ED39" s="1412">
        <v>1224314</v>
      </c>
      <c r="EE39" s="1412">
        <v>27465</v>
      </c>
      <c r="EF39" s="1412"/>
      <c r="EG39" s="1412"/>
      <c r="EH39" s="1412">
        <v>8058278.1199999992</v>
      </c>
      <c r="EI39" s="1412">
        <v>1961961.1</v>
      </c>
      <c r="EJ39" s="1412">
        <v>5207620.42</v>
      </c>
      <c r="EK39" s="1412">
        <v>888696.6</v>
      </c>
      <c r="EL39" s="1412"/>
      <c r="EM39" s="1412">
        <v>15611275</v>
      </c>
      <c r="EN39" s="1412"/>
      <c r="EO39" s="1412"/>
      <c r="EP39" s="1412"/>
      <c r="EQ39" s="1412"/>
      <c r="ER39" s="1412"/>
      <c r="ES39" s="1412">
        <v>188753532.12</v>
      </c>
      <c r="ET39" s="1207"/>
    </row>
    <row r="40" spans="5:150" s="949" customFormat="1">
      <c r="E40" s="1208">
        <v>42917</v>
      </c>
      <c r="F40" s="1412"/>
      <c r="G40" s="1363">
        <v>53238</v>
      </c>
      <c r="H40" s="1412"/>
      <c r="I40" s="1412">
        <v>16350730</v>
      </c>
      <c r="J40" s="1412">
        <v>16350730</v>
      </c>
      <c r="K40" s="1412"/>
      <c r="L40" s="1412"/>
      <c r="M40" s="1412">
        <v>82746</v>
      </c>
      <c r="N40" s="1412">
        <v>82746</v>
      </c>
      <c r="O40" s="1412">
        <v>82746</v>
      </c>
      <c r="P40" s="1412"/>
      <c r="Q40" s="1412">
        <v>0</v>
      </c>
      <c r="R40" s="1412"/>
      <c r="S40" s="1412"/>
      <c r="T40" s="1412">
        <v>0</v>
      </c>
      <c r="U40" s="1412"/>
      <c r="V40" s="1412"/>
      <c r="W40" s="1412"/>
      <c r="X40" s="1412">
        <v>0</v>
      </c>
      <c r="Y40" s="1412">
        <v>0</v>
      </c>
      <c r="Z40" s="1412"/>
      <c r="AA40" s="1412"/>
      <c r="AB40" s="1412">
        <v>0</v>
      </c>
      <c r="AC40" s="1412"/>
      <c r="AD40" s="1412"/>
      <c r="AE40" s="1412"/>
      <c r="AF40" s="1412">
        <v>0</v>
      </c>
      <c r="AG40" s="1412"/>
      <c r="AH40" s="1412"/>
      <c r="AI40" s="1412"/>
      <c r="AJ40" s="1412"/>
      <c r="AK40" s="1412">
        <v>0</v>
      </c>
      <c r="AL40" s="1412"/>
      <c r="AM40" s="1412"/>
      <c r="AN40" s="1412"/>
      <c r="AO40" s="1412">
        <v>507801</v>
      </c>
      <c r="AP40" s="1412">
        <v>327650</v>
      </c>
      <c r="AQ40" s="1412">
        <v>180151</v>
      </c>
      <c r="AR40" s="1412">
        <v>180151</v>
      </c>
      <c r="AS40" s="1412"/>
      <c r="AT40" s="1412"/>
      <c r="AU40" s="1412"/>
      <c r="AV40" s="1412"/>
      <c r="AW40" s="1412"/>
      <c r="AX40" s="1412"/>
      <c r="AY40" s="1412">
        <v>55471198</v>
      </c>
      <c r="AZ40" s="1412">
        <v>0</v>
      </c>
      <c r="BA40" s="1412"/>
      <c r="BB40" s="1412"/>
      <c r="BC40" s="1412"/>
      <c r="BD40" s="1412">
        <v>55471198</v>
      </c>
      <c r="BE40" s="1412">
        <v>0</v>
      </c>
      <c r="BF40" s="1412"/>
      <c r="BG40" s="1412"/>
      <c r="BH40" s="1412"/>
      <c r="BI40" s="1412"/>
      <c r="BJ40" s="1412"/>
      <c r="BK40" s="1412"/>
      <c r="BL40" s="1412">
        <v>0</v>
      </c>
      <c r="BM40" s="1412">
        <v>0</v>
      </c>
      <c r="BN40" s="1412"/>
      <c r="BO40" s="1412"/>
      <c r="BP40" s="1412"/>
      <c r="BQ40" s="1412"/>
      <c r="BR40" s="1412"/>
      <c r="BS40" s="1412"/>
      <c r="BT40" s="1412">
        <v>0</v>
      </c>
      <c r="BU40" s="1412">
        <v>0</v>
      </c>
      <c r="BV40" s="1412"/>
      <c r="BW40" s="1412"/>
      <c r="BX40" s="1412"/>
      <c r="BY40" s="1412"/>
      <c r="BZ40" s="1412"/>
      <c r="CA40" s="1412"/>
      <c r="CB40" s="1412"/>
      <c r="CC40" s="1412">
        <v>119481</v>
      </c>
      <c r="CD40" s="1412">
        <v>0</v>
      </c>
      <c r="CE40" s="1412"/>
      <c r="CF40" s="1412">
        <v>0</v>
      </c>
      <c r="CG40" s="1412"/>
      <c r="CH40" s="1412"/>
      <c r="CI40" s="1412"/>
      <c r="CJ40" s="1412">
        <v>119481</v>
      </c>
      <c r="CK40" s="1412"/>
      <c r="CL40" s="1412">
        <v>119481</v>
      </c>
      <c r="CM40" s="1412"/>
      <c r="CN40" s="1412"/>
      <c r="CO40" s="1412"/>
      <c r="CP40" s="1412"/>
      <c r="CQ40" s="1412">
        <v>10000000</v>
      </c>
      <c r="CR40" s="1412"/>
      <c r="CS40" s="1412">
        <v>10000000</v>
      </c>
      <c r="CT40" s="1412"/>
      <c r="CU40" s="1412">
        <v>69435736</v>
      </c>
      <c r="CV40" s="1412">
        <v>67121352</v>
      </c>
      <c r="CW40" s="1412">
        <v>2314384</v>
      </c>
      <c r="CX40" s="1412"/>
      <c r="CY40" s="1412">
        <v>0</v>
      </c>
      <c r="CZ40" s="1412"/>
      <c r="DA40" s="1412">
        <v>0</v>
      </c>
      <c r="DB40" s="1412"/>
      <c r="DC40" s="1412"/>
      <c r="DD40" s="1412"/>
      <c r="DE40" s="1412">
        <v>0</v>
      </c>
      <c r="DF40" s="1412"/>
      <c r="DG40" s="1412"/>
      <c r="DH40" s="1412"/>
      <c r="DI40" s="1412">
        <v>0</v>
      </c>
      <c r="DJ40" s="1412"/>
      <c r="DK40" s="1412"/>
      <c r="DL40" s="1412"/>
      <c r="DM40" s="1412"/>
      <c r="DN40" s="1412">
        <v>0</v>
      </c>
      <c r="DO40" s="1412"/>
      <c r="DP40" s="1412">
        <v>0</v>
      </c>
      <c r="DQ40" s="1412"/>
      <c r="DR40" s="1412"/>
      <c r="DS40" s="1412"/>
      <c r="DT40" s="1412">
        <v>0</v>
      </c>
      <c r="DU40" s="1412"/>
      <c r="DV40" s="1412"/>
      <c r="DW40" s="1412"/>
      <c r="DX40" s="1412"/>
      <c r="DY40" s="1412">
        <v>1364190</v>
      </c>
      <c r="DZ40" s="1412"/>
      <c r="EA40" s="1412">
        <v>0</v>
      </c>
      <c r="EB40" s="1412">
        <v>0</v>
      </c>
      <c r="EC40" s="1412"/>
      <c r="ED40" s="1412">
        <v>1336005</v>
      </c>
      <c r="EE40" s="1412">
        <v>28185</v>
      </c>
      <c r="EF40" s="1412"/>
      <c r="EG40" s="1412"/>
      <c r="EH40" s="1412">
        <v>8050158.6399999997</v>
      </c>
      <c r="EI40" s="1412">
        <v>1958567.26</v>
      </c>
      <c r="EJ40" s="1412">
        <v>5142809.96</v>
      </c>
      <c r="EK40" s="1412">
        <v>948781.42</v>
      </c>
      <c r="EL40" s="1412"/>
      <c r="EM40" s="1412">
        <v>16239491</v>
      </c>
      <c r="EN40" s="1412"/>
      <c r="EO40" s="1412"/>
      <c r="EP40" s="1412"/>
      <c r="EQ40" s="1412"/>
      <c r="ER40" s="1412"/>
      <c r="ES40" s="1412">
        <v>177674769.63999999</v>
      </c>
      <c r="ET40" s="1207"/>
    </row>
    <row r="41" spans="5:150" ht="14.4">
      <c r="E41" s="1208">
        <v>42948</v>
      </c>
      <c r="F41" s="1412"/>
      <c r="G41" s="1363">
        <v>67582</v>
      </c>
      <c r="H41" s="1412"/>
      <c r="I41" s="1412">
        <v>36064035</v>
      </c>
      <c r="J41" s="1412">
        <v>36064035</v>
      </c>
      <c r="K41" s="1412"/>
      <c r="L41" s="1412"/>
      <c r="M41" s="1412">
        <v>134693</v>
      </c>
      <c r="N41" s="1412">
        <v>134693</v>
      </c>
      <c r="O41" s="1412">
        <v>134693</v>
      </c>
      <c r="P41" s="1412"/>
      <c r="Q41" s="1412">
        <v>0</v>
      </c>
      <c r="R41" s="1412"/>
      <c r="S41" s="1412"/>
      <c r="T41" s="1412">
        <v>0</v>
      </c>
      <c r="U41" s="1412"/>
      <c r="V41" s="1412"/>
      <c r="W41" s="1412"/>
      <c r="X41" s="1412">
        <v>0</v>
      </c>
      <c r="Y41" s="1412">
        <v>0</v>
      </c>
      <c r="Z41" s="1412"/>
      <c r="AA41" s="1412"/>
      <c r="AB41" s="1412">
        <v>0</v>
      </c>
      <c r="AC41" s="1412"/>
      <c r="AD41" s="1412"/>
      <c r="AE41" s="1412"/>
      <c r="AF41" s="1412">
        <v>0</v>
      </c>
      <c r="AG41" s="1412"/>
      <c r="AH41" s="1412"/>
      <c r="AI41" s="1412"/>
      <c r="AJ41" s="1412"/>
      <c r="AK41" s="1412">
        <v>0</v>
      </c>
      <c r="AL41" s="1412"/>
      <c r="AM41" s="1412"/>
      <c r="AN41" s="1412"/>
      <c r="AO41" s="1412">
        <v>606345</v>
      </c>
      <c r="AP41" s="1412">
        <v>395303</v>
      </c>
      <c r="AQ41" s="1412">
        <v>211042</v>
      </c>
      <c r="AR41" s="1412">
        <v>211042</v>
      </c>
      <c r="AS41" s="1412"/>
      <c r="AT41" s="1412"/>
      <c r="AU41" s="1412"/>
      <c r="AV41" s="1412"/>
      <c r="AW41" s="1412"/>
      <c r="AX41" s="1412"/>
      <c r="AY41" s="1412">
        <v>51377124</v>
      </c>
      <c r="AZ41" s="1412">
        <v>0</v>
      </c>
      <c r="BA41" s="1412"/>
      <c r="BB41" s="1412"/>
      <c r="BC41" s="1412"/>
      <c r="BD41" s="1412">
        <v>51377124</v>
      </c>
      <c r="BE41" s="1412">
        <v>0</v>
      </c>
      <c r="BF41" s="1412"/>
      <c r="BG41" s="1412"/>
      <c r="BH41" s="1412"/>
      <c r="BI41" s="1412"/>
      <c r="BJ41" s="1412"/>
      <c r="BK41" s="1412"/>
      <c r="BL41" s="1412">
        <v>0</v>
      </c>
      <c r="BM41" s="1412">
        <v>0</v>
      </c>
      <c r="BN41" s="1412"/>
      <c r="BO41" s="1412"/>
      <c r="BP41" s="1412"/>
      <c r="BQ41" s="1412"/>
      <c r="BR41" s="1412"/>
      <c r="BS41" s="1412"/>
      <c r="BT41" s="1412">
        <v>0</v>
      </c>
      <c r="BU41" s="1412">
        <v>0</v>
      </c>
      <c r="BV41" s="1412"/>
      <c r="BW41" s="1412"/>
      <c r="BX41" s="1412"/>
      <c r="BY41" s="1412"/>
      <c r="BZ41" s="1412"/>
      <c r="CA41" s="1412"/>
      <c r="CB41" s="1412"/>
      <c r="CC41" s="1412">
        <v>116210</v>
      </c>
      <c r="CD41" s="1412">
        <v>0</v>
      </c>
      <c r="CE41" s="1412"/>
      <c r="CF41" s="1412">
        <v>0</v>
      </c>
      <c r="CG41" s="1412"/>
      <c r="CH41" s="1412"/>
      <c r="CI41" s="1412"/>
      <c r="CJ41" s="1412">
        <v>116210</v>
      </c>
      <c r="CK41" s="1412"/>
      <c r="CL41" s="1412">
        <v>116210</v>
      </c>
      <c r="CM41" s="1412"/>
      <c r="CN41" s="1412"/>
      <c r="CO41" s="1412"/>
      <c r="CP41" s="1412"/>
      <c r="CQ41" s="1412">
        <v>4000000</v>
      </c>
      <c r="CR41" s="1412"/>
      <c r="CS41" s="1412">
        <v>4000000</v>
      </c>
      <c r="CT41" s="1412"/>
      <c r="CU41" s="1412">
        <v>71030020</v>
      </c>
      <c r="CV41" s="1412">
        <v>69807028</v>
      </c>
      <c r="CW41" s="1412">
        <v>1222992</v>
      </c>
      <c r="CX41" s="1412"/>
      <c r="CY41" s="1412">
        <v>0</v>
      </c>
      <c r="CZ41" s="1412"/>
      <c r="DA41" s="1412">
        <v>0</v>
      </c>
      <c r="DB41" s="1412"/>
      <c r="DC41" s="1412"/>
      <c r="DD41" s="1412"/>
      <c r="DE41" s="1412">
        <v>0</v>
      </c>
      <c r="DF41" s="1412"/>
      <c r="DG41" s="1412"/>
      <c r="DH41" s="1412"/>
      <c r="DI41" s="1412">
        <v>0</v>
      </c>
      <c r="DJ41" s="1412"/>
      <c r="DK41" s="1412"/>
      <c r="DL41" s="1412"/>
      <c r="DM41" s="1412"/>
      <c r="DN41" s="1412">
        <v>0</v>
      </c>
      <c r="DO41" s="1412"/>
      <c r="DP41" s="1412">
        <v>0</v>
      </c>
      <c r="DQ41" s="1412"/>
      <c r="DR41" s="1412"/>
      <c r="DS41" s="1412"/>
      <c r="DT41" s="1412">
        <v>0</v>
      </c>
      <c r="DU41" s="1412"/>
      <c r="DV41" s="1412"/>
      <c r="DW41" s="1412"/>
      <c r="DX41" s="1412"/>
      <c r="DY41" s="1412">
        <v>1629195</v>
      </c>
      <c r="DZ41" s="1412"/>
      <c r="EA41" s="1412">
        <v>0</v>
      </c>
      <c r="EB41" s="1412">
        <v>0</v>
      </c>
      <c r="EC41" s="1412"/>
      <c r="ED41" s="1412">
        <v>1600683</v>
      </c>
      <c r="EE41" s="1412">
        <v>28512</v>
      </c>
      <c r="EF41" s="1412"/>
      <c r="EG41" s="1412"/>
      <c r="EH41" s="1412">
        <v>8231515.3099999996</v>
      </c>
      <c r="EI41" s="1412">
        <v>1955173.41</v>
      </c>
      <c r="EJ41" s="1412">
        <v>2845388.27</v>
      </c>
      <c r="EK41" s="1412">
        <v>3430953.63</v>
      </c>
      <c r="EL41" s="1412"/>
      <c r="EM41" s="1412">
        <v>16164848</v>
      </c>
      <c r="EN41" s="1412"/>
      <c r="EO41" s="1412"/>
      <c r="EP41" s="1412"/>
      <c r="EQ41" s="1412"/>
      <c r="ER41" s="1412"/>
      <c r="ES41" s="1412">
        <v>189421567.31</v>
      </c>
      <c r="ET41" s="1207"/>
    </row>
    <row r="42" spans="5:150">
      <c r="E42" s="1208">
        <v>42979</v>
      </c>
      <c r="F42" s="1413"/>
      <c r="G42" s="1364">
        <v>9204</v>
      </c>
      <c r="H42" s="1413"/>
      <c r="I42" s="1413">
        <v>37750022</v>
      </c>
      <c r="J42" s="1413">
        <v>37750022</v>
      </c>
      <c r="K42" s="1413"/>
      <c r="L42" s="1413"/>
      <c r="M42" s="1413">
        <v>193573</v>
      </c>
      <c r="N42" s="1413">
        <v>193573</v>
      </c>
      <c r="O42" s="1413">
        <v>193573</v>
      </c>
      <c r="P42" s="1413"/>
      <c r="Q42" s="1413">
        <v>0</v>
      </c>
      <c r="R42" s="1413"/>
      <c r="S42" s="1413"/>
      <c r="T42" s="1413">
        <v>0</v>
      </c>
      <c r="U42" s="1413"/>
      <c r="V42" s="1413"/>
      <c r="W42" s="1413"/>
      <c r="X42" s="1413">
        <v>0</v>
      </c>
      <c r="Y42" s="1413">
        <v>0</v>
      </c>
      <c r="Z42" s="1413"/>
      <c r="AA42" s="1413"/>
      <c r="AB42" s="1413">
        <v>0</v>
      </c>
      <c r="AC42" s="1413"/>
      <c r="AD42" s="1413"/>
      <c r="AE42" s="1413"/>
      <c r="AF42" s="1413">
        <v>0</v>
      </c>
      <c r="AG42" s="1413"/>
      <c r="AH42" s="1413"/>
      <c r="AI42" s="1413"/>
      <c r="AJ42" s="1413"/>
      <c r="AK42" s="1413">
        <v>0</v>
      </c>
      <c r="AL42" s="1413"/>
      <c r="AM42" s="1413"/>
      <c r="AN42" s="1413"/>
      <c r="AO42" s="1413">
        <v>587246</v>
      </c>
      <c r="AP42" s="1413">
        <v>236956</v>
      </c>
      <c r="AQ42" s="1413">
        <v>350290</v>
      </c>
      <c r="AR42" s="1413">
        <v>350290</v>
      </c>
      <c r="AS42" s="1413"/>
      <c r="AT42" s="1413"/>
      <c r="AU42" s="1413"/>
      <c r="AV42" s="1413"/>
      <c r="AW42" s="1413"/>
      <c r="AX42" s="1413"/>
      <c r="AY42" s="1413">
        <v>51376312</v>
      </c>
      <c r="AZ42" s="1413">
        <v>0</v>
      </c>
      <c r="BA42" s="1413"/>
      <c r="BB42" s="1413"/>
      <c r="BC42" s="1413"/>
      <c r="BD42" s="1413">
        <v>51376312</v>
      </c>
      <c r="BE42" s="1413">
        <v>0</v>
      </c>
      <c r="BF42" s="1413"/>
      <c r="BG42" s="1413"/>
      <c r="BH42" s="1413"/>
      <c r="BI42" s="1413"/>
      <c r="BJ42" s="1413"/>
      <c r="BK42" s="1413"/>
      <c r="BL42" s="1413">
        <v>0</v>
      </c>
      <c r="BM42" s="1413">
        <v>0</v>
      </c>
      <c r="BN42" s="1413"/>
      <c r="BO42" s="1413"/>
      <c r="BP42" s="1413"/>
      <c r="BQ42" s="1413"/>
      <c r="BR42" s="1413"/>
      <c r="BS42" s="1413"/>
      <c r="BT42" s="1413">
        <v>0</v>
      </c>
      <c r="BU42" s="1413">
        <v>0</v>
      </c>
      <c r="BV42" s="1413"/>
      <c r="BW42" s="1413"/>
      <c r="BX42" s="1413"/>
      <c r="BY42" s="1413"/>
      <c r="BZ42" s="1413"/>
      <c r="CA42" s="1413"/>
      <c r="CB42" s="1413"/>
      <c r="CC42" s="1413">
        <v>117507</v>
      </c>
      <c r="CD42" s="1413">
        <v>0</v>
      </c>
      <c r="CE42" s="1413"/>
      <c r="CF42" s="1413">
        <v>0</v>
      </c>
      <c r="CG42" s="1413"/>
      <c r="CH42" s="1413"/>
      <c r="CI42" s="1413"/>
      <c r="CJ42" s="1413">
        <v>117507</v>
      </c>
      <c r="CK42" s="1413"/>
      <c r="CL42" s="1413">
        <v>117507</v>
      </c>
      <c r="CM42" s="1413"/>
      <c r="CN42" s="1413"/>
      <c r="CO42" s="1413"/>
      <c r="CP42" s="1413"/>
      <c r="CQ42" s="1413">
        <v>1000000</v>
      </c>
      <c r="CR42" s="1413"/>
      <c r="CS42" s="1413">
        <v>1000000</v>
      </c>
      <c r="CT42" s="1413"/>
      <c r="CU42" s="1413">
        <v>74615445</v>
      </c>
      <c r="CV42" s="1413">
        <v>73766725</v>
      </c>
      <c r="CW42" s="1413">
        <v>848720</v>
      </c>
      <c r="CX42" s="1413"/>
      <c r="CY42" s="1413">
        <v>0</v>
      </c>
      <c r="CZ42" s="1413"/>
      <c r="DA42" s="1413">
        <v>0</v>
      </c>
      <c r="DB42" s="1413"/>
      <c r="DC42" s="1413"/>
      <c r="DD42" s="1413"/>
      <c r="DE42" s="1413">
        <v>0</v>
      </c>
      <c r="DF42" s="1413"/>
      <c r="DG42" s="1413"/>
      <c r="DH42" s="1413"/>
      <c r="DI42" s="1413">
        <v>0</v>
      </c>
      <c r="DJ42" s="1413"/>
      <c r="DK42" s="1413"/>
      <c r="DL42" s="1413"/>
      <c r="DM42" s="1413"/>
      <c r="DN42" s="1413">
        <v>0</v>
      </c>
      <c r="DO42" s="1413"/>
      <c r="DP42" s="1413">
        <v>0</v>
      </c>
      <c r="DQ42" s="1413"/>
      <c r="DR42" s="1413"/>
      <c r="DS42" s="1413"/>
      <c r="DT42" s="1413">
        <v>0</v>
      </c>
      <c r="DU42" s="1413"/>
      <c r="DV42" s="1413"/>
      <c r="DW42" s="1413"/>
      <c r="DX42" s="1413"/>
      <c r="DY42" s="1413">
        <v>2977417</v>
      </c>
      <c r="DZ42" s="1413"/>
      <c r="EA42" s="1413">
        <v>0</v>
      </c>
      <c r="EB42" s="1413">
        <v>0</v>
      </c>
      <c r="EC42" s="1413"/>
      <c r="ED42" s="1413">
        <v>2949136</v>
      </c>
      <c r="EE42" s="1413">
        <v>28281</v>
      </c>
      <c r="EF42" s="1413"/>
      <c r="EG42" s="1413"/>
      <c r="EH42" s="1413">
        <v>8070727.0299999993</v>
      </c>
      <c r="EI42" s="1413">
        <v>1951779.57</v>
      </c>
      <c r="EJ42" s="1413">
        <v>2780572.9</v>
      </c>
      <c r="EK42" s="1413">
        <v>3338374.56</v>
      </c>
      <c r="EL42" s="1413"/>
      <c r="EM42" s="1413">
        <v>16696866</v>
      </c>
      <c r="EN42" s="1413"/>
      <c r="EO42" s="1413"/>
      <c r="EP42" s="1413"/>
      <c r="EQ42" s="1413"/>
      <c r="ER42" s="1413"/>
      <c r="ES42" s="1203">
        <v>193394319.03</v>
      </c>
    </row>
    <row r="43" spans="5:150" ht="14.4">
      <c r="E43" s="1211">
        <v>43009</v>
      </c>
      <c r="F43" s="1414"/>
      <c r="G43" s="1365">
        <v>22377</v>
      </c>
      <c r="H43" s="1414"/>
      <c r="I43" s="1414">
        <v>29561392</v>
      </c>
      <c r="J43" s="1414">
        <v>29561392</v>
      </c>
      <c r="K43" s="1414"/>
      <c r="L43" s="1414"/>
      <c r="M43" s="1414">
        <v>238559</v>
      </c>
      <c r="N43" s="1414">
        <v>238559</v>
      </c>
      <c r="O43" s="1414">
        <v>238559</v>
      </c>
      <c r="P43" s="1414"/>
      <c r="Q43" s="1414">
        <v>0</v>
      </c>
      <c r="R43" s="1414"/>
      <c r="S43" s="1414"/>
      <c r="T43" s="1414">
        <v>0</v>
      </c>
      <c r="U43" s="1414"/>
      <c r="V43" s="1414"/>
      <c r="W43" s="1414"/>
      <c r="X43" s="1414">
        <v>0</v>
      </c>
      <c r="Y43" s="1414">
        <v>0</v>
      </c>
      <c r="Z43" s="1414"/>
      <c r="AA43" s="1414"/>
      <c r="AB43" s="1414">
        <v>0</v>
      </c>
      <c r="AC43" s="1414"/>
      <c r="AD43" s="1414"/>
      <c r="AE43" s="1414"/>
      <c r="AF43" s="1414">
        <v>0</v>
      </c>
      <c r="AG43" s="1414"/>
      <c r="AH43" s="1414"/>
      <c r="AI43" s="1414"/>
      <c r="AJ43" s="1414"/>
      <c r="AK43" s="1414">
        <v>0</v>
      </c>
      <c r="AL43" s="1414"/>
      <c r="AM43" s="1414"/>
      <c r="AN43" s="1414"/>
      <c r="AO43" s="1414">
        <v>541420</v>
      </c>
      <c r="AP43" s="1414">
        <v>171974</v>
      </c>
      <c r="AQ43" s="1414">
        <v>369446</v>
      </c>
      <c r="AR43" s="1414">
        <v>369446</v>
      </c>
      <c r="AS43" s="1414"/>
      <c r="AT43" s="1414"/>
      <c r="AU43" s="1414"/>
      <c r="AV43" s="1414"/>
      <c r="AW43" s="1414"/>
      <c r="AX43" s="1414"/>
      <c r="AY43" s="1414">
        <v>65037827</v>
      </c>
      <c r="AZ43" s="1414">
        <v>0</v>
      </c>
      <c r="BA43" s="1414"/>
      <c r="BB43" s="1414"/>
      <c r="BC43" s="1414"/>
      <c r="BD43" s="1414">
        <v>65037827</v>
      </c>
      <c r="BE43" s="1414">
        <v>0</v>
      </c>
      <c r="BF43" s="1414"/>
      <c r="BG43" s="1414"/>
      <c r="BH43" s="1414"/>
      <c r="BI43" s="1414"/>
      <c r="BJ43" s="1414"/>
      <c r="BK43" s="1414"/>
      <c r="BL43" s="1414">
        <v>0</v>
      </c>
      <c r="BM43" s="1414">
        <v>0</v>
      </c>
      <c r="BN43" s="1414"/>
      <c r="BO43" s="1414"/>
      <c r="BP43" s="1414"/>
      <c r="BQ43" s="1414"/>
      <c r="BR43" s="1414"/>
      <c r="BS43" s="1414"/>
      <c r="BT43" s="1414">
        <v>0</v>
      </c>
      <c r="BU43" s="1414">
        <v>0</v>
      </c>
      <c r="BV43" s="1414"/>
      <c r="BW43" s="1414"/>
      <c r="BX43" s="1414"/>
      <c r="BY43" s="1414"/>
      <c r="BZ43" s="1414"/>
      <c r="CA43" s="1414"/>
      <c r="CB43" s="1414"/>
      <c r="CC43" s="1414">
        <v>110643</v>
      </c>
      <c r="CD43" s="1414">
        <v>0</v>
      </c>
      <c r="CE43" s="1414"/>
      <c r="CF43" s="1414">
        <v>0</v>
      </c>
      <c r="CG43" s="1414"/>
      <c r="CH43" s="1414"/>
      <c r="CI43" s="1414"/>
      <c r="CJ43" s="1414">
        <v>110643</v>
      </c>
      <c r="CK43" s="1414"/>
      <c r="CL43" s="1414">
        <v>110643</v>
      </c>
      <c r="CM43" s="1414"/>
      <c r="CN43" s="1414"/>
      <c r="CO43" s="1414"/>
      <c r="CP43" s="1414"/>
      <c r="CQ43" s="1414">
        <v>0</v>
      </c>
      <c r="CR43" s="1414"/>
      <c r="CS43" s="1414">
        <v>0</v>
      </c>
      <c r="CT43" s="1414"/>
      <c r="CU43" s="1414">
        <v>77597958</v>
      </c>
      <c r="CV43" s="1414">
        <v>76715451</v>
      </c>
      <c r="CW43" s="1414">
        <v>882507</v>
      </c>
      <c r="CX43" s="1414"/>
      <c r="CY43" s="1414">
        <v>0</v>
      </c>
      <c r="CZ43" s="1414"/>
      <c r="DA43" s="1414">
        <v>0</v>
      </c>
      <c r="DB43" s="1414"/>
      <c r="DC43" s="1414"/>
      <c r="DD43" s="1414"/>
      <c r="DE43" s="1414">
        <v>0</v>
      </c>
      <c r="DF43" s="1414"/>
      <c r="DG43" s="1414"/>
      <c r="DH43" s="1414"/>
      <c r="DI43" s="1414">
        <v>0</v>
      </c>
      <c r="DJ43" s="1414"/>
      <c r="DK43" s="1414"/>
      <c r="DL43" s="1414"/>
      <c r="DM43" s="1414"/>
      <c r="DN43" s="1414">
        <v>0</v>
      </c>
      <c r="DO43" s="1414"/>
      <c r="DP43" s="1414">
        <v>0</v>
      </c>
      <c r="DQ43" s="1414"/>
      <c r="DR43" s="1414"/>
      <c r="DS43" s="1414"/>
      <c r="DT43" s="1414">
        <v>0</v>
      </c>
      <c r="DU43" s="1414"/>
      <c r="DV43" s="1414"/>
      <c r="DW43" s="1414"/>
      <c r="DX43" s="1414"/>
      <c r="DY43" s="1414">
        <v>4901616</v>
      </c>
      <c r="DZ43" s="1414"/>
      <c r="EA43" s="1414">
        <v>0</v>
      </c>
      <c r="EB43" s="1414">
        <v>0</v>
      </c>
      <c r="EC43" s="1414"/>
      <c r="ED43" s="1414">
        <v>4873697</v>
      </c>
      <c r="EE43" s="1414">
        <v>27919</v>
      </c>
      <c r="EF43" s="1414"/>
      <c r="EG43" s="1414"/>
      <c r="EH43" s="1414">
        <v>7985010.7400000012</v>
      </c>
      <c r="EI43" s="1414">
        <v>1948385.73</v>
      </c>
      <c r="EJ43" s="1414">
        <v>5229849.4800000004</v>
      </c>
      <c r="EK43" s="1414">
        <v>806775.53</v>
      </c>
      <c r="EL43" s="1414"/>
      <c r="EM43" s="1414">
        <v>17314094</v>
      </c>
      <c r="EN43" s="1414"/>
      <c r="EO43" s="1414"/>
      <c r="EP43" s="1414"/>
      <c r="EQ43" s="1414"/>
      <c r="ER43" s="1414"/>
      <c r="ES43" s="1414">
        <v>203310896.74000001</v>
      </c>
      <c r="ET43" s="1212"/>
    </row>
    <row r="44" spans="5:150" s="1366" customFormat="1" ht="14.4">
      <c r="E44" s="1367">
        <v>43040</v>
      </c>
      <c r="F44" s="1417"/>
      <c r="G44" s="1371">
        <v>6381</v>
      </c>
      <c r="H44" s="1417"/>
      <c r="I44" s="1417">
        <v>47678788</v>
      </c>
      <c r="J44" s="1417">
        <v>47678788</v>
      </c>
      <c r="K44" s="1417"/>
      <c r="L44" s="1417"/>
      <c r="M44" s="1417">
        <v>65331</v>
      </c>
      <c r="N44" s="1417">
        <v>65331</v>
      </c>
      <c r="O44" s="1417">
        <v>65331</v>
      </c>
      <c r="P44" s="1417"/>
      <c r="Q44" s="1417">
        <v>0</v>
      </c>
      <c r="R44" s="1417"/>
      <c r="S44" s="1417"/>
      <c r="T44" s="1417">
        <v>0</v>
      </c>
      <c r="U44" s="1417"/>
      <c r="V44" s="1417"/>
      <c r="W44" s="1417"/>
      <c r="X44" s="1417">
        <v>0</v>
      </c>
      <c r="Y44" s="1417">
        <v>0</v>
      </c>
      <c r="Z44" s="1417"/>
      <c r="AA44" s="1417"/>
      <c r="AB44" s="1417">
        <v>0</v>
      </c>
      <c r="AC44" s="1417"/>
      <c r="AD44" s="1417"/>
      <c r="AE44" s="1417"/>
      <c r="AF44" s="1417">
        <v>0</v>
      </c>
      <c r="AG44" s="1417"/>
      <c r="AH44" s="1417"/>
      <c r="AI44" s="1417"/>
      <c r="AJ44" s="1417"/>
      <c r="AK44" s="1417">
        <v>0</v>
      </c>
      <c r="AL44" s="1417"/>
      <c r="AM44" s="1417"/>
      <c r="AN44" s="1417"/>
      <c r="AO44" s="1417">
        <v>906448</v>
      </c>
      <c r="AP44" s="1417">
        <v>95805</v>
      </c>
      <c r="AQ44" s="1417">
        <v>810643</v>
      </c>
      <c r="AR44" s="1417">
        <v>810643</v>
      </c>
      <c r="AS44" s="1417"/>
      <c r="AT44" s="1417"/>
      <c r="AU44" s="1417"/>
      <c r="AV44" s="1417"/>
      <c r="AW44" s="1417"/>
      <c r="AX44" s="1417"/>
      <c r="AY44" s="1417">
        <v>57020058</v>
      </c>
      <c r="AZ44" s="1417">
        <v>0</v>
      </c>
      <c r="BA44" s="1417"/>
      <c r="BB44" s="1417"/>
      <c r="BC44" s="1417"/>
      <c r="BD44" s="1417">
        <v>57020058</v>
      </c>
      <c r="BE44" s="1417">
        <v>0</v>
      </c>
      <c r="BF44" s="1417"/>
      <c r="BG44" s="1417"/>
      <c r="BH44" s="1417"/>
      <c r="BI44" s="1417"/>
      <c r="BJ44" s="1417"/>
      <c r="BK44" s="1417"/>
      <c r="BL44" s="1417">
        <v>0</v>
      </c>
      <c r="BM44" s="1417">
        <v>0</v>
      </c>
      <c r="BN44" s="1417"/>
      <c r="BO44" s="1417"/>
      <c r="BP44" s="1417"/>
      <c r="BQ44" s="1417"/>
      <c r="BR44" s="1417"/>
      <c r="BS44" s="1417"/>
      <c r="BT44" s="1417">
        <v>0</v>
      </c>
      <c r="BU44" s="1417">
        <v>0</v>
      </c>
      <c r="BV44" s="1417"/>
      <c r="BW44" s="1417"/>
      <c r="BX44" s="1417"/>
      <c r="BY44" s="1417"/>
      <c r="BZ44" s="1417"/>
      <c r="CA44" s="1417"/>
      <c r="CB44" s="1417"/>
      <c r="CC44" s="1417">
        <v>100022</v>
      </c>
      <c r="CD44" s="1417">
        <v>0</v>
      </c>
      <c r="CE44" s="1417"/>
      <c r="CF44" s="1417">
        <v>0</v>
      </c>
      <c r="CG44" s="1417"/>
      <c r="CH44" s="1417"/>
      <c r="CI44" s="1417"/>
      <c r="CJ44" s="1417">
        <v>100022</v>
      </c>
      <c r="CK44" s="1417"/>
      <c r="CL44" s="1417">
        <v>100022</v>
      </c>
      <c r="CM44" s="1417"/>
      <c r="CN44" s="1417"/>
      <c r="CO44" s="1417"/>
      <c r="CP44" s="1417"/>
      <c r="CQ44" s="1417">
        <v>0</v>
      </c>
      <c r="CR44" s="1417"/>
      <c r="CS44" s="1417">
        <v>0</v>
      </c>
      <c r="CT44" s="1417"/>
      <c r="CU44" s="1417">
        <v>79867127</v>
      </c>
      <c r="CV44" s="1417">
        <v>79138533</v>
      </c>
      <c r="CW44" s="1417">
        <v>728594</v>
      </c>
      <c r="CX44" s="1417"/>
      <c r="CY44" s="1417">
        <v>0</v>
      </c>
      <c r="CZ44" s="1417"/>
      <c r="DA44" s="1417">
        <v>0</v>
      </c>
      <c r="DB44" s="1417"/>
      <c r="DC44" s="1417"/>
      <c r="DD44" s="1417"/>
      <c r="DE44" s="1417">
        <v>0</v>
      </c>
      <c r="DF44" s="1417"/>
      <c r="DG44" s="1417"/>
      <c r="DH44" s="1417"/>
      <c r="DI44" s="1417">
        <v>0</v>
      </c>
      <c r="DJ44" s="1417"/>
      <c r="DK44" s="1417"/>
      <c r="DL44" s="1417"/>
      <c r="DM44" s="1417"/>
      <c r="DN44" s="1417">
        <v>0</v>
      </c>
      <c r="DO44" s="1417"/>
      <c r="DP44" s="1417">
        <v>0</v>
      </c>
      <c r="DQ44" s="1417"/>
      <c r="DR44" s="1417"/>
      <c r="DS44" s="1417"/>
      <c r="DT44" s="1417">
        <v>0</v>
      </c>
      <c r="DU44" s="1417"/>
      <c r="DV44" s="1417"/>
      <c r="DW44" s="1417"/>
      <c r="DX44" s="1417"/>
      <c r="DY44" s="1417">
        <v>3255256</v>
      </c>
      <c r="DZ44" s="1417"/>
      <c r="EA44" s="1417">
        <v>0</v>
      </c>
      <c r="EB44" s="1417">
        <v>0</v>
      </c>
      <c r="EC44" s="1417"/>
      <c r="ED44" s="1417">
        <v>3226775</v>
      </c>
      <c r="EE44" s="1417">
        <v>28481</v>
      </c>
      <c r="EF44" s="1417"/>
      <c r="EG44" s="1417"/>
      <c r="EH44" s="1417">
        <v>8182096.1500000004</v>
      </c>
      <c r="EI44" s="1417">
        <v>1944991.88</v>
      </c>
      <c r="EJ44" s="1417">
        <v>5454127.21</v>
      </c>
      <c r="EK44" s="1417">
        <v>782977.06</v>
      </c>
      <c r="EL44" s="1417"/>
      <c r="EM44" s="1417">
        <v>16737714</v>
      </c>
      <c r="EN44" s="1417"/>
      <c r="EO44" s="1417"/>
      <c r="EP44" s="1417"/>
      <c r="EQ44" s="1417"/>
      <c r="ER44" s="1417"/>
      <c r="ES44" s="1417">
        <v>213819221.15000001</v>
      </c>
    </row>
    <row r="45" spans="5:150" s="1358" customFormat="1" ht="14.4">
      <c r="E45" s="1359">
        <v>43070</v>
      </c>
      <c r="F45" s="1409"/>
      <c r="G45" s="1360">
        <v>102147</v>
      </c>
      <c r="H45" s="1409"/>
      <c r="I45" s="1409">
        <v>46529837</v>
      </c>
      <c r="J45" s="1409">
        <v>46529837</v>
      </c>
      <c r="K45" s="1409"/>
      <c r="L45" s="1409"/>
      <c r="M45" s="1409">
        <v>103829</v>
      </c>
      <c r="N45" s="1409">
        <v>103829</v>
      </c>
      <c r="O45" s="1409">
        <v>103829</v>
      </c>
      <c r="P45" s="1409"/>
      <c r="Q45" s="1409">
        <v>0</v>
      </c>
      <c r="R45" s="1409"/>
      <c r="S45" s="1409"/>
      <c r="T45" s="1409">
        <v>0</v>
      </c>
      <c r="U45" s="1409"/>
      <c r="V45" s="1409"/>
      <c r="W45" s="1409"/>
      <c r="X45" s="1409">
        <v>0</v>
      </c>
      <c r="Y45" s="1409">
        <v>0</v>
      </c>
      <c r="Z45" s="1409"/>
      <c r="AA45" s="1409"/>
      <c r="AB45" s="1409">
        <v>0</v>
      </c>
      <c r="AC45" s="1409"/>
      <c r="AD45" s="1409"/>
      <c r="AE45" s="1409"/>
      <c r="AF45" s="1409">
        <v>0</v>
      </c>
      <c r="AG45" s="1409"/>
      <c r="AH45" s="1409"/>
      <c r="AI45" s="1409"/>
      <c r="AJ45" s="1409"/>
      <c r="AK45" s="1409">
        <v>0</v>
      </c>
      <c r="AL45" s="1409"/>
      <c r="AM45" s="1409"/>
      <c r="AN45" s="1409"/>
      <c r="AO45" s="1409">
        <v>1004275</v>
      </c>
      <c r="AP45" s="1409">
        <v>216498</v>
      </c>
      <c r="AQ45" s="1409">
        <v>787777</v>
      </c>
      <c r="AR45" s="1409">
        <v>787777</v>
      </c>
      <c r="AS45" s="1409">
        <v>0</v>
      </c>
      <c r="AT45" s="1409"/>
      <c r="AU45" s="1409"/>
      <c r="AV45" s="1409"/>
      <c r="AW45" s="1409"/>
      <c r="AX45" s="1409"/>
      <c r="AY45" s="1409">
        <v>66774008</v>
      </c>
      <c r="AZ45" s="1409">
        <v>0</v>
      </c>
      <c r="BA45" s="1409"/>
      <c r="BB45" s="1409"/>
      <c r="BC45" s="1409"/>
      <c r="BD45" s="1409">
        <v>66774008</v>
      </c>
      <c r="BE45" s="1409">
        <v>0</v>
      </c>
      <c r="BF45" s="1409"/>
      <c r="BG45" s="1409"/>
      <c r="BH45" s="1409"/>
      <c r="BI45" s="1409"/>
      <c r="BJ45" s="1409"/>
      <c r="BK45" s="1409"/>
      <c r="BL45" s="1409">
        <v>0</v>
      </c>
      <c r="BM45" s="1409">
        <v>0</v>
      </c>
      <c r="BN45" s="1409"/>
      <c r="BO45" s="1409"/>
      <c r="BP45" s="1409"/>
      <c r="BQ45" s="1409"/>
      <c r="BR45" s="1409"/>
      <c r="BS45" s="1409"/>
      <c r="BT45" s="1409">
        <v>0</v>
      </c>
      <c r="BU45" s="1409">
        <v>0</v>
      </c>
      <c r="BV45" s="1409"/>
      <c r="BW45" s="1409"/>
      <c r="BX45" s="1409"/>
      <c r="BY45" s="1409"/>
      <c r="BZ45" s="1409"/>
      <c r="CA45" s="1409"/>
      <c r="CB45" s="1409"/>
      <c r="CC45" s="1409">
        <v>96547</v>
      </c>
      <c r="CD45" s="1409">
        <v>0</v>
      </c>
      <c r="CE45" s="1409"/>
      <c r="CF45" s="1409">
        <v>0</v>
      </c>
      <c r="CG45" s="1409"/>
      <c r="CH45" s="1409"/>
      <c r="CI45" s="1409"/>
      <c r="CJ45" s="1409">
        <v>96547</v>
      </c>
      <c r="CK45" s="1409"/>
      <c r="CL45" s="1409">
        <v>96547</v>
      </c>
      <c r="CM45" s="1409"/>
      <c r="CN45" s="1409"/>
      <c r="CO45" s="1409"/>
      <c r="CP45" s="1409"/>
      <c r="CQ45" s="1409">
        <v>0</v>
      </c>
      <c r="CR45" s="1409"/>
      <c r="CS45" s="1409">
        <v>0</v>
      </c>
      <c r="CT45" s="1409"/>
      <c r="CU45" s="1409">
        <v>84078051</v>
      </c>
      <c r="CV45" s="1409">
        <v>83192993</v>
      </c>
      <c r="CW45" s="1409">
        <v>885058</v>
      </c>
      <c r="CX45" s="1409"/>
      <c r="CY45" s="1409">
        <v>0</v>
      </c>
      <c r="CZ45" s="1409"/>
      <c r="DA45" s="1409">
        <v>0</v>
      </c>
      <c r="DB45" s="1409"/>
      <c r="DC45" s="1409"/>
      <c r="DD45" s="1409"/>
      <c r="DE45" s="1409">
        <v>0</v>
      </c>
      <c r="DF45" s="1409"/>
      <c r="DG45" s="1409"/>
      <c r="DH45" s="1409"/>
      <c r="DI45" s="1409">
        <v>0</v>
      </c>
      <c r="DJ45" s="1409"/>
      <c r="DK45" s="1409"/>
      <c r="DL45" s="1409"/>
      <c r="DM45" s="1409"/>
      <c r="DN45" s="1409">
        <v>0</v>
      </c>
      <c r="DO45" s="1409"/>
      <c r="DP45" s="1409">
        <v>0</v>
      </c>
      <c r="DQ45" s="1409"/>
      <c r="DR45" s="1409"/>
      <c r="DS45" s="1409"/>
      <c r="DT45" s="1409">
        <v>0</v>
      </c>
      <c r="DU45" s="1409"/>
      <c r="DV45" s="1409"/>
      <c r="DW45" s="1409"/>
      <c r="DX45" s="1409"/>
      <c r="DY45" s="1409">
        <v>2663708</v>
      </c>
      <c r="DZ45" s="1409"/>
      <c r="EA45" s="1409">
        <v>0</v>
      </c>
      <c r="EB45" s="1409">
        <v>0</v>
      </c>
      <c r="EC45" s="1409"/>
      <c r="ED45" s="1409">
        <v>2635028</v>
      </c>
      <c r="EE45" s="1409">
        <v>28680</v>
      </c>
      <c r="EF45" s="1409"/>
      <c r="EG45" s="1409"/>
      <c r="EH45" s="1409">
        <v>8058726.5700000003</v>
      </c>
      <c r="EI45" s="1409">
        <v>1941598.04</v>
      </c>
      <c r="EJ45" s="1409">
        <v>5356474.88</v>
      </c>
      <c r="EK45" s="1409">
        <v>760653.65</v>
      </c>
      <c r="EL45" s="1409"/>
      <c r="EM45" s="1409">
        <v>17295891</v>
      </c>
      <c r="EN45" s="1409"/>
      <c r="EO45" s="1409"/>
      <c r="EP45" s="1409"/>
      <c r="EQ45" s="1409"/>
      <c r="ER45" s="1409"/>
      <c r="ES45" s="1409">
        <v>226707019.56999999</v>
      </c>
      <c r="ET45" s="1360"/>
    </row>
    <row r="46" spans="5:150" s="1366" customFormat="1" ht="14.4">
      <c r="F46" s="1417"/>
      <c r="G46" s="1371"/>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DA46" s="1417"/>
      <c r="DB46" s="1417"/>
      <c r="DC46" s="1417"/>
      <c r="DD46" s="1417"/>
      <c r="DE46" s="1417"/>
      <c r="DF46" s="1417"/>
      <c r="DG46" s="1417"/>
      <c r="DH46" s="1417"/>
      <c r="DI46" s="1417"/>
      <c r="DJ46" s="1417"/>
      <c r="DK46" s="1417"/>
      <c r="DL46" s="1417"/>
      <c r="DM46" s="1417"/>
      <c r="DN46" s="1417"/>
      <c r="DO46" s="1417"/>
      <c r="DP46" s="1417"/>
      <c r="DQ46" s="1417"/>
      <c r="DR46" s="1417"/>
      <c r="DS46" s="1417"/>
      <c r="DT46" s="1417"/>
      <c r="DU46" s="1417"/>
      <c r="DV46" s="1417"/>
      <c r="DW46" s="1417"/>
      <c r="DX46" s="1417"/>
      <c r="DY46" s="1417"/>
      <c r="DZ46" s="1417"/>
      <c r="EA46" s="1417"/>
      <c r="EB46" s="1417"/>
      <c r="EC46" s="1417"/>
      <c r="ED46" s="1417"/>
      <c r="EE46" s="1417"/>
      <c r="EF46" s="1417"/>
      <c r="EG46" s="1417"/>
      <c r="EH46" s="1417"/>
      <c r="EI46" s="1417"/>
      <c r="EJ46" s="1417"/>
      <c r="EK46" s="1417"/>
      <c r="EL46" s="1417"/>
      <c r="EM46" s="1417"/>
      <c r="EN46" s="1417"/>
      <c r="EO46" s="1417"/>
      <c r="EP46" s="1417"/>
      <c r="EQ46" s="1417"/>
      <c r="ER46" s="1417"/>
      <c r="ES46" s="1409"/>
    </row>
    <row r="47" spans="5:150" s="1366" customFormat="1" ht="14.4">
      <c r="F47" s="1417"/>
      <c r="G47" s="1371"/>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c r="DA47" s="1417"/>
      <c r="DB47" s="1417"/>
      <c r="DC47" s="1417"/>
      <c r="DD47" s="1417"/>
      <c r="DE47" s="1417"/>
      <c r="DF47" s="1417"/>
      <c r="DG47" s="1417"/>
      <c r="DH47" s="1417"/>
      <c r="DI47" s="1417"/>
      <c r="DJ47" s="1417"/>
      <c r="DK47" s="1417"/>
      <c r="DL47" s="1417"/>
      <c r="DM47" s="1417"/>
      <c r="DN47" s="1417"/>
      <c r="DO47" s="1417"/>
      <c r="DP47" s="1417"/>
      <c r="DQ47" s="1417"/>
      <c r="DR47" s="1417"/>
      <c r="DS47" s="1417"/>
      <c r="DT47" s="1417"/>
      <c r="DU47" s="1417"/>
      <c r="DV47" s="1417"/>
      <c r="DW47" s="1417"/>
      <c r="DX47" s="1417"/>
      <c r="DY47" s="1417"/>
      <c r="DZ47" s="1417"/>
      <c r="EA47" s="1417"/>
      <c r="EB47" s="1417"/>
      <c r="EC47" s="1417"/>
      <c r="ED47" s="1417"/>
      <c r="EE47" s="1417"/>
      <c r="EF47" s="1417"/>
      <c r="EG47" s="1417"/>
      <c r="EH47" s="1417"/>
      <c r="EI47" s="1417"/>
      <c r="EJ47" s="1417"/>
      <c r="EK47" s="1417"/>
      <c r="EL47" s="1417"/>
      <c r="EM47" s="1417"/>
      <c r="EN47" s="1417"/>
      <c r="EO47" s="1417"/>
      <c r="EP47" s="1417"/>
      <c r="EQ47" s="1417"/>
      <c r="ER47" s="1417"/>
      <c r="ES47" s="1409"/>
    </row>
    <row r="48" spans="5:150" s="1366" customFormat="1" ht="14.4">
      <c r="E48" s="1359">
        <v>43101</v>
      </c>
      <c r="F48" s="1417"/>
      <c r="G48" s="1371">
        <v>119885</v>
      </c>
      <c r="H48" s="1417"/>
      <c r="I48" s="1417">
        <v>36071859</v>
      </c>
      <c r="J48" s="1417">
        <v>36071859</v>
      </c>
      <c r="K48" s="1417"/>
      <c r="L48" s="1417"/>
      <c r="M48" s="1417">
        <v>159564</v>
      </c>
      <c r="N48" s="1417">
        <v>159564</v>
      </c>
      <c r="O48" s="1417">
        <v>159564</v>
      </c>
      <c r="P48" s="1417"/>
      <c r="Q48" s="1417">
        <v>0</v>
      </c>
      <c r="R48" s="1417"/>
      <c r="S48" s="1417"/>
      <c r="T48" s="1417">
        <v>0</v>
      </c>
      <c r="U48" s="1417"/>
      <c r="V48" s="1417"/>
      <c r="W48" s="1417"/>
      <c r="X48" s="1417">
        <v>0</v>
      </c>
      <c r="Y48" s="1417">
        <v>0</v>
      </c>
      <c r="Z48" s="1417"/>
      <c r="AA48" s="1417"/>
      <c r="AB48" s="1417">
        <v>0</v>
      </c>
      <c r="AC48" s="1417"/>
      <c r="AD48" s="1417"/>
      <c r="AE48" s="1417"/>
      <c r="AF48" s="1417">
        <v>0</v>
      </c>
      <c r="AG48" s="1417"/>
      <c r="AH48" s="1417"/>
      <c r="AI48" s="1417"/>
      <c r="AJ48" s="1417"/>
      <c r="AK48" s="1417">
        <v>0</v>
      </c>
      <c r="AL48" s="1417"/>
      <c r="AM48" s="1417"/>
      <c r="AN48" s="1417"/>
      <c r="AO48" s="1417">
        <v>1203612</v>
      </c>
      <c r="AP48" s="1417">
        <v>537674</v>
      </c>
      <c r="AQ48" s="1417">
        <v>665938</v>
      </c>
      <c r="AR48" s="1417">
        <v>665938</v>
      </c>
      <c r="AS48" s="1417">
        <v>0</v>
      </c>
      <c r="AT48" s="1417"/>
      <c r="AU48" s="1417"/>
      <c r="AV48" s="1417"/>
      <c r="AW48" s="1417"/>
      <c r="AX48" s="1417"/>
      <c r="AY48" s="1417">
        <v>57549595</v>
      </c>
      <c r="AZ48" s="1417">
        <v>0</v>
      </c>
      <c r="BA48" s="1417"/>
      <c r="BB48" s="1417"/>
      <c r="BC48" s="1417"/>
      <c r="BD48" s="1417">
        <v>57549595</v>
      </c>
      <c r="BE48" s="1417">
        <v>0</v>
      </c>
      <c r="BF48" s="1417"/>
      <c r="BG48" s="1417"/>
      <c r="BH48" s="1417"/>
      <c r="BI48" s="1417"/>
      <c r="BJ48" s="1417"/>
      <c r="BK48" s="1417"/>
      <c r="BL48" s="1417">
        <v>0</v>
      </c>
      <c r="BM48" s="1417">
        <v>0</v>
      </c>
      <c r="BN48" s="1417"/>
      <c r="BO48" s="1417"/>
      <c r="BP48" s="1417"/>
      <c r="BQ48" s="1417"/>
      <c r="BR48" s="1417"/>
      <c r="BS48" s="1417"/>
      <c r="BT48" s="1417">
        <v>0</v>
      </c>
      <c r="BU48" s="1417">
        <v>0</v>
      </c>
      <c r="BV48" s="1417"/>
      <c r="BW48" s="1417"/>
      <c r="BX48" s="1417"/>
      <c r="BY48" s="1417"/>
      <c r="BZ48" s="1417"/>
      <c r="CA48" s="1417"/>
      <c r="CB48" s="1417"/>
      <c r="CC48" s="1417">
        <v>93032</v>
      </c>
      <c r="CD48" s="1417">
        <v>0</v>
      </c>
      <c r="CE48" s="1417"/>
      <c r="CF48" s="1417">
        <v>0</v>
      </c>
      <c r="CG48" s="1417"/>
      <c r="CH48" s="1417"/>
      <c r="CI48" s="1417"/>
      <c r="CJ48" s="1417">
        <v>93032</v>
      </c>
      <c r="CK48" s="1417"/>
      <c r="CL48" s="1417">
        <v>93032</v>
      </c>
      <c r="CM48" s="1417"/>
      <c r="CN48" s="1417"/>
      <c r="CO48" s="1417"/>
      <c r="CP48" s="1417"/>
      <c r="CQ48" s="1417">
        <v>0</v>
      </c>
      <c r="CR48" s="1417"/>
      <c r="CS48" s="1417">
        <v>0</v>
      </c>
      <c r="CT48" s="1417"/>
      <c r="CU48" s="1417">
        <v>85046500</v>
      </c>
      <c r="CV48" s="1417">
        <v>84118118</v>
      </c>
      <c r="CW48" s="1417">
        <v>928382</v>
      </c>
      <c r="CX48" s="1417"/>
      <c r="CY48" s="1417">
        <v>0</v>
      </c>
      <c r="CZ48" s="1417"/>
      <c r="DA48" s="1417">
        <v>0</v>
      </c>
      <c r="DB48" s="1417"/>
      <c r="DC48" s="1417"/>
      <c r="DD48" s="1417"/>
      <c r="DE48" s="1417">
        <v>0</v>
      </c>
      <c r="DF48" s="1417"/>
      <c r="DG48" s="1417"/>
      <c r="DH48" s="1417"/>
      <c r="DI48" s="1417">
        <v>0</v>
      </c>
      <c r="DJ48" s="1417"/>
      <c r="DK48" s="1417"/>
      <c r="DL48" s="1417"/>
      <c r="DM48" s="1417"/>
      <c r="DN48" s="1417">
        <v>0</v>
      </c>
      <c r="DO48" s="1417"/>
      <c r="DP48" s="1417">
        <v>0</v>
      </c>
      <c r="DQ48" s="1417"/>
      <c r="DR48" s="1417"/>
      <c r="DS48" s="1417"/>
      <c r="DT48" s="1417">
        <v>0</v>
      </c>
      <c r="DU48" s="1417"/>
      <c r="DV48" s="1417"/>
      <c r="DW48" s="1417"/>
      <c r="DX48" s="1417"/>
      <c r="DY48" s="1417">
        <v>2133606</v>
      </c>
      <c r="DZ48" s="1417"/>
      <c r="EA48" s="1417">
        <v>0</v>
      </c>
      <c r="EB48" s="1417">
        <v>0</v>
      </c>
      <c r="EC48" s="1417"/>
      <c r="ED48" s="1417">
        <v>2103781</v>
      </c>
      <c r="EE48" s="1417">
        <v>29825</v>
      </c>
      <c r="EF48" s="1417"/>
      <c r="EG48" s="1417"/>
      <c r="EH48" s="1417">
        <v>7943610.6099999994</v>
      </c>
      <c r="EI48" s="1417">
        <v>1938204.3</v>
      </c>
      <c r="EJ48" s="1417">
        <v>5266096.55</v>
      </c>
      <c r="EK48" s="1417">
        <v>739309.76</v>
      </c>
      <c r="EL48" s="1417"/>
      <c r="EM48" s="1417">
        <v>15052331</v>
      </c>
      <c r="EN48" s="1417"/>
      <c r="EO48" s="1417"/>
      <c r="EP48" s="1417"/>
      <c r="EQ48" s="1417"/>
      <c r="ER48" s="1417"/>
      <c r="ES48" s="1409">
        <v>205373594.61000001</v>
      </c>
    </row>
    <row r="49" spans="5:150" s="1366" customFormat="1" ht="14.4">
      <c r="E49" s="1359">
        <v>43132</v>
      </c>
      <c r="F49" s="1417"/>
      <c r="G49" s="1371">
        <v>105263</v>
      </c>
      <c r="H49" s="1417"/>
      <c r="I49" s="1417">
        <v>47099878</v>
      </c>
      <c r="J49" s="1417">
        <v>47099878</v>
      </c>
      <c r="K49" s="1417"/>
      <c r="L49" s="1417"/>
      <c r="M49" s="1417">
        <v>203571</v>
      </c>
      <c r="N49" s="1417">
        <v>203571</v>
      </c>
      <c r="O49" s="1417">
        <v>203571</v>
      </c>
      <c r="P49" s="1417"/>
      <c r="Q49" s="1417">
        <v>0</v>
      </c>
      <c r="R49" s="1417"/>
      <c r="S49" s="1417"/>
      <c r="T49" s="1417">
        <v>0</v>
      </c>
      <c r="U49" s="1417"/>
      <c r="V49" s="1417"/>
      <c r="W49" s="1417"/>
      <c r="X49" s="1417">
        <v>0</v>
      </c>
      <c r="Y49" s="1417">
        <v>0</v>
      </c>
      <c r="Z49" s="1417"/>
      <c r="AA49" s="1417"/>
      <c r="AB49" s="1417">
        <v>0</v>
      </c>
      <c r="AC49" s="1417"/>
      <c r="AD49" s="1417"/>
      <c r="AE49" s="1417"/>
      <c r="AF49" s="1417">
        <v>0</v>
      </c>
      <c r="AG49" s="1417"/>
      <c r="AH49" s="1417"/>
      <c r="AI49" s="1417"/>
      <c r="AJ49" s="1417"/>
      <c r="AK49" s="1417">
        <v>0</v>
      </c>
      <c r="AL49" s="1417"/>
      <c r="AM49" s="1417"/>
      <c r="AN49" s="1417"/>
      <c r="AO49" s="1417">
        <v>1538712</v>
      </c>
      <c r="AP49" s="1417">
        <v>1043180</v>
      </c>
      <c r="AQ49" s="1417">
        <v>495532</v>
      </c>
      <c r="AR49" s="1417">
        <v>495532</v>
      </c>
      <c r="AS49" s="1417">
        <v>0</v>
      </c>
      <c r="AT49" s="1417"/>
      <c r="AU49" s="1417"/>
      <c r="AV49" s="1417"/>
      <c r="AW49" s="1417"/>
      <c r="AX49" s="1417"/>
      <c r="AY49" s="1417">
        <v>57549595</v>
      </c>
      <c r="AZ49" s="1417">
        <v>0</v>
      </c>
      <c r="BA49" s="1417"/>
      <c r="BB49" s="1417"/>
      <c r="BC49" s="1417"/>
      <c r="BD49" s="1417">
        <v>57549595</v>
      </c>
      <c r="BE49" s="1417">
        <v>0</v>
      </c>
      <c r="BF49" s="1417"/>
      <c r="BG49" s="1417"/>
      <c r="BH49" s="1417"/>
      <c r="BI49" s="1417"/>
      <c r="BJ49" s="1417"/>
      <c r="BK49" s="1417"/>
      <c r="BL49" s="1417">
        <v>0</v>
      </c>
      <c r="BM49" s="1417">
        <v>0</v>
      </c>
      <c r="BN49" s="1417"/>
      <c r="BO49" s="1417"/>
      <c r="BP49" s="1417"/>
      <c r="BQ49" s="1417"/>
      <c r="BR49" s="1417"/>
      <c r="BS49" s="1417"/>
      <c r="BT49" s="1417">
        <v>0</v>
      </c>
      <c r="BU49" s="1417">
        <v>0</v>
      </c>
      <c r="BV49" s="1417"/>
      <c r="BW49" s="1417"/>
      <c r="BX49" s="1417"/>
      <c r="BY49" s="1417"/>
      <c r="BZ49" s="1417"/>
      <c r="CA49" s="1417"/>
      <c r="CB49" s="1417"/>
      <c r="CC49" s="1417">
        <v>88393</v>
      </c>
      <c r="CD49" s="1417">
        <v>0</v>
      </c>
      <c r="CE49" s="1417"/>
      <c r="CF49" s="1417">
        <v>0</v>
      </c>
      <c r="CG49" s="1417"/>
      <c r="CH49" s="1417"/>
      <c r="CI49" s="1417"/>
      <c r="CJ49" s="1417">
        <v>88393</v>
      </c>
      <c r="CK49" s="1417"/>
      <c r="CL49" s="1417">
        <v>88393</v>
      </c>
      <c r="CM49" s="1417"/>
      <c r="CN49" s="1417"/>
      <c r="CO49" s="1417"/>
      <c r="CP49" s="1417"/>
      <c r="CQ49" s="1417">
        <v>0</v>
      </c>
      <c r="CR49" s="1417"/>
      <c r="CS49" s="1417">
        <v>0</v>
      </c>
      <c r="CT49" s="1417"/>
      <c r="CU49" s="1417">
        <v>87121847</v>
      </c>
      <c r="CV49" s="1417">
        <v>86125485</v>
      </c>
      <c r="CW49" s="1417">
        <v>996362</v>
      </c>
      <c r="CX49" s="1417"/>
      <c r="CY49" s="1417">
        <v>0</v>
      </c>
      <c r="CZ49" s="1417"/>
      <c r="DA49" s="1417">
        <v>0</v>
      </c>
      <c r="DB49" s="1417"/>
      <c r="DC49" s="1417"/>
      <c r="DD49" s="1417"/>
      <c r="DE49" s="1417">
        <v>0</v>
      </c>
      <c r="DF49" s="1417"/>
      <c r="DG49" s="1417"/>
      <c r="DH49" s="1417"/>
      <c r="DI49" s="1417">
        <v>0</v>
      </c>
      <c r="DJ49" s="1417"/>
      <c r="DK49" s="1417"/>
      <c r="DL49" s="1417"/>
      <c r="DM49" s="1417"/>
      <c r="DN49" s="1417">
        <v>0</v>
      </c>
      <c r="DO49" s="1417"/>
      <c r="DP49" s="1417">
        <v>0</v>
      </c>
      <c r="DQ49" s="1417"/>
      <c r="DR49" s="1417"/>
      <c r="DS49" s="1417"/>
      <c r="DT49" s="1417">
        <v>0</v>
      </c>
      <c r="DU49" s="1417"/>
      <c r="DV49" s="1417"/>
      <c r="DW49" s="1417"/>
      <c r="DX49" s="1417"/>
      <c r="DY49" s="1417">
        <v>2145963</v>
      </c>
      <c r="DZ49" s="1417"/>
      <c r="EA49" s="1417">
        <v>0</v>
      </c>
      <c r="EB49" s="1417">
        <v>0</v>
      </c>
      <c r="EC49" s="1417"/>
      <c r="ED49" s="1417">
        <v>2116618</v>
      </c>
      <c r="EE49" s="1417">
        <v>29345</v>
      </c>
      <c r="EF49" s="1417"/>
      <c r="EG49" s="1417"/>
      <c r="EH49" s="1417">
        <v>7952706.9199999999</v>
      </c>
      <c r="EI49" s="1417">
        <v>1934810.45</v>
      </c>
      <c r="EJ49" s="1417">
        <v>5299930.5999999996</v>
      </c>
      <c r="EK49" s="1417">
        <v>717965.87</v>
      </c>
      <c r="EL49" s="1417"/>
      <c r="EM49" s="1417">
        <v>14339425</v>
      </c>
      <c r="EN49" s="1417"/>
      <c r="EO49" s="1417"/>
      <c r="EP49" s="1417"/>
      <c r="EQ49" s="1417"/>
      <c r="ER49" s="1417"/>
      <c r="ES49" s="1409">
        <v>218145353.91999999</v>
      </c>
    </row>
    <row r="50" spans="5:150" s="1366" customFormat="1" ht="14.4">
      <c r="E50" s="1359">
        <v>43160</v>
      </c>
      <c r="F50" s="1417"/>
      <c r="G50" s="1371">
        <v>413365</v>
      </c>
      <c r="H50" s="1417"/>
      <c r="I50" s="1417">
        <v>42479964</v>
      </c>
      <c r="J50" s="1417">
        <v>42479964</v>
      </c>
      <c r="K50" s="1417"/>
      <c r="L50" s="1417"/>
      <c r="M50" s="1417">
        <v>58583</v>
      </c>
      <c r="N50" s="1417">
        <v>58583</v>
      </c>
      <c r="O50" s="1417">
        <v>58583</v>
      </c>
      <c r="P50" s="1417"/>
      <c r="Q50" s="1417">
        <v>0</v>
      </c>
      <c r="R50" s="1417"/>
      <c r="S50" s="1417"/>
      <c r="T50" s="1417">
        <v>0</v>
      </c>
      <c r="U50" s="1417"/>
      <c r="V50" s="1417"/>
      <c r="W50" s="1417"/>
      <c r="X50" s="1417">
        <v>0</v>
      </c>
      <c r="Y50" s="1417">
        <v>0</v>
      </c>
      <c r="Z50" s="1417"/>
      <c r="AA50" s="1417"/>
      <c r="AB50" s="1417">
        <v>0</v>
      </c>
      <c r="AC50" s="1417"/>
      <c r="AD50" s="1417"/>
      <c r="AE50" s="1417"/>
      <c r="AF50" s="1417">
        <v>0</v>
      </c>
      <c r="AG50" s="1417"/>
      <c r="AH50" s="1417"/>
      <c r="AI50" s="1417"/>
      <c r="AJ50" s="1417"/>
      <c r="AK50" s="1417">
        <v>0</v>
      </c>
      <c r="AL50" s="1417"/>
      <c r="AM50" s="1417"/>
      <c r="AN50" s="1417"/>
      <c r="AO50" s="1417">
        <v>1466575</v>
      </c>
      <c r="AP50" s="1417">
        <v>844717</v>
      </c>
      <c r="AQ50" s="1417">
        <v>621858</v>
      </c>
      <c r="AR50" s="1417">
        <v>621858</v>
      </c>
      <c r="AS50" s="1417">
        <v>0</v>
      </c>
      <c r="AT50" s="1417"/>
      <c r="AU50" s="1417"/>
      <c r="AV50" s="1417"/>
      <c r="AW50" s="1417"/>
      <c r="AX50" s="1417"/>
      <c r="AY50" s="1417">
        <v>53053697</v>
      </c>
      <c r="AZ50" s="1417">
        <v>0</v>
      </c>
      <c r="BA50" s="1417"/>
      <c r="BB50" s="1417"/>
      <c r="BC50" s="1417"/>
      <c r="BD50" s="1417">
        <v>53053697</v>
      </c>
      <c r="BE50" s="1417">
        <v>0</v>
      </c>
      <c r="BF50" s="1417"/>
      <c r="BG50" s="1417"/>
      <c r="BH50" s="1417"/>
      <c r="BI50" s="1417"/>
      <c r="BJ50" s="1417"/>
      <c r="BK50" s="1417"/>
      <c r="BL50" s="1417">
        <v>0</v>
      </c>
      <c r="BM50" s="1417">
        <v>0</v>
      </c>
      <c r="BN50" s="1417"/>
      <c r="BO50" s="1417"/>
      <c r="BP50" s="1417"/>
      <c r="BQ50" s="1417"/>
      <c r="BR50" s="1417"/>
      <c r="BS50" s="1417"/>
      <c r="BT50" s="1417">
        <v>0</v>
      </c>
      <c r="BU50" s="1417">
        <v>0</v>
      </c>
      <c r="BV50" s="1417"/>
      <c r="BW50" s="1417"/>
      <c r="BX50" s="1417"/>
      <c r="BY50" s="1417"/>
      <c r="BZ50" s="1417"/>
      <c r="CA50" s="1417"/>
      <c r="CB50" s="1417"/>
      <c r="CC50" s="1417">
        <v>79466</v>
      </c>
      <c r="CD50" s="1417">
        <v>0</v>
      </c>
      <c r="CE50" s="1417"/>
      <c r="CF50" s="1417">
        <v>0</v>
      </c>
      <c r="CG50" s="1417"/>
      <c r="CH50" s="1417"/>
      <c r="CI50" s="1417"/>
      <c r="CJ50" s="1417">
        <v>79466</v>
      </c>
      <c r="CK50" s="1417"/>
      <c r="CL50" s="1417">
        <v>79466</v>
      </c>
      <c r="CM50" s="1417"/>
      <c r="CN50" s="1417"/>
      <c r="CO50" s="1417"/>
      <c r="CP50" s="1417"/>
      <c r="CQ50" s="1417">
        <v>5925000</v>
      </c>
      <c r="CR50" s="1417"/>
      <c r="CS50" s="1417">
        <v>5925000</v>
      </c>
      <c r="CT50" s="1417"/>
      <c r="CU50" s="1417">
        <v>89855403</v>
      </c>
      <c r="CV50" s="1417">
        <v>88626122</v>
      </c>
      <c r="CW50" s="1417">
        <v>1229281</v>
      </c>
      <c r="CX50" s="1417"/>
      <c r="CY50" s="1417">
        <v>0</v>
      </c>
      <c r="CZ50" s="1417"/>
      <c r="DA50" s="1417">
        <v>0</v>
      </c>
      <c r="DB50" s="1417"/>
      <c r="DC50" s="1417"/>
      <c r="DD50" s="1417"/>
      <c r="DE50" s="1417">
        <v>0</v>
      </c>
      <c r="DF50" s="1417"/>
      <c r="DG50" s="1417"/>
      <c r="DH50" s="1417"/>
      <c r="DI50" s="1417">
        <v>0</v>
      </c>
      <c r="DJ50" s="1417"/>
      <c r="DK50" s="1417"/>
      <c r="DL50" s="1417"/>
      <c r="DM50" s="1417"/>
      <c r="DN50" s="1417">
        <v>0</v>
      </c>
      <c r="DO50" s="1417"/>
      <c r="DP50" s="1417">
        <v>0</v>
      </c>
      <c r="DQ50" s="1417"/>
      <c r="DR50" s="1417"/>
      <c r="DS50" s="1417"/>
      <c r="DT50" s="1417">
        <v>0</v>
      </c>
      <c r="DU50" s="1417"/>
      <c r="DV50" s="1417"/>
      <c r="DW50" s="1417"/>
      <c r="DX50" s="1417"/>
      <c r="DY50" s="1417">
        <v>2153833</v>
      </c>
      <c r="DZ50" s="1417"/>
      <c r="EA50" s="1417">
        <v>0</v>
      </c>
      <c r="EB50" s="1417">
        <v>0</v>
      </c>
      <c r="EC50" s="1417"/>
      <c r="ED50" s="1417">
        <v>2124238</v>
      </c>
      <c r="EE50" s="1417">
        <v>29595</v>
      </c>
      <c r="EF50" s="1417"/>
      <c r="EG50" s="1417"/>
      <c r="EH50" s="1417">
        <v>7843188.4799999995</v>
      </c>
      <c r="EI50" s="1417">
        <v>1931416.61</v>
      </c>
      <c r="EJ50" s="1417">
        <v>5214425.3599999994</v>
      </c>
      <c r="EK50" s="1417">
        <v>697346.51</v>
      </c>
      <c r="EL50" s="1417"/>
      <c r="EM50" s="1417">
        <v>15041871</v>
      </c>
      <c r="EN50" s="1417"/>
      <c r="EO50" s="1417"/>
      <c r="EP50" s="1417"/>
      <c r="EQ50" s="1417"/>
      <c r="ER50" s="1417"/>
      <c r="ES50" s="1409">
        <v>218370945.47999999</v>
      </c>
    </row>
    <row r="51" spans="5:150" s="1366" customFormat="1" ht="14.4">
      <c r="E51" s="1359">
        <v>43191</v>
      </c>
      <c r="F51" s="1417"/>
      <c r="G51" s="1371">
        <v>210523</v>
      </c>
      <c r="H51" s="1417"/>
      <c r="I51" s="1417">
        <v>29268366</v>
      </c>
      <c r="J51" s="1417">
        <v>29268366</v>
      </c>
      <c r="K51" s="1417"/>
      <c r="L51" s="1417"/>
      <c r="M51" s="1417">
        <v>113559</v>
      </c>
      <c r="N51" s="1417">
        <v>113559</v>
      </c>
      <c r="O51" s="1417">
        <v>113559</v>
      </c>
      <c r="P51" s="1417"/>
      <c r="Q51" s="1417">
        <v>0</v>
      </c>
      <c r="R51" s="1417"/>
      <c r="S51" s="1417"/>
      <c r="T51" s="1417">
        <v>0</v>
      </c>
      <c r="U51" s="1417"/>
      <c r="V51" s="1417"/>
      <c r="W51" s="1417"/>
      <c r="X51" s="1417">
        <v>0</v>
      </c>
      <c r="Y51" s="1417">
        <v>0</v>
      </c>
      <c r="Z51" s="1417"/>
      <c r="AA51" s="1417"/>
      <c r="AB51" s="1417">
        <v>0</v>
      </c>
      <c r="AC51" s="1417"/>
      <c r="AD51" s="1417"/>
      <c r="AE51" s="1417"/>
      <c r="AF51" s="1417">
        <v>0</v>
      </c>
      <c r="AG51" s="1417"/>
      <c r="AH51" s="1417"/>
      <c r="AI51" s="1417"/>
      <c r="AJ51" s="1417"/>
      <c r="AK51" s="1417">
        <v>0</v>
      </c>
      <c r="AL51" s="1417"/>
      <c r="AM51" s="1417"/>
      <c r="AN51" s="1417"/>
      <c r="AO51" s="1417">
        <v>1291101</v>
      </c>
      <c r="AP51" s="1417">
        <v>894835</v>
      </c>
      <c r="AQ51" s="1417">
        <v>396266</v>
      </c>
      <c r="AR51" s="1417">
        <v>396266</v>
      </c>
      <c r="AS51" s="1417">
        <v>0</v>
      </c>
      <c r="AT51" s="1417"/>
      <c r="AU51" s="1417"/>
      <c r="AV51" s="1417"/>
      <c r="AW51" s="1417"/>
      <c r="AX51" s="1417"/>
      <c r="AY51" s="1417">
        <v>54396477</v>
      </c>
      <c r="AZ51" s="1417">
        <v>0</v>
      </c>
      <c r="BA51" s="1417"/>
      <c r="BB51" s="1417"/>
      <c r="BC51" s="1417"/>
      <c r="BD51" s="1417">
        <v>54396477</v>
      </c>
      <c r="BE51" s="1417">
        <v>0</v>
      </c>
      <c r="BF51" s="1417"/>
      <c r="BG51" s="1417"/>
      <c r="BH51" s="1417"/>
      <c r="BI51" s="1417"/>
      <c r="BJ51" s="1417"/>
      <c r="BK51" s="1417"/>
      <c r="BL51" s="1417">
        <v>0</v>
      </c>
      <c r="BM51" s="1417">
        <v>0</v>
      </c>
      <c r="BN51" s="1417"/>
      <c r="BO51" s="1417"/>
      <c r="BP51" s="1417"/>
      <c r="BQ51" s="1417"/>
      <c r="BR51" s="1417"/>
      <c r="BS51" s="1417"/>
      <c r="BT51" s="1417">
        <v>0</v>
      </c>
      <c r="BU51" s="1417">
        <v>0</v>
      </c>
      <c r="BV51" s="1417"/>
      <c r="BW51" s="1417"/>
      <c r="BX51" s="1417"/>
      <c r="BY51" s="1417"/>
      <c r="BZ51" s="1417"/>
      <c r="CA51" s="1417"/>
      <c r="CB51" s="1417"/>
      <c r="CC51" s="1417">
        <v>80247</v>
      </c>
      <c r="CD51" s="1417">
        <v>0</v>
      </c>
      <c r="CE51" s="1417"/>
      <c r="CF51" s="1417">
        <v>0</v>
      </c>
      <c r="CG51" s="1417"/>
      <c r="CH51" s="1417"/>
      <c r="CI51" s="1417"/>
      <c r="CJ51" s="1417">
        <v>80247</v>
      </c>
      <c r="CK51" s="1417"/>
      <c r="CL51" s="1417">
        <v>80247</v>
      </c>
      <c r="CM51" s="1417"/>
      <c r="CN51" s="1417"/>
      <c r="CO51" s="1417"/>
      <c r="CP51" s="1417"/>
      <c r="CQ51" s="1417">
        <v>8925000</v>
      </c>
      <c r="CR51" s="1417"/>
      <c r="CS51" s="1417">
        <v>8925000</v>
      </c>
      <c r="CT51" s="1417"/>
      <c r="CU51" s="1417">
        <v>93162858</v>
      </c>
      <c r="CV51" s="1417">
        <v>92019626</v>
      </c>
      <c r="CW51" s="1417">
        <v>1143232</v>
      </c>
      <c r="CX51" s="1417"/>
      <c r="CY51" s="1417">
        <v>0</v>
      </c>
      <c r="CZ51" s="1417"/>
      <c r="DA51" s="1417">
        <v>0</v>
      </c>
      <c r="DB51" s="1417"/>
      <c r="DC51" s="1417"/>
      <c r="DD51" s="1417"/>
      <c r="DE51" s="1417">
        <v>0</v>
      </c>
      <c r="DF51" s="1417"/>
      <c r="DG51" s="1417"/>
      <c r="DH51" s="1417"/>
      <c r="DI51" s="1417">
        <v>0</v>
      </c>
      <c r="DJ51" s="1417"/>
      <c r="DK51" s="1417"/>
      <c r="DL51" s="1417"/>
      <c r="DM51" s="1417"/>
      <c r="DN51" s="1417">
        <v>0</v>
      </c>
      <c r="DO51" s="1417"/>
      <c r="DP51" s="1417">
        <v>0</v>
      </c>
      <c r="DQ51" s="1417"/>
      <c r="DR51" s="1417"/>
      <c r="DS51" s="1417"/>
      <c r="DT51" s="1417">
        <v>0</v>
      </c>
      <c r="DU51" s="1417"/>
      <c r="DV51" s="1417"/>
      <c r="DW51" s="1417"/>
      <c r="DX51" s="1417"/>
      <c r="DY51" s="1417">
        <v>2667951</v>
      </c>
      <c r="DZ51" s="1417"/>
      <c r="EA51" s="1417">
        <v>0</v>
      </c>
      <c r="EB51" s="1417">
        <v>0</v>
      </c>
      <c r="EC51" s="1417"/>
      <c r="ED51" s="1417">
        <v>2638829</v>
      </c>
      <c r="EE51" s="1417">
        <v>29122</v>
      </c>
      <c r="EF51" s="1417"/>
      <c r="EG51" s="1417"/>
      <c r="EH51" s="1417">
        <v>7801882</v>
      </c>
      <c r="EI51" s="1417">
        <v>1928022.76</v>
      </c>
      <c r="EJ51" s="1417">
        <v>5118054.51</v>
      </c>
      <c r="EK51" s="1417">
        <v>755804.73</v>
      </c>
      <c r="EL51" s="1417"/>
      <c r="EM51" s="1417">
        <v>14897961</v>
      </c>
      <c r="EN51" s="1417"/>
      <c r="EO51" s="1417"/>
      <c r="EP51" s="1417"/>
      <c r="EQ51" s="1417"/>
      <c r="ER51" s="1417"/>
      <c r="ES51" s="1409">
        <v>212815925</v>
      </c>
    </row>
    <row r="52" spans="5:150" s="1366" customFormat="1" ht="14.4">
      <c r="E52" s="1359">
        <v>43221</v>
      </c>
      <c r="F52" s="1409"/>
      <c r="G52" s="1360">
        <v>293609</v>
      </c>
      <c r="H52" s="1409"/>
      <c r="I52" s="1409">
        <v>34263405</v>
      </c>
      <c r="J52" s="1409">
        <v>34263405</v>
      </c>
      <c r="K52" s="1409"/>
      <c r="L52" s="1409"/>
      <c r="M52" s="1409">
        <v>34824</v>
      </c>
      <c r="N52" s="1409">
        <v>34824</v>
      </c>
      <c r="O52" s="1409">
        <v>34824</v>
      </c>
      <c r="P52" s="1409"/>
      <c r="Q52" s="1409">
        <v>0</v>
      </c>
      <c r="R52" s="1409"/>
      <c r="S52" s="1409"/>
      <c r="T52" s="1409">
        <v>0</v>
      </c>
      <c r="U52" s="1409"/>
      <c r="V52" s="1409"/>
      <c r="W52" s="1409"/>
      <c r="X52" s="1409">
        <v>0</v>
      </c>
      <c r="Y52" s="1409">
        <v>0</v>
      </c>
      <c r="Z52" s="1409"/>
      <c r="AA52" s="1409"/>
      <c r="AB52" s="1409">
        <v>0</v>
      </c>
      <c r="AC52" s="1409"/>
      <c r="AD52" s="1409"/>
      <c r="AE52" s="1409"/>
      <c r="AF52" s="1409">
        <v>0</v>
      </c>
      <c r="AG52" s="1409"/>
      <c r="AH52" s="1409"/>
      <c r="AI52" s="1409"/>
      <c r="AJ52" s="1409"/>
      <c r="AK52" s="1409">
        <v>0</v>
      </c>
      <c r="AL52" s="1409"/>
      <c r="AM52" s="1409"/>
      <c r="AN52" s="1409"/>
      <c r="AO52" s="1409">
        <v>1700970</v>
      </c>
      <c r="AP52" s="1409">
        <v>1286689</v>
      </c>
      <c r="AQ52" s="1409">
        <v>414281</v>
      </c>
      <c r="AR52" s="1409">
        <v>414281</v>
      </c>
      <c r="AS52" s="1409">
        <v>0</v>
      </c>
      <c r="AT52" s="1409"/>
      <c r="AU52" s="1409"/>
      <c r="AV52" s="1409"/>
      <c r="AW52" s="1409"/>
      <c r="AX52" s="1409"/>
      <c r="AY52" s="1409">
        <v>56328835</v>
      </c>
      <c r="AZ52" s="1409">
        <v>0</v>
      </c>
      <c r="BA52" s="1409"/>
      <c r="BB52" s="1409"/>
      <c r="BC52" s="1409"/>
      <c r="BD52" s="1409">
        <v>56328835</v>
      </c>
      <c r="BE52" s="1409">
        <v>0</v>
      </c>
      <c r="BF52" s="1409"/>
      <c r="BG52" s="1409"/>
      <c r="BH52" s="1409"/>
      <c r="BI52" s="1409"/>
      <c r="BJ52" s="1409"/>
      <c r="BK52" s="1409"/>
      <c r="BL52" s="1409">
        <v>0</v>
      </c>
      <c r="BM52" s="1409">
        <v>0</v>
      </c>
      <c r="BN52" s="1409"/>
      <c r="BO52" s="1409"/>
      <c r="BP52" s="1409"/>
      <c r="BQ52" s="1409"/>
      <c r="BR52" s="1409"/>
      <c r="BS52" s="1409"/>
      <c r="BT52" s="1409">
        <v>0</v>
      </c>
      <c r="BU52" s="1409">
        <v>0</v>
      </c>
      <c r="BV52" s="1409"/>
      <c r="BW52" s="1409"/>
      <c r="BX52" s="1409"/>
      <c r="BY52" s="1409"/>
      <c r="BZ52" s="1409"/>
      <c r="CA52" s="1409"/>
      <c r="CB52" s="1409"/>
      <c r="CC52" s="1409">
        <v>75675</v>
      </c>
      <c r="CD52" s="1409">
        <v>0</v>
      </c>
      <c r="CE52" s="1409"/>
      <c r="CF52" s="1409">
        <v>0</v>
      </c>
      <c r="CG52" s="1409"/>
      <c r="CH52" s="1409"/>
      <c r="CI52" s="1409"/>
      <c r="CJ52" s="1409">
        <v>75675</v>
      </c>
      <c r="CK52" s="1409"/>
      <c r="CL52" s="1409">
        <v>75675</v>
      </c>
      <c r="CM52" s="1409"/>
      <c r="CN52" s="1409"/>
      <c r="CO52" s="1409"/>
      <c r="CP52" s="1409"/>
      <c r="CQ52" s="1409">
        <v>7000000</v>
      </c>
      <c r="CR52" s="1409"/>
      <c r="CS52" s="1409">
        <v>7000000</v>
      </c>
      <c r="CT52" s="1409"/>
      <c r="CU52" s="1409">
        <v>94389599</v>
      </c>
      <c r="CV52" s="1409">
        <v>93809353</v>
      </c>
      <c r="CW52" s="1409">
        <v>580246</v>
      </c>
      <c r="CX52" s="1409"/>
      <c r="CY52" s="1409">
        <v>0</v>
      </c>
      <c r="CZ52" s="1409"/>
      <c r="DA52" s="1409">
        <v>0</v>
      </c>
      <c r="DB52" s="1409"/>
      <c r="DC52" s="1409"/>
      <c r="DD52" s="1409"/>
      <c r="DE52" s="1409">
        <v>0</v>
      </c>
      <c r="DF52" s="1409"/>
      <c r="DG52" s="1409"/>
      <c r="DH52" s="1409"/>
      <c r="DI52" s="1409">
        <v>0</v>
      </c>
      <c r="DJ52" s="1409"/>
      <c r="DK52" s="1409"/>
      <c r="DL52" s="1409"/>
      <c r="DM52" s="1409"/>
      <c r="DN52" s="1409">
        <v>0</v>
      </c>
      <c r="DO52" s="1409"/>
      <c r="DP52" s="1409">
        <v>0</v>
      </c>
      <c r="DQ52" s="1409"/>
      <c r="DR52" s="1409"/>
      <c r="DS52" s="1409"/>
      <c r="DT52" s="1409">
        <v>0</v>
      </c>
      <c r="DU52" s="1409"/>
      <c r="DV52" s="1409"/>
      <c r="DW52" s="1409"/>
      <c r="DX52" s="1409"/>
      <c r="DY52" s="1409">
        <v>2911998</v>
      </c>
      <c r="DZ52" s="1409"/>
      <c r="EA52" s="1409">
        <v>0</v>
      </c>
      <c r="EB52" s="1409">
        <v>0</v>
      </c>
      <c r="EC52" s="1409"/>
      <c r="ED52" s="1409">
        <v>2883990</v>
      </c>
      <c r="EE52" s="1409">
        <v>28008</v>
      </c>
      <c r="EF52" s="1409"/>
      <c r="EG52" s="1409"/>
      <c r="EH52" s="1409">
        <v>7800239.6799999997</v>
      </c>
      <c r="EI52" s="1409">
        <v>2056267.2</v>
      </c>
      <c r="EJ52" s="1409">
        <v>5008568.26</v>
      </c>
      <c r="EK52" s="1409">
        <v>735404.22</v>
      </c>
      <c r="EL52" s="1409"/>
      <c r="EM52" s="1409">
        <v>17374842</v>
      </c>
      <c r="EN52" s="1409"/>
      <c r="EO52" s="1409"/>
      <c r="EP52" s="1409"/>
      <c r="EQ52" s="1409"/>
      <c r="ER52" s="1409"/>
      <c r="ES52" s="1409">
        <v>222173996.68000001</v>
      </c>
    </row>
    <row r="53" spans="5:150" s="1366" customFormat="1" ht="14.4">
      <c r="E53" s="1359">
        <v>43252</v>
      </c>
      <c r="F53" s="1417"/>
      <c r="G53" s="1371">
        <v>297348</v>
      </c>
      <c r="H53" s="1417"/>
      <c r="I53" s="1417">
        <v>40359963</v>
      </c>
      <c r="J53" s="1417">
        <v>40359963</v>
      </c>
      <c r="K53" s="1417"/>
      <c r="L53" s="1417"/>
      <c r="M53" s="1417">
        <v>104499</v>
      </c>
      <c r="N53" s="1417">
        <v>104499</v>
      </c>
      <c r="O53" s="1417">
        <v>104499</v>
      </c>
      <c r="P53" s="1417"/>
      <c r="Q53" s="1417">
        <v>0</v>
      </c>
      <c r="R53" s="1417"/>
      <c r="S53" s="1417"/>
      <c r="T53" s="1417">
        <v>0</v>
      </c>
      <c r="U53" s="1417"/>
      <c r="V53" s="1417"/>
      <c r="W53" s="1417"/>
      <c r="X53" s="1417">
        <v>0</v>
      </c>
      <c r="Y53" s="1417">
        <v>0</v>
      </c>
      <c r="Z53" s="1417"/>
      <c r="AA53" s="1417"/>
      <c r="AB53" s="1417">
        <v>0</v>
      </c>
      <c r="AC53" s="1417"/>
      <c r="AD53" s="1417"/>
      <c r="AE53" s="1417"/>
      <c r="AF53" s="1417">
        <v>0</v>
      </c>
      <c r="AG53" s="1417"/>
      <c r="AH53" s="1417"/>
      <c r="AI53" s="1417"/>
      <c r="AJ53" s="1417"/>
      <c r="AK53" s="1417">
        <v>0</v>
      </c>
      <c r="AL53" s="1417"/>
      <c r="AM53" s="1417"/>
      <c r="AN53" s="1417"/>
      <c r="AO53" s="1417">
        <v>1853429</v>
      </c>
      <c r="AP53" s="1417">
        <v>1012248</v>
      </c>
      <c r="AQ53" s="1417">
        <v>841181</v>
      </c>
      <c r="AR53" s="1417">
        <v>841181</v>
      </c>
      <c r="AS53" s="1417">
        <v>0</v>
      </c>
      <c r="AT53" s="1417"/>
      <c r="AU53" s="1417"/>
      <c r="AV53" s="1417"/>
      <c r="AW53" s="1417"/>
      <c r="AX53" s="1417"/>
      <c r="AY53" s="1417">
        <v>56876520</v>
      </c>
      <c r="AZ53" s="1417">
        <v>0</v>
      </c>
      <c r="BA53" s="1417"/>
      <c r="BB53" s="1417"/>
      <c r="BC53" s="1417">
        <v>4000000</v>
      </c>
      <c r="BD53" s="1417">
        <v>52876520</v>
      </c>
      <c r="BE53" s="1417">
        <v>0</v>
      </c>
      <c r="BF53" s="1417"/>
      <c r="BG53" s="1417"/>
      <c r="BH53" s="1417"/>
      <c r="BI53" s="1417"/>
      <c r="BJ53" s="1417"/>
      <c r="BK53" s="1417"/>
      <c r="BL53" s="1417">
        <v>0</v>
      </c>
      <c r="BM53" s="1417">
        <v>0</v>
      </c>
      <c r="BN53" s="1417"/>
      <c r="BO53" s="1417"/>
      <c r="BP53" s="1417"/>
      <c r="BQ53" s="1417"/>
      <c r="BR53" s="1417"/>
      <c r="BS53" s="1417"/>
      <c r="BT53" s="1417">
        <v>0</v>
      </c>
      <c r="BU53" s="1417">
        <v>0</v>
      </c>
      <c r="BV53" s="1417"/>
      <c r="BW53" s="1417"/>
      <c r="BX53" s="1417"/>
      <c r="BY53" s="1417"/>
      <c r="BZ53" s="1417"/>
      <c r="CA53" s="1417"/>
      <c r="CB53" s="1417"/>
      <c r="CC53" s="1417">
        <v>71056</v>
      </c>
      <c r="CD53" s="1417">
        <v>0</v>
      </c>
      <c r="CE53" s="1417"/>
      <c r="CF53" s="1417">
        <v>0</v>
      </c>
      <c r="CG53" s="1417"/>
      <c r="CH53" s="1417"/>
      <c r="CI53" s="1417"/>
      <c r="CJ53" s="1417">
        <v>71056</v>
      </c>
      <c r="CK53" s="1417"/>
      <c r="CL53" s="1417">
        <v>71056</v>
      </c>
      <c r="CM53" s="1417"/>
      <c r="CN53" s="1417"/>
      <c r="CO53" s="1417"/>
      <c r="CP53" s="1417"/>
      <c r="CQ53" s="1417">
        <v>6443751</v>
      </c>
      <c r="CR53" s="1417"/>
      <c r="CS53" s="1417">
        <v>6443751</v>
      </c>
      <c r="CT53" s="1417"/>
      <c r="CU53" s="1417">
        <v>98145442</v>
      </c>
      <c r="CV53" s="1417">
        <v>97382405</v>
      </c>
      <c r="CW53" s="1417">
        <v>763037</v>
      </c>
      <c r="CX53" s="1417"/>
      <c r="CY53" s="1417">
        <v>0</v>
      </c>
      <c r="CZ53" s="1417"/>
      <c r="DA53" s="1417">
        <v>0</v>
      </c>
      <c r="DB53" s="1417"/>
      <c r="DC53" s="1417"/>
      <c r="DD53" s="1417"/>
      <c r="DE53" s="1417">
        <v>0</v>
      </c>
      <c r="DF53" s="1417"/>
      <c r="DG53" s="1417"/>
      <c r="DH53" s="1417"/>
      <c r="DI53" s="1417">
        <v>0</v>
      </c>
      <c r="DJ53" s="1417"/>
      <c r="DK53" s="1417"/>
      <c r="DL53" s="1417"/>
      <c r="DM53" s="1417"/>
      <c r="DN53" s="1417">
        <v>0</v>
      </c>
      <c r="DO53" s="1417"/>
      <c r="DP53" s="1417">
        <v>0</v>
      </c>
      <c r="DQ53" s="1417"/>
      <c r="DR53" s="1417"/>
      <c r="DS53" s="1417"/>
      <c r="DT53" s="1417">
        <v>0</v>
      </c>
      <c r="DU53" s="1417"/>
      <c r="DV53" s="1417"/>
      <c r="DW53" s="1417"/>
      <c r="DX53" s="1417"/>
      <c r="DY53" s="1417">
        <v>2994664</v>
      </c>
      <c r="DZ53" s="1417"/>
      <c r="EA53" s="1417">
        <v>0</v>
      </c>
      <c r="EB53" s="1417">
        <v>0</v>
      </c>
      <c r="EC53" s="1417"/>
      <c r="ED53" s="1417">
        <v>2966695</v>
      </c>
      <c r="EE53" s="1417">
        <v>27969</v>
      </c>
      <c r="EF53" s="1417"/>
      <c r="EG53" s="1417"/>
      <c r="EH53" s="1417">
        <v>7991121</v>
      </c>
      <c r="EI53" s="1417">
        <v>2294337</v>
      </c>
      <c r="EJ53" s="1417">
        <v>4910774</v>
      </c>
      <c r="EK53" s="1417">
        <v>786010</v>
      </c>
      <c r="EL53" s="1417"/>
      <c r="EM53" s="1417">
        <v>17454237</v>
      </c>
      <c r="EN53" s="1417"/>
      <c r="EO53" s="1417"/>
      <c r="EP53" s="1417"/>
      <c r="EQ53" s="1417"/>
      <c r="ER53" s="1417"/>
      <c r="ES53" s="1409">
        <v>232592030</v>
      </c>
    </row>
    <row r="54" spans="5:150">
      <c r="E54" s="1359">
        <v>43282</v>
      </c>
      <c r="F54" s="1205"/>
      <c r="G54" s="1364">
        <v>973030</v>
      </c>
      <c r="H54" s="1205"/>
      <c r="I54" s="1205">
        <v>50873701</v>
      </c>
      <c r="J54" s="1205">
        <v>50873701</v>
      </c>
      <c r="K54" s="1205"/>
      <c r="L54" s="1205"/>
      <c r="M54" s="1205">
        <v>57148</v>
      </c>
      <c r="N54" s="1205">
        <v>57148</v>
      </c>
      <c r="O54" s="1205">
        <v>57148</v>
      </c>
      <c r="P54" s="1205"/>
      <c r="Q54" s="1205">
        <v>0</v>
      </c>
      <c r="R54" s="1205"/>
      <c r="S54" s="1205"/>
      <c r="T54" s="1205">
        <v>0</v>
      </c>
      <c r="U54" s="1205"/>
      <c r="V54" s="1205"/>
      <c r="W54" s="1205"/>
      <c r="X54" s="1205">
        <v>0</v>
      </c>
      <c r="Y54" s="1205">
        <v>0</v>
      </c>
      <c r="Z54" s="1205"/>
      <c r="AA54" s="1205"/>
      <c r="AB54" s="1205">
        <v>0</v>
      </c>
      <c r="AC54" s="1205"/>
      <c r="AD54" s="1205"/>
      <c r="AE54" s="1205"/>
      <c r="AF54" s="1205">
        <v>0</v>
      </c>
      <c r="AG54" s="1205"/>
      <c r="AH54" s="1205"/>
      <c r="AI54" s="1205"/>
      <c r="AJ54" s="1205"/>
      <c r="AK54" s="1205">
        <v>0</v>
      </c>
      <c r="AL54" s="1205"/>
      <c r="AM54" s="1205"/>
      <c r="AN54" s="1205"/>
      <c r="AO54" s="1205">
        <v>1615902</v>
      </c>
      <c r="AP54" s="1205">
        <v>1067830</v>
      </c>
      <c r="AQ54" s="1205">
        <v>548072</v>
      </c>
      <c r="AR54" s="1205">
        <v>548072</v>
      </c>
      <c r="AS54" s="1205">
        <v>0</v>
      </c>
      <c r="AT54" s="1205"/>
      <c r="AU54" s="1205"/>
      <c r="AV54" s="1205"/>
      <c r="AW54" s="1205"/>
      <c r="AX54" s="1205"/>
      <c r="AY54" s="1205">
        <v>55142766</v>
      </c>
      <c r="AZ54" s="1205">
        <v>0</v>
      </c>
      <c r="BA54" s="1205"/>
      <c r="BB54" s="1205"/>
      <c r="BC54" s="1205">
        <v>6000000</v>
      </c>
      <c r="BD54" s="1205">
        <v>49142766</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c r="CA54" s="1205"/>
      <c r="CB54" s="1205"/>
      <c r="CC54" s="1205">
        <v>66381</v>
      </c>
      <c r="CD54" s="1205">
        <v>0</v>
      </c>
      <c r="CE54" s="1205"/>
      <c r="CF54" s="1205">
        <v>0</v>
      </c>
      <c r="CG54" s="1205"/>
      <c r="CH54" s="1205"/>
      <c r="CI54" s="1205"/>
      <c r="CJ54" s="1205">
        <v>66381</v>
      </c>
      <c r="CK54" s="1205"/>
      <c r="CL54" s="1205">
        <v>66381</v>
      </c>
      <c r="CM54" s="1205"/>
      <c r="CN54" s="1205"/>
      <c r="CO54" s="1205"/>
      <c r="CP54" s="1205"/>
      <c r="CQ54" s="1205">
        <v>3949699</v>
      </c>
      <c r="CR54" s="1205"/>
      <c r="CS54" s="1205">
        <v>3949699</v>
      </c>
      <c r="CT54" s="1205"/>
      <c r="CU54" s="1205">
        <v>101265601</v>
      </c>
      <c r="CV54" s="1205">
        <v>100559326</v>
      </c>
      <c r="CW54" s="1205">
        <v>706275</v>
      </c>
      <c r="CX54" s="1205"/>
      <c r="CY54" s="1205">
        <v>0</v>
      </c>
      <c r="CZ54" s="1205"/>
      <c r="DA54" s="1205">
        <v>0</v>
      </c>
      <c r="DB54" s="1205"/>
      <c r="DC54" s="1205"/>
      <c r="DD54" s="1205"/>
      <c r="DE54" s="1205">
        <v>0</v>
      </c>
      <c r="DF54" s="1205"/>
      <c r="DG54" s="1205"/>
      <c r="DH54" s="1205"/>
      <c r="DI54" s="1205">
        <v>0</v>
      </c>
      <c r="DJ54" s="1205"/>
      <c r="DK54" s="1205"/>
      <c r="DL54" s="1205"/>
      <c r="DM54" s="1205"/>
      <c r="DN54" s="1205">
        <v>0</v>
      </c>
      <c r="DO54" s="1205"/>
      <c r="DP54" s="1205">
        <v>0</v>
      </c>
      <c r="DQ54" s="1205"/>
      <c r="DR54" s="1205"/>
      <c r="DS54" s="1205"/>
      <c r="DT54" s="1205">
        <v>0</v>
      </c>
      <c r="DU54" s="1205"/>
      <c r="DV54" s="1205"/>
      <c r="DW54" s="1205"/>
      <c r="DX54" s="1205"/>
      <c r="DY54" s="1205">
        <v>3509532</v>
      </c>
      <c r="DZ54" s="1205"/>
      <c r="EA54" s="1205">
        <v>0</v>
      </c>
      <c r="EB54" s="1205">
        <v>0</v>
      </c>
      <c r="EC54" s="1205"/>
      <c r="ED54" s="1205">
        <v>3481399</v>
      </c>
      <c r="EE54" s="1205">
        <v>28133</v>
      </c>
      <c r="EF54" s="1205"/>
      <c r="EG54" s="1205"/>
      <c r="EH54" s="1205">
        <v>7929133.1099999994</v>
      </c>
      <c r="EI54" s="1205">
        <v>2294226.8199999998</v>
      </c>
      <c r="EJ54" s="1205">
        <v>4862598.55</v>
      </c>
      <c r="EK54" s="1205">
        <v>772307.74</v>
      </c>
      <c r="EL54" s="1205"/>
      <c r="EM54" s="1205">
        <v>17975703</v>
      </c>
      <c r="EN54" s="1205"/>
      <c r="EO54" s="1205"/>
      <c r="EP54" s="1205"/>
      <c r="EQ54" s="1205"/>
      <c r="ER54" s="1205"/>
      <c r="ES54" s="1204">
        <v>243358596.11000001</v>
      </c>
    </row>
    <row r="55" spans="5:150">
      <c r="E55" s="1359">
        <v>43313</v>
      </c>
      <c r="F55" s="1205"/>
      <c r="G55" s="1364">
        <v>539934</v>
      </c>
      <c r="H55" s="1205"/>
      <c r="I55" s="1205">
        <v>51126378</v>
      </c>
      <c r="J55" s="1205">
        <v>51126378</v>
      </c>
      <c r="K55" s="1205"/>
      <c r="L55" s="1205"/>
      <c r="M55" s="1205">
        <v>105884</v>
      </c>
      <c r="N55" s="1205">
        <v>105884</v>
      </c>
      <c r="O55" s="1205">
        <v>105884</v>
      </c>
      <c r="P55" s="1205"/>
      <c r="Q55" s="1205">
        <v>0</v>
      </c>
      <c r="R55" s="1205"/>
      <c r="S55" s="1205"/>
      <c r="T55" s="1205">
        <v>0</v>
      </c>
      <c r="U55" s="1205"/>
      <c r="V55" s="1205"/>
      <c r="W55" s="1205"/>
      <c r="X55" s="1205">
        <v>0</v>
      </c>
      <c r="Y55" s="1205">
        <v>0</v>
      </c>
      <c r="Z55" s="1205"/>
      <c r="AA55" s="1205"/>
      <c r="AB55" s="1205">
        <v>0</v>
      </c>
      <c r="AC55" s="1205"/>
      <c r="AD55" s="1205"/>
      <c r="AE55" s="1205"/>
      <c r="AF55" s="1205">
        <v>0</v>
      </c>
      <c r="AG55" s="1205"/>
      <c r="AH55" s="1205"/>
      <c r="AI55" s="1205"/>
      <c r="AJ55" s="1205"/>
      <c r="AK55" s="1205">
        <v>0</v>
      </c>
      <c r="AL55" s="1205"/>
      <c r="AM55" s="1205"/>
      <c r="AN55" s="1205"/>
      <c r="AO55" s="1205">
        <v>1272573</v>
      </c>
      <c r="AP55" s="1205">
        <v>812792</v>
      </c>
      <c r="AQ55" s="1205">
        <v>459781</v>
      </c>
      <c r="AR55" s="1205">
        <v>459781</v>
      </c>
      <c r="AS55" s="1205">
        <v>0</v>
      </c>
      <c r="AT55" s="1205"/>
      <c r="AU55" s="1205"/>
      <c r="AV55" s="1205"/>
      <c r="AW55" s="1205"/>
      <c r="AX55" s="1205"/>
      <c r="AY55" s="1205">
        <v>55139275</v>
      </c>
      <c r="AZ55" s="1205">
        <v>0</v>
      </c>
      <c r="BA55" s="1205"/>
      <c r="BB55" s="1205"/>
      <c r="BC55" s="1205">
        <v>6000000</v>
      </c>
      <c r="BD55" s="1205">
        <v>49139275</v>
      </c>
      <c r="BE55" s="1205">
        <v>0</v>
      </c>
      <c r="BF55" s="1205"/>
      <c r="BG55" s="1205"/>
      <c r="BH55" s="1205"/>
      <c r="BI55" s="1205"/>
      <c r="BJ55" s="1205"/>
      <c r="BK55" s="1205"/>
      <c r="BL55" s="1205">
        <v>0</v>
      </c>
      <c r="BM55" s="1205">
        <v>0</v>
      </c>
      <c r="BN55" s="1205"/>
      <c r="BO55" s="1205"/>
      <c r="BP55" s="1205"/>
      <c r="BQ55" s="1205"/>
      <c r="BR55" s="1205"/>
      <c r="BS55" s="1205"/>
      <c r="BT55" s="1205">
        <v>0</v>
      </c>
      <c r="BU55" s="1205">
        <v>0</v>
      </c>
      <c r="BV55" s="1205"/>
      <c r="BW55" s="1205"/>
      <c r="BX55" s="1205"/>
      <c r="BY55" s="1205"/>
      <c r="BZ55" s="1205"/>
      <c r="CA55" s="1205"/>
      <c r="CB55" s="1205"/>
      <c r="CC55" s="1205">
        <v>61657</v>
      </c>
      <c r="CD55" s="1205">
        <v>0</v>
      </c>
      <c r="CE55" s="1205"/>
      <c r="CF55" s="1205">
        <v>0</v>
      </c>
      <c r="CG55" s="1205"/>
      <c r="CH55" s="1205"/>
      <c r="CI55" s="1205"/>
      <c r="CJ55" s="1205">
        <v>61657</v>
      </c>
      <c r="CK55" s="1205"/>
      <c r="CL55" s="1205">
        <v>61657</v>
      </c>
      <c r="CM55" s="1205"/>
      <c r="CN55" s="1205"/>
      <c r="CO55" s="1205"/>
      <c r="CP55" s="1205"/>
      <c r="CQ55" s="1205">
        <v>3907562</v>
      </c>
      <c r="CR55" s="1205"/>
      <c r="CS55" s="1205">
        <v>3907562</v>
      </c>
      <c r="CT55" s="1205"/>
      <c r="CU55" s="1205">
        <v>105437680</v>
      </c>
      <c r="CV55" s="1205">
        <v>104975575</v>
      </c>
      <c r="CW55" s="1205">
        <v>462105</v>
      </c>
      <c r="CX55" s="1205"/>
      <c r="CY55" s="1205">
        <v>0</v>
      </c>
      <c r="CZ55" s="1205"/>
      <c r="DA55" s="1205">
        <v>0</v>
      </c>
      <c r="DB55" s="1205"/>
      <c r="DC55" s="1205"/>
      <c r="DD55" s="1205"/>
      <c r="DE55" s="1205">
        <v>0</v>
      </c>
      <c r="DF55" s="1205"/>
      <c r="DG55" s="1205"/>
      <c r="DH55" s="1205"/>
      <c r="DI55" s="1205">
        <v>0</v>
      </c>
      <c r="DJ55" s="1205"/>
      <c r="DK55" s="1205"/>
      <c r="DL55" s="1205"/>
      <c r="DM55" s="1205"/>
      <c r="DN55" s="1205">
        <v>0</v>
      </c>
      <c r="DO55" s="1205"/>
      <c r="DP55" s="1205">
        <v>0</v>
      </c>
      <c r="DQ55" s="1205"/>
      <c r="DR55" s="1205"/>
      <c r="DS55" s="1205"/>
      <c r="DT55" s="1205">
        <v>0</v>
      </c>
      <c r="DU55" s="1205"/>
      <c r="DV55" s="1205"/>
      <c r="DW55" s="1205"/>
      <c r="DX55" s="1205"/>
      <c r="DY55" s="1205">
        <v>3508659</v>
      </c>
      <c r="DZ55" s="1205"/>
      <c r="EA55" s="1205">
        <v>0</v>
      </c>
      <c r="EB55" s="1205">
        <v>0</v>
      </c>
      <c r="EC55" s="1205"/>
      <c r="ED55" s="1205">
        <v>3480603</v>
      </c>
      <c r="EE55" s="1205">
        <v>28056</v>
      </c>
      <c r="EF55" s="1205"/>
      <c r="EG55" s="1205"/>
      <c r="EH55" s="1205">
        <v>8349859.129999999</v>
      </c>
      <c r="EI55" s="1205">
        <v>2290124.14</v>
      </c>
      <c r="EJ55" s="1205">
        <v>5314798.05</v>
      </c>
      <c r="EK55" s="1205">
        <v>744936.94</v>
      </c>
      <c r="EL55" s="1205"/>
      <c r="EM55" s="1205">
        <v>17876636</v>
      </c>
      <c r="EN55" s="1205"/>
      <c r="EO55" s="1205"/>
      <c r="EP55" s="1205"/>
      <c r="EQ55" s="1205"/>
      <c r="ER55" s="1205"/>
      <c r="ES55" s="1204">
        <v>247326097.13</v>
      </c>
    </row>
    <row r="56" spans="5:150">
      <c r="E56" s="1359">
        <v>43344</v>
      </c>
      <c r="F56" s="1205"/>
      <c r="G56" s="1364">
        <v>101412</v>
      </c>
      <c r="H56" s="1205"/>
      <c r="I56" s="1205">
        <v>44984188</v>
      </c>
      <c r="J56" s="1205">
        <v>44984188</v>
      </c>
      <c r="K56" s="1205"/>
      <c r="L56" s="1205"/>
      <c r="M56" s="1205">
        <v>142410</v>
      </c>
      <c r="N56" s="1205">
        <v>142410</v>
      </c>
      <c r="O56" s="1205">
        <v>142410</v>
      </c>
      <c r="P56" s="1205"/>
      <c r="Q56" s="1205">
        <v>0</v>
      </c>
      <c r="R56" s="1205"/>
      <c r="S56" s="1205"/>
      <c r="T56" s="1205">
        <v>0</v>
      </c>
      <c r="U56" s="1205"/>
      <c r="V56" s="1205"/>
      <c r="W56" s="1205"/>
      <c r="X56" s="1205">
        <v>0</v>
      </c>
      <c r="Y56" s="1205">
        <v>0</v>
      </c>
      <c r="Z56" s="1205"/>
      <c r="AA56" s="1205"/>
      <c r="AB56" s="1205">
        <v>0</v>
      </c>
      <c r="AC56" s="1205"/>
      <c r="AD56" s="1205"/>
      <c r="AE56" s="1205"/>
      <c r="AF56" s="1205">
        <v>0</v>
      </c>
      <c r="AG56" s="1205"/>
      <c r="AH56" s="1205"/>
      <c r="AI56" s="1205"/>
      <c r="AJ56" s="1205"/>
      <c r="AK56" s="1205">
        <v>0</v>
      </c>
      <c r="AL56" s="1205"/>
      <c r="AM56" s="1205"/>
      <c r="AN56" s="1205"/>
      <c r="AO56" s="1205">
        <v>909128</v>
      </c>
      <c r="AP56" s="1205">
        <v>464451</v>
      </c>
      <c r="AQ56" s="1205">
        <v>444677</v>
      </c>
      <c r="AR56" s="1205">
        <v>444677</v>
      </c>
      <c r="AS56" s="1205">
        <v>0</v>
      </c>
      <c r="AT56" s="1205"/>
      <c r="AU56" s="1205"/>
      <c r="AV56" s="1205"/>
      <c r="AW56" s="1205"/>
      <c r="AX56" s="1205"/>
      <c r="AY56" s="1205">
        <v>60883367</v>
      </c>
      <c r="AZ56" s="1205">
        <v>0</v>
      </c>
      <c r="BA56" s="1205"/>
      <c r="BB56" s="1205"/>
      <c r="BC56" s="1205">
        <v>0</v>
      </c>
      <c r="BD56" s="1205">
        <v>60883367</v>
      </c>
      <c r="BE56" s="1205">
        <v>0</v>
      </c>
      <c r="BF56" s="1205"/>
      <c r="BG56" s="1205"/>
      <c r="BH56" s="1205"/>
      <c r="BI56" s="1205"/>
      <c r="BJ56" s="1205"/>
      <c r="BK56" s="1205"/>
      <c r="BL56" s="1205">
        <v>0</v>
      </c>
      <c r="BM56" s="1205">
        <v>0</v>
      </c>
      <c r="BN56" s="1205"/>
      <c r="BO56" s="1205"/>
      <c r="BP56" s="1205"/>
      <c r="BQ56" s="1205"/>
      <c r="BR56" s="1205"/>
      <c r="BS56" s="1205"/>
      <c r="BT56" s="1205">
        <v>0</v>
      </c>
      <c r="BU56" s="1205">
        <v>0</v>
      </c>
      <c r="BV56" s="1205"/>
      <c r="BW56" s="1205"/>
      <c r="BX56" s="1205"/>
      <c r="BY56" s="1205"/>
      <c r="BZ56" s="1205"/>
      <c r="CA56" s="1205"/>
      <c r="CB56" s="1205"/>
      <c r="CC56" s="1205">
        <v>65358</v>
      </c>
      <c r="CD56" s="1205">
        <v>0</v>
      </c>
      <c r="CE56" s="1205"/>
      <c r="CF56" s="1205">
        <v>0</v>
      </c>
      <c r="CG56" s="1205"/>
      <c r="CH56" s="1205"/>
      <c r="CI56" s="1205"/>
      <c r="CJ56" s="1205">
        <v>65358</v>
      </c>
      <c r="CK56" s="1205"/>
      <c r="CL56" s="1205">
        <v>65358</v>
      </c>
      <c r="CM56" s="1205"/>
      <c r="CN56" s="1205"/>
      <c r="CO56" s="1205"/>
      <c r="CP56" s="1205"/>
      <c r="CQ56" s="1205">
        <v>0</v>
      </c>
      <c r="CR56" s="1205"/>
      <c r="CS56" s="1205">
        <v>0</v>
      </c>
      <c r="CT56" s="1205"/>
      <c r="CU56" s="1205">
        <v>110308040</v>
      </c>
      <c r="CV56" s="1205">
        <v>109684479</v>
      </c>
      <c r="CW56" s="1205">
        <v>623561</v>
      </c>
      <c r="CX56" s="1205"/>
      <c r="CY56" s="1205">
        <v>0</v>
      </c>
      <c r="CZ56" s="1205"/>
      <c r="DA56" s="1205">
        <v>0</v>
      </c>
      <c r="DB56" s="1205"/>
      <c r="DC56" s="1205"/>
      <c r="DD56" s="1205"/>
      <c r="DE56" s="1205">
        <v>0</v>
      </c>
      <c r="DF56" s="1205"/>
      <c r="DG56" s="1205"/>
      <c r="DH56" s="1205"/>
      <c r="DI56" s="1205">
        <v>0</v>
      </c>
      <c r="DJ56" s="1205"/>
      <c r="DK56" s="1205"/>
      <c r="DL56" s="1205"/>
      <c r="DM56" s="1205"/>
      <c r="DN56" s="1205">
        <v>0</v>
      </c>
      <c r="DO56" s="1205"/>
      <c r="DP56" s="1205">
        <v>0</v>
      </c>
      <c r="DQ56" s="1205"/>
      <c r="DR56" s="1205"/>
      <c r="DS56" s="1205"/>
      <c r="DT56" s="1205">
        <v>0</v>
      </c>
      <c r="DU56" s="1205"/>
      <c r="DV56" s="1205"/>
      <c r="DW56" s="1205"/>
      <c r="DX56" s="1205"/>
      <c r="DY56" s="1205">
        <v>3476745</v>
      </c>
      <c r="DZ56" s="1205"/>
      <c r="EA56" s="1205">
        <v>0</v>
      </c>
      <c r="EB56" s="1205">
        <v>0</v>
      </c>
      <c r="EC56" s="1205"/>
      <c r="ED56" s="1205">
        <v>3448781</v>
      </c>
      <c r="EE56" s="1205">
        <v>27964</v>
      </c>
      <c r="EF56" s="1205"/>
      <c r="EG56" s="1205"/>
      <c r="EH56" s="1205">
        <v>8626228.0099999998</v>
      </c>
      <c r="EI56" s="1205">
        <v>2596132.54</v>
      </c>
      <c r="EJ56" s="1205">
        <v>5303907.91</v>
      </c>
      <c r="EK56" s="1205">
        <v>726187.56</v>
      </c>
      <c r="EL56" s="1205"/>
      <c r="EM56" s="1205">
        <v>18754903</v>
      </c>
      <c r="EN56" s="1205"/>
      <c r="EO56" s="1205"/>
      <c r="EP56" s="1205"/>
      <c r="EQ56" s="1205"/>
      <c r="ER56" s="1205"/>
      <c r="ES56" s="1204">
        <v>248251779.00999999</v>
      </c>
    </row>
    <row r="57" spans="5:150" s="3" customFormat="1" ht="15">
      <c r="E57" s="1408">
        <v>43374</v>
      </c>
      <c r="F57" s="949"/>
      <c r="G57" s="1199">
        <v>1991654</v>
      </c>
      <c r="H57" s="1203"/>
      <c r="I57" s="1203">
        <v>42369675</v>
      </c>
      <c r="J57" s="1203">
        <v>42369675</v>
      </c>
      <c r="K57" s="1203"/>
      <c r="L57" s="1203"/>
      <c r="M57" s="1203">
        <v>214290</v>
      </c>
      <c r="N57" s="1203">
        <v>214290</v>
      </c>
      <c r="O57" s="1203">
        <v>214290</v>
      </c>
      <c r="P57" s="1203"/>
      <c r="Q57" s="1203">
        <v>0</v>
      </c>
      <c r="R57" s="1203"/>
      <c r="S57" s="1203"/>
      <c r="T57" s="1203">
        <v>0</v>
      </c>
      <c r="U57" s="1203"/>
      <c r="V57" s="1203"/>
      <c r="W57" s="1203"/>
      <c r="X57" s="1203">
        <v>0</v>
      </c>
      <c r="Y57" s="1203">
        <v>0</v>
      </c>
      <c r="Z57" s="1203"/>
      <c r="AA57" s="1203"/>
      <c r="AB57" s="1203">
        <v>0</v>
      </c>
      <c r="AC57" s="1203"/>
      <c r="AD57" s="1203"/>
      <c r="AE57" s="1203"/>
      <c r="AF57" s="1203">
        <v>0</v>
      </c>
      <c r="AG57" s="1203"/>
      <c r="AH57" s="1203"/>
      <c r="AI57" s="1203"/>
      <c r="AJ57" s="1203"/>
      <c r="AK57" s="1203">
        <v>0</v>
      </c>
      <c r="AL57" s="1203"/>
      <c r="AM57" s="1203"/>
      <c r="AN57" s="1203"/>
      <c r="AO57" s="1203">
        <v>648748</v>
      </c>
      <c r="AP57" s="1203">
        <v>286745</v>
      </c>
      <c r="AQ57" s="1203">
        <v>362003</v>
      </c>
      <c r="AR57" s="1203">
        <v>362003</v>
      </c>
      <c r="AS57" s="1203">
        <v>0</v>
      </c>
      <c r="AT57" s="1203"/>
      <c r="AU57" s="1203"/>
      <c r="AV57" s="1203"/>
      <c r="AW57" s="1203"/>
      <c r="AX57" s="1203"/>
      <c r="AY57" s="1203">
        <v>54345796</v>
      </c>
      <c r="AZ57" s="1203">
        <v>0</v>
      </c>
      <c r="BA57" s="1203"/>
      <c r="BB57" s="1203"/>
      <c r="BC57" s="1203">
        <v>0</v>
      </c>
      <c r="BD57" s="1203">
        <v>54345796</v>
      </c>
      <c r="BE57" s="1203">
        <v>0</v>
      </c>
      <c r="BF57" s="1203"/>
      <c r="BG57" s="1203"/>
      <c r="BH57" s="1203"/>
      <c r="BI57" s="1203"/>
      <c r="BJ57" s="1203"/>
      <c r="BK57" s="1203"/>
      <c r="BL57" s="1203">
        <v>0</v>
      </c>
      <c r="BM57" s="1203">
        <v>0</v>
      </c>
      <c r="BN57" s="1203"/>
      <c r="BO57" s="1203"/>
      <c r="BP57" s="1203"/>
      <c r="BQ57" s="1203"/>
      <c r="BR57" s="1203"/>
      <c r="BS57" s="1203"/>
      <c r="BT57" s="1203">
        <v>0</v>
      </c>
      <c r="BU57" s="1203">
        <v>0</v>
      </c>
      <c r="BV57" s="1203"/>
      <c r="BW57" s="1203"/>
      <c r="BX57" s="1203"/>
      <c r="BY57" s="1203"/>
      <c r="BZ57" s="1203"/>
      <c r="CA57" s="1203"/>
      <c r="CB57" s="1203"/>
      <c r="CC57" s="1203">
        <v>57446</v>
      </c>
      <c r="CD57" s="1203">
        <v>0</v>
      </c>
      <c r="CE57" s="1203"/>
      <c r="CF57" s="1203">
        <v>0</v>
      </c>
      <c r="CG57" s="1203"/>
      <c r="CH57" s="1203"/>
      <c r="CI57" s="1203"/>
      <c r="CJ57" s="1203">
        <v>57446</v>
      </c>
      <c r="CK57" s="1203"/>
      <c r="CL57" s="1203">
        <v>57446</v>
      </c>
      <c r="CM57" s="1203"/>
      <c r="CN57" s="1203"/>
      <c r="CO57" s="1203"/>
      <c r="CP57" s="1203"/>
      <c r="CQ57" s="1203">
        <v>1974993</v>
      </c>
      <c r="CR57" s="1203"/>
      <c r="CS57" s="1203">
        <v>1974993</v>
      </c>
      <c r="CT57" s="1203"/>
      <c r="CU57" s="1203">
        <v>111090286</v>
      </c>
      <c r="CV57" s="1203">
        <v>110516471</v>
      </c>
      <c r="CW57" s="1203">
        <v>573815</v>
      </c>
      <c r="CX57" s="1203"/>
      <c r="CY57" s="1203">
        <v>0</v>
      </c>
      <c r="CZ57" s="1203"/>
      <c r="DA57" s="1203">
        <v>0</v>
      </c>
      <c r="DB57" s="1203"/>
      <c r="DC57" s="1203"/>
      <c r="DD57" s="1203"/>
      <c r="DE57" s="1203">
        <v>0</v>
      </c>
      <c r="DF57" s="1203"/>
      <c r="DG57" s="1203"/>
      <c r="DH57" s="1203"/>
      <c r="DI57" s="1203">
        <v>0</v>
      </c>
      <c r="DJ57" s="1203"/>
      <c r="DK57" s="1203"/>
      <c r="DL57" s="1203"/>
      <c r="DM57" s="1203"/>
      <c r="DN57" s="1203">
        <v>0</v>
      </c>
      <c r="DO57" s="1203"/>
      <c r="DP57" s="1203">
        <v>0</v>
      </c>
      <c r="DQ57" s="1203"/>
      <c r="DR57" s="1203"/>
      <c r="DS57" s="1203"/>
      <c r="DT57" s="1203">
        <v>0</v>
      </c>
      <c r="DU57" s="1203"/>
      <c r="DV57" s="1203"/>
      <c r="DW57" s="1203"/>
      <c r="DX57" s="1203"/>
      <c r="DY57" s="1203">
        <v>5501485</v>
      </c>
      <c r="DZ57" s="1203"/>
      <c r="EA57" s="1203">
        <v>0</v>
      </c>
      <c r="EB57" s="1203">
        <v>0</v>
      </c>
      <c r="EC57" s="1203"/>
      <c r="ED57" s="1203">
        <v>5474246</v>
      </c>
      <c r="EE57" s="1203">
        <v>27239</v>
      </c>
      <c r="EF57" s="1203"/>
      <c r="EG57" s="1203"/>
      <c r="EH57" s="1203">
        <v>8622170</v>
      </c>
      <c r="EI57" s="1203">
        <v>2591447</v>
      </c>
      <c r="EJ57" s="1203">
        <v>5322477</v>
      </c>
      <c r="EK57" s="1203">
        <v>708246</v>
      </c>
      <c r="EL57" s="1203"/>
      <c r="EM57" s="1203">
        <v>18074803</v>
      </c>
      <c r="EN57" s="1203"/>
      <c r="EO57" s="1203"/>
      <c r="EP57" s="1203"/>
      <c r="EQ57" s="1203"/>
      <c r="ER57" s="1203"/>
      <c r="ES57" s="1203">
        <v>244891346</v>
      </c>
      <c r="ET57" s="1199"/>
    </row>
    <row r="58" spans="5:150" s="3" customFormat="1" ht="15">
      <c r="E58" s="1408">
        <v>43405</v>
      </c>
      <c r="F58" s="1408"/>
      <c r="G58" s="1199">
        <v>1160599</v>
      </c>
      <c r="H58" s="1199"/>
      <c r="I58" s="1199">
        <v>65615264</v>
      </c>
      <c r="J58" s="1199">
        <v>65615264</v>
      </c>
      <c r="K58" s="1199"/>
      <c r="L58" s="1199"/>
      <c r="M58" s="1199">
        <v>82171</v>
      </c>
      <c r="N58" s="1199">
        <v>82171</v>
      </c>
      <c r="O58" s="1199">
        <v>82171</v>
      </c>
      <c r="P58" s="1199"/>
      <c r="Q58" s="1199">
        <v>0</v>
      </c>
      <c r="R58" s="1199"/>
      <c r="S58" s="1199"/>
      <c r="T58" s="1199">
        <v>0</v>
      </c>
      <c r="U58" s="1199"/>
      <c r="V58" s="1199"/>
      <c r="W58" s="1199"/>
      <c r="X58" s="1199">
        <v>0</v>
      </c>
      <c r="Y58" s="1199">
        <v>0</v>
      </c>
      <c r="Z58" s="1199"/>
      <c r="AA58" s="1199"/>
      <c r="AB58" s="1199">
        <v>0</v>
      </c>
      <c r="AC58" s="1199"/>
      <c r="AD58" s="1199"/>
      <c r="AE58" s="1199"/>
      <c r="AF58" s="1199">
        <v>0</v>
      </c>
      <c r="AG58" s="1199"/>
      <c r="AH58" s="1199"/>
      <c r="AI58" s="1199"/>
      <c r="AJ58" s="1199"/>
      <c r="AK58" s="1199">
        <v>0</v>
      </c>
      <c r="AL58" s="1199"/>
      <c r="AM58" s="1199"/>
      <c r="AN58" s="1199"/>
      <c r="AO58" s="1199">
        <v>1473107</v>
      </c>
      <c r="AP58" s="1199">
        <v>335387</v>
      </c>
      <c r="AQ58" s="1199">
        <v>1137720</v>
      </c>
      <c r="AR58" s="1199">
        <v>1137720</v>
      </c>
      <c r="AS58" s="1199">
        <v>0</v>
      </c>
      <c r="AT58" s="1199"/>
      <c r="AU58" s="1199"/>
      <c r="AV58" s="1199"/>
      <c r="AW58" s="1199"/>
      <c r="AX58" s="1199"/>
      <c r="AY58" s="1199">
        <v>54398695</v>
      </c>
      <c r="AZ58" s="1199">
        <v>0</v>
      </c>
      <c r="BA58" s="1199"/>
      <c r="BB58" s="1199"/>
      <c r="BC58" s="1199">
        <v>0</v>
      </c>
      <c r="BD58" s="1199">
        <v>54398695</v>
      </c>
      <c r="BE58" s="1199">
        <v>0</v>
      </c>
      <c r="BF58" s="1199"/>
      <c r="BG58" s="1199"/>
      <c r="BH58" s="1199"/>
      <c r="BI58" s="1199"/>
      <c r="BJ58" s="1199"/>
      <c r="BK58" s="1199"/>
      <c r="BL58" s="1199">
        <v>0</v>
      </c>
      <c r="BM58" s="1199">
        <v>0</v>
      </c>
      <c r="BN58" s="1199"/>
      <c r="BO58" s="1199"/>
      <c r="BP58" s="1199"/>
      <c r="BQ58" s="1199"/>
      <c r="BR58" s="1199"/>
      <c r="BS58" s="1199"/>
      <c r="BT58" s="1199">
        <v>0</v>
      </c>
      <c r="BU58" s="1199">
        <v>0</v>
      </c>
      <c r="BV58" s="1199"/>
      <c r="BW58" s="1199"/>
      <c r="BX58" s="1199"/>
      <c r="BY58" s="1199"/>
      <c r="BZ58" s="1199"/>
      <c r="CA58" s="1199"/>
      <c r="CB58" s="1199"/>
      <c r="CC58" s="1199">
        <v>0</v>
      </c>
      <c r="CD58" s="1199">
        <v>0</v>
      </c>
      <c r="CE58" s="1199"/>
      <c r="CF58" s="1199">
        <v>0</v>
      </c>
      <c r="CG58" s="1199"/>
      <c r="CH58" s="1199"/>
      <c r="CI58" s="1199"/>
      <c r="CJ58" s="1199">
        <v>0</v>
      </c>
      <c r="CK58" s="1199"/>
      <c r="CL58" s="1199">
        <v>0</v>
      </c>
      <c r="CM58" s="1199"/>
      <c r="CN58" s="1199"/>
      <c r="CO58" s="1199"/>
      <c r="CP58" s="1199"/>
      <c r="CQ58" s="1199">
        <v>3949835</v>
      </c>
      <c r="CR58" s="1199"/>
      <c r="CS58" s="1199">
        <v>3949835</v>
      </c>
      <c r="CT58" s="1199"/>
      <c r="CU58" s="1199">
        <v>110615251</v>
      </c>
      <c r="CV58" s="1199">
        <v>110050473</v>
      </c>
      <c r="CW58" s="1199">
        <v>564778</v>
      </c>
      <c r="CX58" s="1199"/>
      <c r="CY58" s="1199">
        <v>0</v>
      </c>
      <c r="CZ58" s="1199"/>
      <c r="DA58" s="1199">
        <v>0</v>
      </c>
      <c r="DB58" s="1199"/>
      <c r="DC58" s="1199"/>
      <c r="DD58" s="1199"/>
      <c r="DE58" s="1199">
        <v>0</v>
      </c>
      <c r="DF58" s="1199"/>
      <c r="DG58" s="1199"/>
      <c r="DH58" s="1199"/>
      <c r="DI58" s="1199">
        <v>0</v>
      </c>
      <c r="DJ58" s="1199"/>
      <c r="DK58" s="1199"/>
      <c r="DL58" s="1199"/>
      <c r="DM58" s="1199"/>
      <c r="DN58" s="1199">
        <v>0</v>
      </c>
      <c r="DO58" s="1199"/>
      <c r="DP58" s="1199">
        <v>0</v>
      </c>
      <c r="DQ58" s="1199"/>
      <c r="DR58" s="1199"/>
      <c r="DS58" s="1199"/>
      <c r="DT58" s="1199">
        <v>0</v>
      </c>
      <c r="DU58" s="1199"/>
      <c r="DV58" s="1199"/>
      <c r="DW58" s="1199"/>
      <c r="DX58" s="1199"/>
      <c r="DY58" s="1199">
        <v>4901249</v>
      </c>
      <c r="DZ58" s="1199"/>
      <c r="EA58" s="1199">
        <v>0</v>
      </c>
      <c r="EB58" s="1199">
        <v>0</v>
      </c>
      <c r="EC58" s="1199"/>
      <c r="ED58" s="1199">
        <v>4873897</v>
      </c>
      <c r="EE58" s="1199">
        <v>27352</v>
      </c>
      <c r="EF58" s="1199"/>
      <c r="EG58" s="1199"/>
      <c r="EH58" s="1199">
        <v>8507878</v>
      </c>
      <c r="EI58" s="1199">
        <v>2586762</v>
      </c>
      <c r="EJ58" s="1199">
        <v>5230812</v>
      </c>
      <c r="EK58" s="1199">
        <v>690304</v>
      </c>
      <c r="EL58" s="1199"/>
      <c r="EM58" s="1199">
        <v>17296605</v>
      </c>
      <c r="EN58" s="1199"/>
      <c r="EO58" s="1199"/>
      <c r="EP58" s="1199"/>
      <c r="EQ58" s="1199"/>
      <c r="ER58" s="1199"/>
      <c r="ES58" s="1199">
        <v>268000654</v>
      </c>
      <c r="ET58" s="1199"/>
    </row>
    <row r="59" spans="5:150" s="3" customFormat="1" ht="15">
      <c r="E59" s="1408">
        <v>43435</v>
      </c>
      <c r="F59" s="1408"/>
      <c r="G59" s="1199">
        <v>9970</v>
      </c>
      <c r="H59" s="1199"/>
      <c r="I59" s="1199">
        <v>52489533</v>
      </c>
      <c r="J59" s="1199">
        <v>52489533</v>
      </c>
      <c r="K59" s="1199"/>
      <c r="L59" s="1199"/>
      <c r="M59" s="1199">
        <v>802248</v>
      </c>
      <c r="N59" s="1199">
        <v>802248</v>
      </c>
      <c r="O59" s="1199">
        <v>802248</v>
      </c>
      <c r="P59" s="1199"/>
      <c r="Q59" s="1199">
        <v>0</v>
      </c>
      <c r="R59" s="1199"/>
      <c r="S59" s="1199"/>
      <c r="T59" s="1199">
        <v>0</v>
      </c>
      <c r="U59" s="1199"/>
      <c r="V59" s="1199"/>
      <c r="W59" s="1199"/>
      <c r="X59" s="1199">
        <v>0</v>
      </c>
      <c r="Y59" s="1199">
        <v>0</v>
      </c>
      <c r="Z59" s="1199"/>
      <c r="AA59" s="1199"/>
      <c r="AB59" s="1199">
        <v>0</v>
      </c>
      <c r="AC59" s="1199"/>
      <c r="AD59" s="1199"/>
      <c r="AE59" s="1199"/>
      <c r="AF59" s="1199">
        <v>0</v>
      </c>
      <c r="AG59" s="1199"/>
      <c r="AH59" s="1199"/>
      <c r="AI59" s="1199"/>
      <c r="AJ59" s="1199"/>
      <c r="AK59" s="1199">
        <v>0</v>
      </c>
      <c r="AL59" s="1199"/>
      <c r="AM59" s="1199"/>
      <c r="AN59" s="1199"/>
      <c r="AO59" s="1199">
        <v>822835</v>
      </c>
      <c r="AP59" s="1199">
        <v>231922</v>
      </c>
      <c r="AQ59" s="1199">
        <v>590913</v>
      </c>
      <c r="AR59" s="1199">
        <v>590913</v>
      </c>
      <c r="AS59" s="1199">
        <v>0</v>
      </c>
      <c r="AT59" s="1199"/>
      <c r="AU59" s="1199"/>
      <c r="AV59" s="1199"/>
      <c r="AW59" s="1199"/>
      <c r="AX59" s="1199"/>
      <c r="AY59" s="1199">
        <v>67035855</v>
      </c>
      <c r="AZ59" s="1199">
        <v>0</v>
      </c>
      <c r="BA59" s="1199"/>
      <c r="BB59" s="1199"/>
      <c r="BC59" s="1199">
        <v>12000000</v>
      </c>
      <c r="BD59" s="1199">
        <v>55035855</v>
      </c>
      <c r="BE59" s="1199">
        <v>0</v>
      </c>
      <c r="BF59" s="1199"/>
      <c r="BG59" s="1199"/>
      <c r="BH59" s="1199"/>
      <c r="BI59" s="1199"/>
      <c r="BJ59" s="1199"/>
      <c r="BK59" s="1199"/>
      <c r="BL59" s="1199">
        <v>0</v>
      </c>
      <c r="BM59" s="1199">
        <v>0</v>
      </c>
      <c r="BN59" s="1199"/>
      <c r="BO59" s="1199"/>
      <c r="BP59" s="1199"/>
      <c r="BQ59" s="1199"/>
      <c r="BR59" s="1199"/>
      <c r="BS59" s="1199"/>
      <c r="BT59" s="1199">
        <v>0</v>
      </c>
      <c r="BU59" s="1199">
        <v>0</v>
      </c>
      <c r="BV59" s="1199"/>
      <c r="BW59" s="1199"/>
      <c r="BX59" s="1199"/>
      <c r="BY59" s="1199"/>
      <c r="BZ59" s="1199"/>
      <c r="CA59" s="1199"/>
      <c r="CB59" s="1199"/>
      <c r="CC59" s="1199">
        <v>0</v>
      </c>
      <c r="CD59" s="1199">
        <v>0</v>
      </c>
      <c r="CE59" s="1199"/>
      <c r="CF59" s="1199">
        <v>0</v>
      </c>
      <c r="CG59" s="1199"/>
      <c r="CH59" s="1199"/>
      <c r="CI59" s="1199"/>
      <c r="CJ59" s="1199">
        <v>0</v>
      </c>
      <c r="CK59" s="1199"/>
      <c r="CL59" s="1199">
        <v>0</v>
      </c>
      <c r="CM59" s="1199">
        <v>0</v>
      </c>
      <c r="CN59" s="1199"/>
      <c r="CO59" s="1199"/>
      <c r="CP59" s="1199"/>
      <c r="CQ59" s="1199">
        <v>3949616</v>
      </c>
      <c r="CR59" s="1199"/>
      <c r="CS59" s="1199">
        <v>3949616</v>
      </c>
      <c r="CT59" s="1199"/>
      <c r="CU59" s="1199">
        <v>111247554</v>
      </c>
      <c r="CV59" s="1199">
        <v>110698915</v>
      </c>
      <c r="CW59" s="1199">
        <v>548639</v>
      </c>
      <c r="CX59" s="1199"/>
      <c r="CY59" s="1199">
        <v>0</v>
      </c>
      <c r="CZ59" s="1199"/>
      <c r="DA59" s="1199">
        <v>0</v>
      </c>
      <c r="DB59" s="1199"/>
      <c r="DC59" s="1199"/>
      <c r="DD59" s="1199"/>
      <c r="DE59" s="1199">
        <v>0</v>
      </c>
      <c r="DF59" s="1199"/>
      <c r="DG59" s="1199"/>
      <c r="DH59" s="1199"/>
      <c r="DI59" s="1199">
        <v>0</v>
      </c>
      <c r="DJ59" s="1199"/>
      <c r="DK59" s="1199"/>
      <c r="DL59" s="1199"/>
      <c r="DM59" s="1199"/>
      <c r="DN59" s="1199">
        <v>0</v>
      </c>
      <c r="DO59" s="1199"/>
      <c r="DP59" s="1199">
        <v>0</v>
      </c>
      <c r="DQ59" s="1199"/>
      <c r="DR59" s="1199"/>
      <c r="DS59" s="1199"/>
      <c r="DT59" s="1199">
        <v>0</v>
      </c>
      <c r="DU59" s="1199"/>
      <c r="DV59" s="1199"/>
      <c r="DW59" s="1199"/>
      <c r="DX59" s="1199"/>
      <c r="DY59" s="1199">
        <v>6285944</v>
      </c>
      <c r="DZ59" s="1199"/>
      <c r="EA59" s="1199">
        <v>0</v>
      </c>
      <c r="EB59" s="1199">
        <v>0</v>
      </c>
      <c r="EC59" s="1199"/>
      <c r="ED59" s="1199">
        <v>6258508</v>
      </c>
      <c r="EE59" s="1199">
        <v>27436</v>
      </c>
      <c r="EF59" s="1199"/>
      <c r="EG59" s="1199"/>
      <c r="EH59" s="1199">
        <v>8464832</v>
      </c>
      <c r="EI59" s="1199">
        <v>2582077</v>
      </c>
      <c r="EJ59" s="1199">
        <v>5212323</v>
      </c>
      <c r="EK59" s="1199">
        <v>670432</v>
      </c>
      <c r="EL59" s="1199"/>
      <c r="EM59" s="1199">
        <v>18154724</v>
      </c>
      <c r="EN59" s="1199"/>
      <c r="EO59" s="1199"/>
      <c r="EP59" s="1199"/>
      <c r="EQ59" s="1199"/>
      <c r="ER59" s="1199"/>
      <c r="ES59" s="1199">
        <v>269263111</v>
      </c>
      <c r="ET59" s="1199"/>
    </row>
    <row r="62" spans="5:150" s="1364" customFormat="1">
      <c r="E62" s="1408">
        <v>43466</v>
      </c>
      <c r="G62" s="1364">
        <v>684648</v>
      </c>
      <c r="I62" s="1364">
        <v>23383732</v>
      </c>
      <c r="J62" s="1364">
        <v>23383732</v>
      </c>
      <c r="M62" s="1364">
        <v>189455</v>
      </c>
      <c r="N62" s="1364">
        <v>189455</v>
      </c>
      <c r="O62" s="1364">
        <v>189455</v>
      </c>
      <c r="Q62" s="1364">
        <v>0</v>
      </c>
      <c r="T62" s="1364">
        <v>0</v>
      </c>
      <c r="X62" s="1364">
        <v>0</v>
      </c>
      <c r="Y62" s="1364">
        <v>0</v>
      </c>
      <c r="AB62" s="1364">
        <v>0</v>
      </c>
      <c r="AF62" s="1364">
        <v>0</v>
      </c>
      <c r="AK62" s="1364">
        <v>0</v>
      </c>
      <c r="AO62" s="1364">
        <v>2865275</v>
      </c>
      <c r="AP62" s="1364">
        <v>1872167</v>
      </c>
      <c r="AQ62" s="1364">
        <v>993108</v>
      </c>
      <c r="AR62" s="1364">
        <v>993108</v>
      </c>
      <c r="AS62" s="1364">
        <v>0</v>
      </c>
      <c r="AY62" s="1364">
        <v>69393540</v>
      </c>
      <c r="AZ62" s="1364">
        <v>0</v>
      </c>
      <c r="BC62" s="1364">
        <v>11845205</v>
      </c>
      <c r="BD62" s="1364">
        <v>57548335</v>
      </c>
      <c r="BE62" s="1364">
        <v>0</v>
      </c>
      <c r="BL62" s="1364">
        <v>0</v>
      </c>
      <c r="BM62" s="1364">
        <v>0</v>
      </c>
      <c r="BT62" s="1364">
        <v>0</v>
      </c>
      <c r="BU62" s="1364">
        <v>0</v>
      </c>
      <c r="CC62" s="1364">
        <v>0</v>
      </c>
      <c r="CD62" s="1364">
        <v>0</v>
      </c>
      <c r="CF62" s="1364">
        <v>0</v>
      </c>
      <c r="CJ62" s="1364">
        <v>0</v>
      </c>
      <c r="CL62" s="1364">
        <v>0</v>
      </c>
      <c r="CM62" s="1364">
        <v>0</v>
      </c>
      <c r="CQ62" s="1364">
        <v>1974693</v>
      </c>
      <c r="CS62" s="1364">
        <v>1974693</v>
      </c>
      <c r="CU62" s="1364">
        <v>109725090</v>
      </c>
      <c r="CV62" s="1364">
        <v>109178988</v>
      </c>
      <c r="CW62" s="1364">
        <v>546102</v>
      </c>
      <c r="CY62" s="1364">
        <v>0</v>
      </c>
      <c r="DA62" s="1364">
        <v>0</v>
      </c>
      <c r="DE62" s="1364">
        <v>0</v>
      </c>
      <c r="DI62" s="1364">
        <v>0</v>
      </c>
      <c r="DN62" s="1364">
        <v>0</v>
      </c>
      <c r="DP62" s="1364">
        <v>0</v>
      </c>
      <c r="DT62" s="1364">
        <v>0</v>
      </c>
      <c r="DY62" s="1364">
        <v>6621604</v>
      </c>
      <c r="EA62" s="1364">
        <v>0</v>
      </c>
      <c r="EB62" s="1364">
        <v>0</v>
      </c>
      <c r="ED62" s="1364">
        <v>6593980</v>
      </c>
      <c r="EE62" s="1364">
        <v>27624</v>
      </c>
      <c r="EH62" s="1364">
        <v>8335423</v>
      </c>
      <c r="EI62" s="1364">
        <v>2577392</v>
      </c>
      <c r="EJ62" s="1364">
        <v>5105541</v>
      </c>
      <c r="EK62" s="1364">
        <v>652490</v>
      </c>
      <c r="EM62" s="1364">
        <v>18124553</v>
      </c>
      <c r="ES62" s="1199">
        <v>241298013</v>
      </c>
    </row>
    <row r="63" spans="5:150">
      <c r="E63" s="1408">
        <v>43497</v>
      </c>
      <c r="G63" s="1364">
        <v>1668822</v>
      </c>
      <c r="I63" s="1028">
        <v>39551163</v>
      </c>
      <c r="J63" s="1028">
        <v>39551163</v>
      </c>
      <c r="M63" s="1028">
        <v>830876</v>
      </c>
      <c r="N63" s="1028">
        <v>830876</v>
      </c>
      <c r="O63" s="1028">
        <v>830876</v>
      </c>
      <c r="Q63" s="1028">
        <v>0</v>
      </c>
      <c r="T63" s="1028">
        <v>0</v>
      </c>
      <c r="X63" s="1028">
        <v>0</v>
      </c>
      <c r="Y63" s="1028">
        <v>0</v>
      </c>
      <c r="AB63" s="1028">
        <v>0</v>
      </c>
      <c r="AF63" s="1028">
        <v>0</v>
      </c>
      <c r="AK63" s="1028">
        <v>0</v>
      </c>
      <c r="AO63" s="1028">
        <v>3172186</v>
      </c>
      <c r="AP63" s="1028">
        <v>515904</v>
      </c>
      <c r="AQ63" s="1028">
        <v>2656282</v>
      </c>
      <c r="AR63" s="1028">
        <v>2656282</v>
      </c>
      <c r="AS63" s="1028">
        <v>0</v>
      </c>
      <c r="AY63" s="1028">
        <v>57546282</v>
      </c>
      <c r="AZ63" s="1028">
        <v>0</v>
      </c>
      <c r="BC63" s="1028">
        <v>0</v>
      </c>
      <c r="BD63" s="1028">
        <v>57546282</v>
      </c>
      <c r="BE63" s="1028">
        <v>0</v>
      </c>
      <c r="BL63" s="1028">
        <v>0</v>
      </c>
      <c r="BM63" s="1028">
        <v>0</v>
      </c>
      <c r="BT63" s="1028">
        <v>0</v>
      </c>
      <c r="BU63" s="1028">
        <v>0</v>
      </c>
      <c r="CC63" s="1028">
        <v>0</v>
      </c>
      <c r="CD63" s="1028">
        <v>0</v>
      </c>
      <c r="CF63" s="1028">
        <v>0</v>
      </c>
      <c r="CJ63" s="1028">
        <v>0</v>
      </c>
      <c r="CL63" s="1028">
        <v>0</v>
      </c>
      <c r="CM63" s="1028">
        <v>0</v>
      </c>
      <c r="CQ63" s="1028">
        <v>0</v>
      </c>
      <c r="CS63" s="1028">
        <v>0</v>
      </c>
      <c r="CU63" s="1028">
        <v>109306365</v>
      </c>
      <c r="CV63" s="1028">
        <v>108779187</v>
      </c>
      <c r="CW63" s="1028">
        <v>527178</v>
      </c>
      <c r="CY63" s="1028">
        <v>0</v>
      </c>
      <c r="DA63" s="1028">
        <v>0</v>
      </c>
      <c r="DE63" s="1028">
        <v>0</v>
      </c>
      <c r="DI63" s="1028">
        <v>0</v>
      </c>
      <c r="DN63" s="1028">
        <v>0</v>
      </c>
      <c r="DP63" s="1028">
        <v>0</v>
      </c>
      <c r="DT63" s="1028">
        <v>0</v>
      </c>
      <c r="DY63" s="1028">
        <v>6314154</v>
      </c>
      <c r="EA63" s="1028">
        <v>0</v>
      </c>
      <c r="EB63" s="1028">
        <v>0</v>
      </c>
      <c r="ED63" s="1028">
        <v>6245876</v>
      </c>
      <c r="EE63" s="1028">
        <v>68278</v>
      </c>
      <c r="EH63" s="1028">
        <v>8201634</v>
      </c>
      <c r="EI63" s="1028">
        <v>2572706</v>
      </c>
      <c r="EJ63" s="1028">
        <v>5001615</v>
      </c>
      <c r="EK63" s="1028">
        <v>627313</v>
      </c>
      <c r="EM63" s="1028">
        <v>16706638</v>
      </c>
      <c r="ES63" s="1029">
        <v>243298120</v>
      </c>
    </row>
    <row r="64" spans="5:150">
      <c r="E64" s="1408">
        <v>43525</v>
      </c>
      <c r="G64" s="1364">
        <v>759170</v>
      </c>
      <c r="I64" s="1028">
        <v>31836055</v>
      </c>
      <c r="J64" s="1028">
        <v>31836055</v>
      </c>
      <c r="M64" s="1028">
        <v>928502</v>
      </c>
      <c r="N64" s="1028">
        <v>928502</v>
      </c>
      <c r="O64" s="1028">
        <v>928502</v>
      </c>
      <c r="Q64" s="1028">
        <v>0</v>
      </c>
      <c r="T64" s="1028">
        <v>0</v>
      </c>
      <c r="X64" s="1028">
        <v>0</v>
      </c>
      <c r="Y64" s="1028">
        <v>0</v>
      </c>
      <c r="AB64" s="1028">
        <v>0</v>
      </c>
      <c r="AF64" s="1028">
        <v>0</v>
      </c>
      <c r="AK64" s="1028">
        <v>0</v>
      </c>
      <c r="AO64" s="1028">
        <v>3923151</v>
      </c>
      <c r="AP64" s="1028">
        <v>612289</v>
      </c>
      <c r="AQ64" s="1028">
        <v>3310862</v>
      </c>
      <c r="AR64" s="1028">
        <v>3310862</v>
      </c>
      <c r="AS64" s="1028">
        <v>0</v>
      </c>
      <c r="AY64" s="1028">
        <v>57529157</v>
      </c>
      <c r="AZ64" s="1028">
        <v>0</v>
      </c>
      <c r="BC64" s="1028">
        <v>0</v>
      </c>
      <c r="BD64" s="1028">
        <v>57529157</v>
      </c>
      <c r="BE64" s="1028">
        <v>0</v>
      </c>
      <c r="BL64" s="1028">
        <v>0</v>
      </c>
      <c r="BM64" s="1028">
        <v>0</v>
      </c>
      <c r="BT64" s="1028">
        <v>0</v>
      </c>
      <c r="BU64" s="1028">
        <v>0</v>
      </c>
      <c r="CC64" s="1028">
        <v>0</v>
      </c>
      <c r="CD64" s="1028">
        <v>0</v>
      </c>
      <c r="CF64" s="1028">
        <v>0</v>
      </c>
      <c r="CJ64" s="1028">
        <v>0</v>
      </c>
      <c r="CL64" s="1028">
        <v>0</v>
      </c>
      <c r="CM64" s="1028">
        <v>0</v>
      </c>
      <c r="CQ64" s="1028">
        <v>0</v>
      </c>
      <c r="CS64" s="1028">
        <v>0</v>
      </c>
      <c r="CU64" s="1028">
        <v>109666253</v>
      </c>
      <c r="CV64" s="1028">
        <v>108943904</v>
      </c>
      <c r="CW64" s="1028">
        <v>722349</v>
      </c>
      <c r="CY64" s="1028">
        <v>0</v>
      </c>
      <c r="DA64" s="1028">
        <v>0</v>
      </c>
      <c r="DE64" s="1028">
        <v>0</v>
      </c>
      <c r="DI64" s="1028">
        <v>0</v>
      </c>
      <c r="DN64" s="1028">
        <v>0</v>
      </c>
      <c r="DP64" s="1028">
        <v>0</v>
      </c>
      <c r="DT64" s="1028">
        <v>0</v>
      </c>
      <c r="DY64" s="1028">
        <v>3797920</v>
      </c>
      <c r="EA64" s="1028">
        <v>0</v>
      </c>
      <c r="EB64" s="1028">
        <v>0</v>
      </c>
      <c r="ED64" s="1028">
        <v>3716685</v>
      </c>
      <c r="EE64" s="1028">
        <v>81235</v>
      </c>
      <c r="EH64" s="1028">
        <v>8091167</v>
      </c>
      <c r="EI64" s="1028">
        <v>2568021</v>
      </c>
      <c r="EJ64" s="1028">
        <v>4912292</v>
      </c>
      <c r="EK64" s="1028">
        <v>610854</v>
      </c>
      <c r="EM64" s="1028">
        <v>18612431</v>
      </c>
      <c r="ES64" s="1029">
        <v>235143806</v>
      </c>
    </row>
    <row r="65" spans="5:149">
      <c r="E65" s="1408">
        <v>43556</v>
      </c>
      <c r="G65" s="1364">
        <v>673311</v>
      </c>
      <c r="I65" s="1028">
        <v>53624000</v>
      </c>
      <c r="J65" s="1028">
        <v>53624000</v>
      </c>
      <c r="M65" s="1028">
        <v>1740460</v>
      </c>
      <c r="N65" s="1028">
        <v>1740460</v>
      </c>
      <c r="O65" s="1028">
        <v>1740460</v>
      </c>
      <c r="Q65" s="1028">
        <v>0</v>
      </c>
      <c r="T65" s="1028">
        <v>0</v>
      </c>
      <c r="X65" s="1028">
        <v>0</v>
      </c>
      <c r="Y65" s="1028">
        <v>0</v>
      </c>
      <c r="AB65" s="1028">
        <v>0</v>
      </c>
      <c r="AF65" s="1028">
        <v>0</v>
      </c>
      <c r="AK65" s="1028">
        <v>0</v>
      </c>
      <c r="AO65" s="1028">
        <v>3456672</v>
      </c>
      <c r="AP65" s="1028">
        <v>940729</v>
      </c>
      <c r="AQ65" s="1028">
        <v>2515943</v>
      </c>
      <c r="AR65" s="1028">
        <v>2515943</v>
      </c>
      <c r="AS65" s="1028">
        <v>0</v>
      </c>
      <c r="AY65" s="1028">
        <v>54829170</v>
      </c>
      <c r="AZ65" s="1028">
        <v>0</v>
      </c>
      <c r="BC65" s="1028">
        <v>0</v>
      </c>
      <c r="BD65" s="1028">
        <v>54829170</v>
      </c>
      <c r="BE65" s="1028">
        <v>0</v>
      </c>
      <c r="BL65" s="1028">
        <v>0</v>
      </c>
      <c r="BM65" s="1028">
        <v>0</v>
      </c>
      <c r="BT65" s="1028">
        <v>0</v>
      </c>
      <c r="BU65" s="1028">
        <v>0</v>
      </c>
      <c r="CC65" s="1028">
        <v>0</v>
      </c>
      <c r="CD65" s="1028">
        <v>0</v>
      </c>
      <c r="CF65" s="1028">
        <v>0</v>
      </c>
      <c r="CJ65" s="1028">
        <v>0</v>
      </c>
      <c r="CL65" s="1028">
        <v>0</v>
      </c>
      <c r="CM65" s="1028">
        <v>0</v>
      </c>
      <c r="CQ65" s="1028">
        <v>1810801</v>
      </c>
      <c r="CS65" s="1028">
        <v>1810801</v>
      </c>
      <c r="CU65" s="1028">
        <v>111483565</v>
      </c>
      <c r="CV65" s="1028">
        <v>110832124</v>
      </c>
      <c r="CW65" s="1028">
        <v>651441</v>
      </c>
      <c r="CY65" s="1028">
        <v>0</v>
      </c>
      <c r="DA65" s="1028">
        <v>0</v>
      </c>
      <c r="DE65" s="1028">
        <v>0</v>
      </c>
      <c r="DI65" s="1028">
        <v>0</v>
      </c>
      <c r="DN65" s="1028">
        <v>0</v>
      </c>
      <c r="DP65" s="1028">
        <v>0</v>
      </c>
      <c r="DT65" s="1028">
        <v>0</v>
      </c>
      <c r="DY65" s="1028">
        <v>3860447</v>
      </c>
      <c r="EA65" s="1028">
        <v>0</v>
      </c>
      <c r="EB65" s="1028">
        <v>0</v>
      </c>
      <c r="ED65" s="1028">
        <v>3772830</v>
      </c>
      <c r="EE65" s="1028">
        <v>87617</v>
      </c>
      <c r="EH65" s="1028">
        <v>7954599</v>
      </c>
      <c r="EI65" s="1028">
        <v>2563336</v>
      </c>
      <c r="EJ65" s="1028">
        <v>4796869</v>
      </c>
      <c r="EK65" s="1028">
        <v>594394</v>
      </c>
      <c r="EM65" s="1028">
        <v>22467555</v>
      </c>
      <c r="ES65" s="1029">
        <v>261900580</v>
      </c>
    </row>
    <row r="66" spans="5:149">
      <c r="E66" s="1408">
        <v>43586</v>
      </c>
      <c r="G66" s="1364">
        <v>146826</v>
      </c>
      <c r="I66" s="1028">
        <v>38479073</v>
      </c>
      <c r="J66" s="1028">
        <v>38479073</v>
      </c>
      <c r="M66" s="1028">
        <v>7010596</v>
      </c>
      <c r="N66" s="1028">
        <v>7010596</v>
      </c>
      <c r="O66" s="1028">
        <v>7010596</v>
      </c>
      <c r="Q66" s="1028">
        <v>0</v>
      </c>
      <c r="T66" s="1028">
        <v>0</v>
      </c>
      <c r="X66" s="1028">
        <v>0</v>
      </c>
      <c r="Y66" s="1028">
        <v>0</v>
      </c>
      <c r="AB66" s="1028">
        <v>0</v>
      </c>
      <c r="AF66" s="1028">
        <v>0</v>
      </c>
      <c r="AK66" s="1028">
        <v>0</v>
      </c>
      <c r="AO66" s="1028">
        <v>4547440</v>
      </c>
      <c r="AP66" s="1028">
        <v>1134277</v>
      </c>
      <c r="AQ66" s="1028">
        <v>3413163</v>
      </c>
      <c r="AR66" s="1028">
        <v>3413163</v>
      </c>
      <c r="AS66" s="1028">
        <v>0</v>
      </c>
      <c r="AY66" s="1028">
        <v>54826362</v>
      </c>
      <c r="AZ66" s="1028">
        <v>0</v>
      </c>
      <c r="BC66" s="1028">
        <v>0</v>
      </c>
      <c r="BD66" s="1028">
        <v>54826362</v>
      </c>
      <c r="BE66" s="1028">
        <v>0</v>
      </c>
      <c r="BL66" s="1028">
        <v>0</v>
      </c>
      <c r="BM66" s="1028">
        <v>0</v>
      </c>
      <c r="BT66" s="1028">
        <v>0</v>
      </c>
      <c r="BU66" s="1028">
        <v>0</v>
      </c>
      <c r="CC66" s="1028">
        <v>0</v>
      </c>
      <c r="CD66" s="1028">
        <v>0</v>
      </c>
      <c r="CF66" s="1028">
        <v>0</v>
      </c>
      <c r="CJ66" s="1028">
        <v>0</v>
      </c>
      <c r="CL66" s="1028">
        <v>0</v>
      </c>
      <c r="CM66" s="1028">
        <v>0</v>
      </c>
      <c r="CQ66" s="1028">
        <v>4773008</v>
      </c>
      <c r="CS66" s="1028">
        <v>4773008</v>
      </c>
      <c r="CU66" s="1028">
        <v>114998969</v>
      </c>
      <c r="CV66" s="1028">
        <v>113658467</v>
      </c>
      <c r="CW66" s="1028">
        <v>1340502</v>
      </c>
      <c r="CY66" s="1028">
        <v>0</v>
      </c>
      <c r="DA66" s="1028">
        <v>0</v>
      </c>
      <c r="DE66" s="1028">
        <v>0</v>
      </c>
      <c r="DI66" s="1028">
        <v>0</v>
      </c>
      <c r="DN66" s="1028">
        <v>0</v>
      </c>
      <c r="DP66" s="1028">
        <v>0</v>
      </c>
      <c r="DT66" s="1028">
        <v>0</v>
      </c>
      <c r="DY66" s="1028">
        <v>6280220</v>
      </c>
      <c r="EA66" s="1028">
        <v>0</v>
      </c>
      <c r="EB66" s="1028">
        <v>0</v>
      </c>
      <c r="ED66" s="1028">
        <v>6139538</v>
      </c>
      <c r="EE66" s="1028">
        <v>140682</v>
      </c>
      <c r="EH66" s="1028">
        <v>7849437</v>
      </c>
      <c r="EI66" s="1028">
        <v>2558651</v>
      </c>
      <c r="EJ66" s="1028">
        <v>4713582</v>
      </c>
      <c r="EK66" s="1028">
        <v>577204</v>
      </c>
      <c r="EM66" s="1028">
        <v>23753552</v>
      </c>
      <c r="ES66" s="1029">
        <v>262665483</v>
      </c>
    </row>
    <row r="67" spans="5:149">
      <c r="E67" s="1408">
        <v>43617</v>
      </c>
      <c r="G67" s="1364">
        <v>292834</v>
      </c>
      <c r="I67" s="1028">
        <v>50957217</v>
      </c>
      <c r="J67" s="1028">
        <v>50957217</v>
      </c>
      <c r="M67" s="1028">
        <v>2291681</v>
      </c>
      <c r="N67" s="1028">
        <v>2291681</v>
      </c>
      <c r="O67" s="1028">
        <v>2291681</v>
      </c>
      <c r="Q67" s="1028">
        <v>0</v>
      </c>
      <c r="T67" s="1028">
        <v>0</v>
      </c>
      <c r="X67" s="1028">
        <v>0</v>
      </c>
      <c r="Y67" s="1028">
        <v>0</v>
      </c>
      <c r="AB67" s="1028">
        <v>0</v>
      </c>
      <c r="AF67" s="1028">
        <v>0</v>
      </c>
      <c r="AK67" s="1028">
        <v>0</v>
      </c>
      <c r="AO67" s="1028">
        <v>7281754</v>
      </c>
      <c r="AP67" s="1028">
        <v>1725314</v>
      </c>
      <c r="AQ67" s="1028">
        <v>5556440</v>
      </c>
      <c r="AR67" s="1028">
        <v>5556440</v>
      </c>
      <c r="AS67" s="1028">
        <v>0</v>
      </c>
      <c r="AY67" s="1028">
        <v>51861844</v>
      </c>
      <c r="AZ67" s="1028">
        <v>0</v>
      </c>
      <c r="BC67" s="1028">
        <v>0</v>
      </c>
      <c r="BD67" s="1028">
        <v>51861844</v>
      </c>
      <c r="BE67" s="1028">
        <v>0</v>
      </c>
      <c r="BL67" s="1028">
        <v>0</v>
      </c>
      <c r="BM67" s="1028">
        <v>0</v>
      </c>
      <c r="BT67" s="1028">
        <v>0</v>
      </c>
      <c r="BU67" s="1028">
        <v>0</v>
      </c>
      <c r="CC67" s="1028">
        <v>0</v>
      </c>
      <c r="CD67" s="1028">
        <v>0</v>
      </c>
      <c r="CF67" s="1028">
        <v>0</v>
      </c>
      <c r="CJ67" s="1028">
        <v>0</v>
      </c>
      <c r="CL67" s="1028">
        <v>0</v>
      </c>
      <c r="CM67" s="1028">
        <v>0</v>
      </c>
      <c r="CQ67" s="1028">
        <v>3785325</v>
      </c>
      <c r="CS67" s="1028">
        <v>3785325</v>
      </c>
      <c r="CU67" s="1028">
        <v>115681652</v>
      </c>
      <c r="CV67" s="1028">
        <v>114708069</v>
      </c>
      <c r="CW67" s="1028">
        <v>973583</v>
      </c>
      <c r="CY67" s="1028">
        <v>0</v>
      </c>
      <c r="DA67" s="1028">
        <v>0</v>
      </c>
      <c r="DE67" s="1028">
        <v>0</v>
      </c>
      <c r="DI67" s="1028">
        <v>0</v>
      </c>
      <c r="DN67" s="1028">
        <v>0</v>
      </c>
      <c r="DP67" s="1028">
        <v>0</v>
      </c>
      <c r="DT67" s="1028">
        <v>0</v>
      </c>
      <c r="DY67" s="1028">
        <v>6766090</v>
      </c>
      <c r="EA67" s="1028">
        <v>0</v>
      </c>
      <c r="EB67" s="1028">
        <v>0</v>
      </c>
      <c r="ED67" s="1028">
        <v>6585410</v>
      </c>
      <c r="EE67" s="1028">
        <v>180680</v>
      </c>
      <c r="EH67" s="1028">
        <v>7826486</v>
      </c>
      <c r="EI67" s="1028">
        <v>2553966</v>
      </c>
      <c r="EJ67" s="1028">
        <v>4711128</v>
      </c>
      <c r="EK67" s="1028">
        <v>561392</v>
      </c>
      <c r="EM67" s="1028">
        <v>25312867</v>
      </c>
      <c r="ES67" s="1029">
        <v>272057750</v>
      </c>
    </row>
    <row r="68" spans="5:149">
      <c r="E68" s="1408">
        <v>43647</v>
      </c>
      <c r="G68" s="1364">
        <v>1184134</v>
      </c>
      <c r="I68" s="1028">
        <v>48866669</v>
      </c>
      <c r="J68" s="1028">
        <v>48866669</v>
      </c>
      <c r="M68" s="1028">
        <v>3551625</v>
      </c>
      <c r="N68" s="1028">
        <v>3551625</v>
      </c>
      <c r="O68" s="1028">
        <v>3551625</v>
      </c>
      <c r="Q68" s="1028">
        <v>0</v>
      </c>
      <c r="T68" s="1028">
        <v>0</v>
      </c>
      <c r="X68" s="1028">
        <v>0</v>
      </c>
      <c r="Y68" s="1028">
        <v>0</v>
      </c>
      <c r="AB68" s="1028">
        <v>0</v>
      </c>
      <c r="AF68" s="1028">
        <v>0</v>
      </c>
      <c r="AK68" s="1028">
        <v>0</v>
      </c>
      <c r="AO68" s="1028">
        <v>6759639</v>
      </c>
      <c r="AP68" s="1028">
        <v>2739514</v>
      </c>
      <c r="AQ68" s="1028">
        <v>4020125</v>
      </c>
      <c r="AR68" s="1028">
        <v>4020125</v>
      </c>
      <c r="AS68" s="1028">
        <v>0</v>
      </c>
      <c r="AY68" s="1028">
        <v>61729792</v>
      </c>
      <c r="AZ68" s="1028">
        <v>0</v>
      </c>
      <c r="BC68" s="1028">
        <v>9870583</v>
      </c>
      <c r="BD68" s="1028">
        <v>51859209</v>
      </c>
      <c r="BE68" s="1028">
        <v>0</v>
      </c>
      <c r="BL68" s="1028">
        <v>0</v>
      </c>
      <c r="BM68" s="1028">
        <v>0</v>
      </c>
      <c r="BT68" s="1028">
        <v>0</v>
      </c>
      <c r="BU68" s="1028">
        <v>0</v>
      </c>
      <c r="CC68" s="1028">
        <v>0</v>
      </c>
      <c r="CD68" s="1028">
        <v>0</v>
      </c>
      <c r="CF68" s="1028">
        <v>0</v>
      </c>
      <c r="CJ68" s="1028">
        <v>0</v>
      </c>
      <c r="CL68" s="1028">
        <v>0</v>
      </c>
      <c r="CM68" s="1028">
        <v>0</v>
      </c>
      <c r="CQ68" s="1028">
        <v>3783496</v>
      </c>
      <c r="CS68" s="1028">
        <v>3783496</v>
      </c>
      <c r="CU68" s="1028">
        <v>114876279</v>
      </c>
      <c r="CV68" s="1028">
        <v>113521570</v>
      </c>
      <c r="CW68" s="1028">
        <v>1354709</v>
      </c>
      <c r="CY68" s="1028">
        <v>0</v>
      </c>
      <c r="DA68" s="1028">
        <v>0</v>
      </c>
      <c r="DE68" s="1028">
        <v>0</v>
      </c>
      <c r="DI68" s="1028">
        <v>0</v>
      </c>
      <c r="DN68" s="1028">
        <v>0</v>
      </c>
      <c r="DP68" s="1028">
        <v>0</v>
      </c>
      <c r="DT68" s="1028">
        <v>0</v>
      </c>
      <c r="DY68" s="1028">
        <v>5819839</v>
      </c>
      <c r="EA68" s="1028">
        <v>0</v>
      </c>
      <c r="EB68" s="1028">
        <v>0</v>
      </c>
      <c r="ED68" s="1028">
        <v>5533982</v>
      </c>
      <c r="EE68" s="1028">
        <v>285857</v>
      </c>
      <c r="EH68" s="1028">
        <v>38840796</v>
      </c>
      <c r="EI68" s="1028">
        <v>16827202</v>
      </c>
      <c r="EJ68" s="1028">
        <v>15091749</v>
      </c>
      <c r="EK68" s="1028">
        <v>6921845</v>
      </c>
      <c r="EM68" s="1028">
        <v>33358179</v>
      </c>
      <c r="ES68" s="1029">
        <v>318770448</v>
      </c>
    </row>
    <row r="69" spans="5:149">
      <c r="E69" s="1408">
        <v>43678</v>
      </c>
      <c r="G69" s="1364">
        <v>113426</v>
      </c>
      <c r="I69" s="1028">
        <v>74060544</v>
      </c>
      <c r="J69" s="1028">
        <v>74060544</v>
      </c>
      <c r="M69" s="1028">
        <v>3021493</v>
      </c>
      <c r="N69" s="1028">
        <v>3021493</v>
      </c>
      <c r="O69" s="1028">
        <v>3021493</v>
      </c>
      <c r="Q69" s="1028">
        <v>0</v>
      </c>
      <c r="T69" s="1028">
        <v>0</v>
      </c>
      <c r="X69" s="1028">
        <v>0</v>
      </c>
      <c r="Y69" s="1028">
        <v>0</v>
      </c>
      <c r="AB69" s="1028">
        <v>0</v>
      </c>
      <c r="AF69" s="1028">
        <v>0</v>
      </c>
      <c r="AK69" s="1028">
        <v>0</v>
      </c>
      <c r="AO69" s="1028">
        <v>11853444</v>
      </c>
      <c r="AP69" s="1028">
        <v>1895888</v>
      </c>
      <c r="AQ69" s="1028">
        <v>9957556</v>
      </c>
      <c r="AR69" s="1028">
        <v>9957556</v>
      </c>
      <c r="AS69" s="1028">
        <v>0</v>
      </c>
      <c r="AY69" s="1028">
        <v>52504167</v>
      </c>
      <c r="AZ69" s="1028">
        <v>0</v>
      </c>
      <c r="BC69" s="1028">
        <v>9869836</v>
      </c>
      <c r="BD69" s="1028">
        <v>42634331</v>
      </c>
      <c r="BE69" s="1028">
        <v>0</v>
      </c>
      <c r="BL69" s="1028">
        <v>0</v>
      </c>
      <c r="BM69" s="1028">
        <v>0</v>
      </c>
      <c r="BT69" s="1028">
        <v>0</v>
      </c>
      <c r="BU69" s="1028">
        <v>0</v>
      </c>
      <c r="CC69" s="1028">
        <v>0</v>
      </c>
      <c r="CD69" s="1028">
        <v>0</v>
      </c>
      <c r="CF69" s="1028">
        <v>0</v>
      </c>
      <c r="CJ69" s="1028">
        <v>0</v>
      </c>
      <c r="CL69" s="1028">
        <v>0</v>
      </c>
      <c r="CM69" s="1028">
        <v>0</v>
      </c>
      <c r="CQ69" s="1028">
        <v>9710246</v>
      </c>
      <c r="CS69" s="1028">
        <v>9710246</v>
      </c>
      <c r="CU69" s="1028">
        <v>115915080</v>
      </c>
      <c r="CV69" s="1028">
        <v>114420709</v>
      </c>
      <c r="CW69" s="1028">
        <v>1494371</v>
      </c>
      <c r="CY69" s="1028">
        <v>0</v>
      </c>
      <c r="DA69" s="1028">
        <v>0</v>
      </c>
      <c r="DE69" s="1028">
        <v>0</v>
      </c>
      <c r="DI69" s="1028">
        <v>0</v>
      </c>
      <c r="DN69" s="1028">
        <v>0</v>
      </c>
      <c r="DP69" s="1028">
        <v>0</v>
      </c>
      <c r="DT69" s="1028">
        <v>0</v>
      </c>
      <c r="DY69" s="1028">
        <v>4886735</v>
      </c>
      <c r="EA69" s="1028">
        <v>0</v>
      </c>
      <c r="EB69" s="1028">
        <v>0</v>
      </c>
      <c r="ED69" s="1028">
        <v>4497359</v>
      </c>
      <c r="EE69" s="1028">
        <v>389376</v>
      </c>
      <c r="EH69" s="1028">
        <v>48135081</v>
      </c>
      <c r="EI69" s="1028">
        <v>16798233</v>
      </c>
      <c r="EJ69" s="1028">
        <v>24041656</v>
      </c>
      <c r="EK69" s="1028">
        <v>7295192</v>
      </c>
      <c r="EM69" s="1028">
        <v>46073090</v>
      </c>
      <c r="ES69" s="1029">
        <v>366273306</v>
      </c>
    </row>
    <row r="70" spans="5:149">
      <c r="E70" s="1408">
        <v>43709</v>
      </c>
      <c r="G70" s="1364">
        <v>199418</v>
      </c>
      <c r="I70" s="1028">
        <v>49125677</v>
      </c>
      <c r="J70" s="1028">
        <v>49125677</v>
      </c>
      <c r="M70" s="1028">
        <v>80190</v>
      </c>
      <c r="N70" s="1028">
        <v>80190</v>
      </c>
      <c r="O70" s="1028">
        <v>80190</v>
      </c>
      <c r="Q70" s="1028">
        <v>0</v>
      </c>
      <c r="T70" s="1028">
        <v>0</v>
      </c>
      <c r="X70" s="1028">
        <v>0</v>
      </c>
      <c r="Y70" s="1028">
        <v>0</v>
      </c>
      <c r="AB70" s="1028">
        <v>0</v>
      </c>
      <c r="AF70" s="1028">
        <v>0</v>
      </c>
      <c r="AK70" s="1028">
        <v>0</v>
      </c>
      <c r="AO70" s="1028">
        <v>23772406</v>
      </c>
      <c r="AP70" s="1028">
        <v>12769281</v>
      </c>
      <c r="AQ70" s="1028">
        <v>11003125</v>
      </c>
      <c r="AR70" s="1028">
        <v>11003125</v>
      </c>
      <c r="AS70" s="1028">
        <v>0</v>
      </c>
      <c r="AY70" s="1028">
        <v>66662792</v>
      </c>
      <c r="AZ70" s="1028">
        <v>0</v>
      </c>
      <c r="BC70" s="1028">
        <v>9869112</v>
      </c>
      <c r="BD70" s="1028">
        <v>56793680</v>
      </c>
      <c r="BE70" s="1028">
        <v>0</v>
      </c>
      <c r="BL70" s="1028">
        <v>0</v>
      </c>
      <c r="BM70" s="1028">
        <v>0</v>
      </c>
      <c r="BT70" s="1028">
        <v>0</v>
      </c>
      <c r="BU70" s="1028">
        <v>0</v>
      </c>
      <c r="CC70" s="1028">
        <v>0</v>
      </c>
      <c r="CD70" s="1028">
        <v>0</v>
      </c>
      <c r="CF70" s="1028">
        <v>0</v>
      </c>
      <c r="CJ70" s="1028">
        <v>0</v>
      </c>
      <c r="CL70" s="1028">
        <v>0</v>
      </c>
      <c r="CM70" s="1028">
        <v>0</v>
      </c>
      <c r="CQ70" s="1028">
        <v>5760046</v>
      </c>
      <c r="CS70" s="1028">
        <v>5760046</v>
      </c>
      <c r="CU70" s="1028">
        <v>118684418</v>
      </c>
      <c r="CV70" s="1028">
        <v>116844084</v>
      </c>
      <c r="CW70" s="1028">
        <v>1840334</v>
      </c>
      <c r="CY70" s="1028">
        <v>0</v>
      </c>
      <c r="DA70" s="1028">
        <v>0</v>
      </c>
      <c r="DE70" s="1028">
        <v>0</v>
      </c>
      <c r="DI70" s="1028">
        <v>0</v>
      </c>
      <c r="DN70" s="1028">
        <v>0</v>
      </c>
      <c r="DP70" s="1028">
        <v>0</v>
      </c>
      <c r="DT70" s="1028">
        <v>0</v>
      </c>
      <c r="DY70" s="1028">
        <v>6996600</v>
      </c>
      <c r="EA70" s="1028">
        <v>0</v>
      </c>
      <c r="EB70" s="1028">
        <v>0</v>
      </c>
      <c r="ED70" s="1028">
        <v>6491448</v>
      </c>
      <c r="EE70" s="1028">
        <v>505152</v>
      </c>
      <c r="EH70" s="1028">
        <v>48861485</v>
      </c>
      <c r="EI70" s="1028">
        <v>16769263</v>
      </c>
      <c r="EJ70" s="1028">
        <v>24719196</v>
      </c>
      <c r="EK70" s="1028">
        <v>7373026</v>
      </c>
      <c r="EM70" s="1028">
        <v>48107095</v>
      </c>
      <c r="ES70" s="1029">
        <v>368250127</v>
      </c>
    </row>
    <row r="71" spans="5:149">
      <c r="E71" s="1408">
        <v>43739</v>
      </c>
      <c r="G71" s="1364">
        <v>26540</v>
      </c>
      <c r="I71" s="1028">
        <v>77052084</v>
      </c>
      <c r="J71" s="1028">
        <v>77052084</v>
      </c>
      <c r="M71" s="1028">
        <v>-623314</v>
      </c>
      <c r="N71" s="1028">
        <v>-623314</v>
      </c>
      <c r="O71" s="1028">
        <v>-623314</v>
      </c>
      <c r="Q71" s="1028">
        <v>0</v>
      </c>
      <c r="T71" s="1028">
        <v>0</v>
      </c>
      <c r="X71" s="1028">
        <v>0</v>
      </c>
      <c r="Y71" s="1028">
        <v>0</v>
      </c>
      <c r="AB71" s="1028">
        <v>0</v>
      </c>
      <c r="AF71" s="1028">
        <v>0</v>
      </c>
      <c r="AK71" s="1028">
        <v>0</v>
      </c>
      <c r="AO71" s="1028">
        <v>29295003</v>
      </c>
      <c r="AP71" s="1028">
        <v>4917164</v>
      </c>
      <c r="AQ71" s="1028">
        <v>24377839</v>
      </c>
      <c r="AR71" s="1028">
        <v>24377839</v>
      </c>
      <c r="AS71" s="1028">
        <v>0</v>
      </c>
      <c r="AY71" s="1028">
        <v>61663262</v>
      </c>
      <c r="AZ71" s="1028">
        <v>0</v>
      </c>
      <c r="BC71" s="1028">
        <v>6908533</v>
      </c>
      <c r="BD71" s="1028">
        <v>54754729</v>
      </c>
      <c r="BE71" s="1028">
        <v>0</v>
      </c>
      <c r="BL71" s="1028">
        <v>0</v>
      </c>
      <c r="BM71" s="1028">
        <v>0</v>
      </c>
      <c r="BT71" s="1028">
        <v>0</v>
      </c>
      <c r="BU71" s="1028">
        <v>0</v>
      </c>
      <c r="CC71" s="1028">
        <v>0</v>
      </c>
      <c r="CD71" s="1028">
        <v>0</v>
      </c>
      <c r="CF71" s="1028">
        <v>0</v>
      </c>
      <c r="CJ71" s="1028">
        <v>0</v>
      </c>
      <c r="CL71" s="1028">
        <v>0</v>
      </c>
      <c r="CM71" s="1028">
        <v>0</v>
      </c>
      <c r="CQ71" s="1028">
        <v>3889888</v>
      </c>
      <c r="CS71" s="1028">
        <v>3889888</v>
      </c>
      <c r="CU71" s="1028">
        <v>125891240</v>
      </c>
      <c r="CV71" s="1028">
        <v>123511050</v>
      </c>
      <c r="CW71" s="1028">
        <v>2380190</v>
      </c>
      <c r="CY71" s="1028">
        <v>0</v>
      </c>
      <c r="DA71" s="1028">
        <v>0</v>
      </c>
      <c r="DE71" s="1028">
        <v>0</v>
      </c>
      <c r="DI71" s="1028">
        <v>0</v>
      </c>
      <c r="DN71" s="1028">
        <v>0</v>
      </c>
      <c r="DP71" s="1028">
        <v>0</v>
      </c>
      <c r="DT71" s="1028">
        <v>0</v>
      </c>
      <c r="DY71" s="1028">
        <v>6443365</v>
      </c>
      <c r="EA71" s="1028">
        <v>0</v>
      </c>
      <c r="EB71" s="1028">
        <v>0</v>
      </c>
      <c r="ED71" s="1028">
        <v>5918087</v>
      </c>
      <c r="EE71" s="1028">
        <v>525278</v>
      </c>
      <c r="EH71" s="1028">
        <v>58744610</v>
      </c>
      <c r="EI71" s="1028">
        <v>16740294</v>
      </c>
      <c r="EJ71" s="1028">
        <v>30885247</v>
      </c>
      <c r="EK71" s="1028">
        <v>11119069</v>
      </c>
      <c r="EM71" s="1028">
        <v>54233315</v>
      </c>
      <c r="ES71" s="1029">
        <v>416615993</v>
      </c>
    </row>
    <row r="72" spans="5:149">
      <c r="E72" s="1408">
        <v>43770</v>
      </c>
      <c r="G72" s="1364">
        <v>3005417</v>
      </c>
      <c r="I72" s="1028">
        <v>113851682</v>
      </c>
      <c r="J72" s="1028">
        <v>113851682</v>
      </c>
      <c r="M72" s="1028">
        <v>921441</v>
      </c>
      <c r="N72" s="1028">
        <v>921441</v>
      </c>
      <c r="O72" s="1028">
        <v>921441</v>
      </c>
      <c r="Q72" s="1028">
        <v>0</v>
      </c>
      <c r="T72" s="1028">
        <v>0</v>
      </c>
      <c r="X72" s="1028">
        <v>0</v>
      </c>
      <c r="Y72" s="1028">
        <v>0</v>
      </c>
      <c r="AB72" s="1028">
        <v>0</v>
      </c>
      <c r="AF72" s="1028">
        <v>0</v>
      </c>
      <c r="AK72" s="1028">
        <v>0</v>
      </c>
      <c r="AO72" s="1028">
        <v>22680000</v>
      </c>
      <c r="AP72" s="1028">
        <v>8485075</v>
      </c>
      <c r="AQ72" s="1028">
        <v>14194925</v>
      </c>
      <c r="AR72" s="1028">
        <v>14194925</v>
      </c>
      <c r="AS72" s="1028">
        <v>0</v>
      </c>
      <c r="AY72" s="1028">
        <v>71531719</v>
      </c>
      <c r="AZ72" s="1028">
        <v>0</v>
      </c>
      <c r="BC72" s="1028">
        <v>6906293</v>
      </c>
      <c r="BD72" s="1028">
        <v>64625426</v>
      </c>
      <c r="BE72" s="1028">
        <v>0</v>
      </c>
      <c r="BL72" s="1028">
        <v>0</v>
      </c>
      <c r="BM72" s="1028">
        <v>0</v>
      </c>
      <c r="BT72" s="1028">
        <v>0</v>
      </c>
      <c r="BU72" s="1028">
        <v>0</v>
      </c>
      <c r="CC72" s="1028">
        <v>0</v>
      </c>
      <c r="CD72" s="1028">
        <v>0</v>
      </c>
      <c r="CF72" s="1028">
        <v>0</v>
      </c>
      <c r="CJ72" s="1028">
        <v>0</v>
      </c>
      <c r="CL72" s="1028">
        <v>0</v>
      </c>
      <c r="CM72" s="1028">
        <v>0</v>
      </c>
      <c r="CQ72" s="1028">
        <v>11803988</v>
      </c>
      <c r="CS72" s="1028">
        <v>11803988</v>
      </c>
      <c r="CU72" s="1028">
        <v>129784245</v>
      </c>
      <c r="CV72" s="1028">
        <v>127510021</v>
      </c>
      <c r="CW72" s="1028">
        <v>2274224</v>
      </c>
      <c r="CY72" s="1028">
        <v>0</v>
      </c>
      <c r="DA72" s="1028">
        <v>0</v>
      </c>
      <c r="DE72" s="1028">
        <v>0</v>
      </c>
      <c r="DI72" s="1028">
        <v>0</v>
      </c>
      <c r="DN72" s="1028">
        <v>0</v>
      </c>
      <c r="DP72" s="1028">
        <v>0</v>
      </c>
      <c r="DT72" s="1028">
        <v>0</v>
      </c>
      <c r="DY72" s="1028">
        <v>6391186</v>
      </c>
      <c r="EA72" s="1028">
        <v>0</v>
      </c>
      <c r="EB72" s="1028">
        <v>0</v>
      </c>
      <c r="ED72" s="1028">
        <v>5856242</v>
      </c>
      <c r="EE72" s="1028">
        <v>534944</v>
      </c>
      <c r="EH72" s="1028">
        <v>61689306</v>
      </c>
      <c r="EI72" s="1028">
        <v>16711324</v>
      </c>
      <c r="EJ72" s="1028">
        <v>31969992</v>
      </c>
      <c r="EK72" s="1028">
        <v>13007990</v>
      </c>
      <c r="EM72" s="1028">
        <v>55260663</v>
      </c>
      <c r="ES72" s="1029">
        <v>476919647</v>
      </c>
    </row>
    <row r="73" spans="5:149">
      <c r="E73" s="1408">
        <v>43800</v>
      </c>
      <c r="G73" s="1364">
        <v>2153239</v>
      </c>
      <c r="I73" s="1028">
        <f>+J73+K73</f>
        <v>154510782</v>
      </c>
      <c r="J73" s="1028">
        <v>154510782</v>
      </c>
      <c r="M73" s="1028">
        <f>+N73+Q73+T73</f>
        <v>172534</v>
      </c>
      <c r="N73" s="1028">
        <f>+O73+P73</f>
        <v>172534</v>
      </c>
      <c r="O73" s="1028">
        <v>172534</v>
      </c>
      <c r="Q73" s="1028">
        <f>+R73+S73</f>
        <v>0</v>
      </c>
      <c r="T73" s="1028">
        <f>+U73+V73</f>
        <v>0</v>
      </c>
      <c r="X73" s="1028">
        <f>+Y73+AB73</f>
        <v>0</v>
      </c>
      <c r="Y73" s="1028">
        <f>+Z73+AA73</f>
        <v>0</v>
      </c>
      <c r="AB73" s="1028">
        <f>+AC73+AD73</f>
        <v>0</v>
      </c>
      <c r="AF73" s="1028">
        <f>+AG73+AH73+AI73</f>
        <v>0</v>
      </c>
      <c r="AK73" s="1028">
        <f>+AL73+AM73</f>
        <v>0</v>
      </c>
      <c r="AO73" s="1028">
        <f>+AP73+AQ73+AT73+AU73+AV73+AW73</f>
        <v>27336604</v>
      </c>
      <c r="AP73" s="1028">
        <v>2322173</v>
      </c>
      <c r="AQ73" s="1028">
        <f>+AR73+AS73</f>
        <v>25014431</v>
      </c>
      <c r="AR73" s="1028">
        <v>25014431</v>
      </c>
      <c r="AS73" s="1028">
        <v>0</v>
      </c>
      <c r="AY73" s="1028">
        <f>+AZ73+BC73+BD73+BE73+BJ73</f>
        <v>62965311</v>
      </c>
      <c r="AZ73" s="1028">
        <f>+BA73+BB73</f>
        <v>0</v>
      </c>
      <c r="BC73" s="1028">
        <v>3947706</v>
      </c>
      <c r="BD73" s="1028">
        <v>59017605</v>
      </c>
      <c r="BE73" s="1028">
        <f>+BF73+BG73+BH73+BI73</f>
        <v>0</v>
      </c>
      <c r="BL73" s="1028">
        <f>+BM73+BQ73+BR73</f>
        <v>0</v>
      </c>
      <c r="BM73" s="1028">
        <f>+BN73+BO73+BP73</f>
        <v>0</v>
      </c>
      <c r="BT73" s="1028">
        <f>+BU73+BY73+BZ73+CA73</f>
        <v>0</v>
      </c>
      <c r="BU73" s="1028">
        <f>+BV73+BW73+BX73</f>
        <v>0</v>
      </c>
      <c r="CC73" s="1028">
        <f>+CD73+CJ73</f>
        <v>0</v>
      </c>
      <c r="CD73" s="1028">
        <f>+CE73+CF73+CG73+CH73+CI73</f>
        <v>0</v>
      </c>
      <c r="CF73" s="1028">
        <v>0</v>
      </c>
      <c r="CJ73" s="1028">
        <f>+CK73+CL73+CM73+CN73+CO73</f>
        <v>0</v>
      </c>
      <c r="CL73" s="1028">
        <v>0</v>
      </c>
      <c r="CM73" s="1028">
        <v>0</v>
      </c>
      <c r="CQ73" s="1028">
        <f>+CR73+CS73</f>
        <v>26589136</v>
      </c>
      <c r="CS73" s="1028">
        <v>26589136</v>
      </c>
      <c r="CU73" s="1028">
        <f>+CV73+CW73</f>
        <v>137861074</v>
      </c>
      <c r="CV73" s="1028">
        <v>134257766</v>
      </c>
      <c r="CW73" s="1028">
        <v>3603308</v>
      </c>
      <c r="CY73" s="1028">
        <f>+DA73+DE73+DI73</f>
        <v>0</v>
      </c>
      <c r="DA73" s="1028">
        <f>+DB73+DC73+DD73</f>
        <v>0</v>
      </c>
      <c r="DE73" s="1028">
        <f>+DF73+DG73+DH73</f>
        <v>0</v>
      </c>
      <c r="DI73" s="1028">
        <f>+DJ73+DK73+DL73</f>
        <v>0</v>
      </c>
      <c r="DN73" s="1028">
        <f>+DP73+DT73</f>
        <v>0</v>
      </c>
      <c r="DP73" s="1028">
        <f>+DQ73+DR73+DS73</f>
        <v>0</v>
      </c>
      <c r="DT73" s="1028">
        <f>+DU73+DV73+DW73</f>
        <v>0</v>
      </c>
      <c r="DY73" s="1028">
        <f>+EA73+EB73+EC73+ED73+EE73</f>
        <v>5895703</v>
      </c>
      <c r="EA73" s="1028">
        <v>0</v>
      </c>
      <c r="EB73" s="1028">
        <v>0</v>
      </c>
      <c r="ED73" s="1028">
        <v>5339248</v>
      </c>
      <c r="EE73" s="1028">
        <v>556455</v>
      </c>
      <c r="EH73" s="1028">
        <f>+EI73+EJ73+EK73</f>
        <v>62110181</v>
      </c>
      <c r="EI73" s="1028">
        <v>16682355</v>
      </c>
      <c r="EJ73" s="1028">
        <f>21669198+10770420</f>
        <v>32439618</v>
      </c>
      <c r="EK73" s="1028">
        <v>12988208</v>
      </c>
      <c r="EM73" s="1028">
        <v>61153974</v>
      </c>
      <c r="ES73" s="1029">
        <f>+G73+I73+M73+X73+AF73+AK73+AO73+AY73+BL73+BT73+CC73+CQ73+CU73+CY73+DN73+DY73+EH73+EM73</f>
        <v>540748538</v>
      </c>
    </row>
    <row r="76" spans="5:149">
      <c r="E76" s="1781">
        <v>43831</v>
      </c>
      <c r="G76" s="1364">
        <v>1291638</v>
      </c>
      <c r="I76" s="1028">
        <v>91787456</v>
      </c>
      <c r="J76" s="1028">
        <v>91787456</v>
      </c>
      <c r="M76" s="1028">
        <v>1829217</v>
      </c>
      <c r="N76" s="1028">
        <v>1829217</v>
      </c>
      <c r="O76" s="1028">
        <v>1829217</v>
      </c>
      <c r="Q76" s="1028">
        <v>0</v>
      </c>
      <c r="T76" s="1028">
        <v>0</v>
      </c>
      <c r="X76" s="1028">
        <v>0</v>
      </c>
      <c r="Y76" s="1028">
        <v>0</v>
      </c>
      <c r="AB76" s="1028">
        <v>0</v>
      </c>
      <c r="AF76" s="1028">
        <v>0</v>
      </c>
      <c r="AK76" s="1028">
        <v>0</v>
      </c>
      <c r="AO76" s="1028">
        <v>22330170</v>
      </c>
      <c r="AP76" s="1028">
        <v>8698205</v>
      </c>
      <c r="AQ76" s="1028">
        <v>13631965</v>
      </c>
      <c r="AR76" s="1028">
        <v>13631965</v>
      </c>
      <c r="AS76" s="1028">
        <v>0</v>
      </c>
      <c r="AY76" s="1028">
        <v>59010943</v>
      </c>
      <c r="AZ76" s="1028">
        <v>0</v>
      </c>
      <c r="BC76" s="1028">
        <v>3947404</v>
      </c>
      <c r="BD76" s="1028">
        <v>55063539</v>
      </c>
      <c r="BE76" s="1028">
        <v>0</v>
      </c>
      <c r="BL76" s="1028">
        <v>0</v>
      </c>
      <c r="BM76" s="1028">
        <v>0</v>
      </c>
      <c r="BT76" s="1028">
        <v>0</v>
      </c>
      <c r="BU76" s="1028">
        <v>0</v>
      </c>
      <c r="CC76" s="1028">
        <v>0</v>
      </c>
      <c r="CD76" s="1028">
        <v>0</v>
      </c>
      <c r="CF76" s="1028">
        <v>0</v>
      </c>
      <c r="CJ76" s="1028">
        <v>0</v>
      </c>
      <c r="CL76" s="1028">
        <v>0</v>
      </c>
      <c r="CM76" s="1028">
        <v>0</v>
      </c>
      <c r="CQ76" s="1028">
        <v>33007161</v>
      </c>
      <c r="CS76" s="1028">
        <v>33007161</v>
      </c>
      <c r="CU76" s="1028">
        <v>156041546</v>
      </c>
      <c r="CV76" s="1028">
        <v>147540572</v>
      </c>
      <c r="CW76" s="1028">
        <v>8500974</v>
      </c>
      <c r="CY76" s="1028">
        <v>0</v>
      </c>
      <c r="DA76" s="1028">
        <v>0</v>
      </c>
      <c r="DE76" s="1028">
        <v>0</v>
      </c>
      <c r="DI76" s="1028">
        <v>0</v>
      </c>
      <c r="DN76" s="1028">
        <v>0</v>
      </c>
      <c r="DP76" s="1028">
        <v>0</v>
      </c>
      <c r="DT76" s="1028">
        <v>0</v>
      </c>
      <c r="DY76" s="1028">
        <v>9416124</v>
      </c>
      <c r="EA76" s="1028">
        <v>0</v>
      </c>
      <c r="EB76" s="1028">
        <v>0</v>
      </c>
      <c r="ED76" s="1028">
        <v>8851676</v>
      </c>
      <c r="EE76" s="1028">
        <v>564448</v>
      </c>
      <c r="EH76" s="1028">
        <v>62484031</v>
      </c>
      <c r="EI76" s="1028">
        <v>16653385</v>
      </c>
      <c r="EJ76" s="1028">
        <v>32973454</v>
      </c>
      <c r="EK76" s="1028">
        <v>12857192</v>
      </c>
      <c r="EM76" s="1028">
        <v>64411418</v>
      </c>
      <c r="ES76" s="1029">
        <v>501609704</v>
      </c>
    </row>
    <row r="77" spans="5:149">
      <c r="E77" s="1781">
        <v>43862</v>
      </c>
      <c r="G77" s="1364">
        <v>899593</v>
      </c>
      <c r="I77" s="1028">
        <v>104543754</v>
      </c>
      <c r="J77" s="1028">
        <v>104543754</v>
      </c>
      <c r="M77" s="1028">
        <v>1264061</v>
      </c>
      <c r="N77" s="1028">
        <v>1264061</v>
      </c>
      <c r="O77" s="1028">
        <v>1264061</v>
      </c>
      <c r="Q77" s="1028">
        <v>0</v>
      </c>
      <c r="T77" s="1028">
        <v>0</v>
      </c>
      <c r="X77" s="1028">
        <v>0</v>
      </c>
      <c r="Y77" s="1028">
        <v>0</v>
      </c>
      <c r="AB77" s="1028">
        <v>0</v>
      </c>
      <c r="AF77" s="1028">
        <v>0</v>
      </c>
      <c r="AK77" s="1028">
        <v>0</v>
      </c>
      <c r="AO77" s="1028">
        <v>18905505</v>
      </c>
      <c r="AP77" s="1028">
        <v>11639558</v>
      </c>
      <c r="AQ77" s="1028">
        <v>7265947</v>
      </c>
      <c r="AR77" s="1028">
        <v>7265947</v>
      </c>
      <c r="AS77" s="1028">
        <v>0</v>
      </c>
      <c r="AY77" s="1028">
        <v>57924271</v>
      </c>
      <c r="AZ77" s="1028">
        <v>0</v>
      </c>
      <c r="BC77" s="1028">
        <v>3947132</v>
      </c>
      <c r="BD77" s="1028">
        <v>53977139</v>
      </c>
      <c r="BE77" s="1028">
        <v>0</v>
      </c>
      <c r="BL77" s="1028">
        <v>0</v>
      </c>
      <c r="BM77" s="1028">
        <v>0</v>
      </c>
      <c r="BT77" s="1028">
        <v>0</v>
      </c>
      <c r="BU77" s="1028">
        <v>0</v>
      </c>
      <c r="CC77" s="1028">
        <v>0</v>
      </c>
      <c r="CD77" s="1028">
        <v>0</v>
      </c>
      <c r="CF77" s="1028">
        <v>0</v>
      </c>
      <c r="CJ77" s="1028">
        <v>0</v>
      </c>
      <c r="CL77" s="1028">
        <v>0</v>
      </c>
      <c r="CM77" s="1028">
        <v>0</v>
      </c>
      <c r="CQ77" s="1028">
        <v>26094474</v>
      </c>
      <c r="CS77" s="1028">
        <v>26094474</v>
      </c>
      <c r="CU77" s="1028">
        <v>179823512</v>
      </c>
      <c r="CV77" s="1028">
        <v>170734546</v>
      </c>
      <c r="CW77" s="1028">
        <v>9088966</v>
      </c>
      <c r="CY77" s="1028">
        <v>0</v>
      </c>
      <c r="DA77" s="1028">
        <v>0</v>
      </c>
      <c r="DE77" s="1028">
        <v>0</v>
      </c>
      <c r="DI77" s="1028">
        <v>0</v>
      </c>
      <c r="DN77" s="1028">
        <v>0</v>
      </c>
      <c r="DP77" s="1028">
        <v>0</v>
      </c>
      <c r="DT77" s="1028">
        <v>0</v>
      </c>
      <c r="DY77" s="1028">
        <v>11216732</v>
      </c>
      <c r="EA77" s="1028">
        <v>0</v>
      </c>
      <c r="EB77" s="1028">
        <v>0</v>
      </c>
      <c r="ED77" s="1028">
        <v>10637273</v>
      </c>
      <c r="EE77" s="1028">
        <v>579459</v>
      </c>
      <c r="EH77" s="1028">
        <v>127935400</v>
      </c>
      <c r="EI77" s="1028">
        <v>36450973</v>
      </c>
      <c r="EJ77" s="1028">
        <v>72723541</v>
      </c>
      <c r="EK77" s="1028">
        <v>18760886</v>
      </c>
      <c r="EM77" s="1028">
        <v>96066316</v>
      </c>
      <c r="ES77" s="1029">
        <v>624673618</v>
      </c>
    </row>
    <row r="78" spans="5:149">
      <c r="E78" s="1781">
        <v>43891</v>
      </c>
      <c r="G78" s="1364">
        <v>1135056.997429</v>
      </c>
      <c r="I78" s="1028">
        <v>196654314.34094322</v>
      </c>
      <c r="J78" s="1028">
        <v>196654314.34094322</v>
      </c>
      <c r="M78" s="1028">
        <v>2105699.404631</v>
      </c>
      <c r="N78" s="1028">
        <v>2105699.404631</v>
      </c>
      <c r="O78" s="1028">
        <v>2105699.404631</v>
      </c>
      <c r="Q78" s="1028">
        <v>0</v>
      </c>
      <c r="T78" s="1028">
        <v>0</v>
      </c>
      <c r="X78" s="1028">
        <v>0</v>
      </c>
      <c r="Y78" s="1028">
        <v>0</v>
      </c>
      <c r="AB78" s="1028">
        <v>0</v>
      </c>
      <c r="AF78" s="1028">
        <v>0</v>
      </c>
      <c r="AK78" s="1028">
        <v>0</v>
      </c>
      <c r="AO78" s="1028">
        <v>32430887.249948699</v>
      </c>
      <c r="AP78" s="1028">
        <v>14285851.749948699</v>
      </c>
      <c r="AQ78" s="1028">
        <v>18145035.5</v>
      </c>
      <c r="AR78" s="1028">
        <v>18145035.5</v>
      </c>
      <c r="AS78" s="1028">
        <v>0</v>
      </c>
      <c r="AY78" s="1028">
        <v>57919517.972439945</v>
      </c>
      <c r="AZ78" s="1028">
        <v>0</v>
      </c>
      <c r="BC78" s="1028">
        <v>3946820.8333828337</v>
      </c>
      <c r="BD78" s="1028">
        <v>53972697.139057107</v>
      </c>
      <c r="BE78" s="1028">
        <v>0</v>
      </c>
      <c r="BL78" s="1028">
        <v>0</v>
      </c>
      <c r="BM78" s="1028">
        <v>0</v>
      </c>
      <c r="BT78" s="1028">
        <v>0</v>
      </c>
      <c r="BU78" s="1028">
        <v>0</v>
      </c>
      <c r="CC78" s="1028">
        <v>0</v>
      </c>
      <c r="CD78" s="1028">
        <v>0</v>
      </c>
      <c r="CF78" s="1028">
        <v>0</v>
      </c>
      <c r="CJ78" s="1028">
        <v>0</v>
      </c>
      <c r="CL78" s="1028">
        <v>0</v>
      </c>
      <c r="CM78" s="1028">
        <v>0</v>
      </c>
      <c r="CQ78" s="1028">
        <v>33500034.725247469</v>
      </c>
      <c r="CS78" s="1028">
        <v>33500034.725247469</v>
      </c>
      <c r="CU78" s="1028">
        <v>237257536.79274666</v>
      </c>
      <c r="CV78" s="1028">
        <v>225902553.37659729</v>
      </c>
      <c r="CW78" s="1028">
        <v>11354983.416149393</v>
      </c>
      <c r="CY78" s="1028">
        <v>0</v>
      </c>
      <c r="DA78" s="1028">
        <v>0</v>
      </c>
      <c r="DE78" s="1028">
        <v>0</v>
      </c>
      <c r="DI78" s="1028">
        <v>0</v>
      </c>
      <c r="DN78" s="1028">
        <v>0</v>
      </c>
      <c r="DP78" s="1028">
        <v>0</v>
      </c>
      <c r="DT78" s="1028">
        <v>0</v>
      </c>
      <c r="DY78" s="1028">
        <v>11423517.75</v>
      </c>
      <c r="EA78" s="1028">
        <v>0</v>
      </c>
      <c r="EB78" s="1028">
        <v>0</v>
      </c>
      <c r="ED78" s="1028">
        <v>10637273</v>
      </c>
      <c r="EE78" s="1028">
        <v>786244.75</v>
      </c>
      <c r="EH78" s="1028">
        <v>132488158.10000001</v>
      </c>
      <c r="EI78" s="1028">
        <v>41577093.090000004</v>
      </c>
      <c r="EJ78" s="1028">
        <v>72287872.090000004</v>
      </c>
      <c r="EK78" s="1028">
        <v>18623192.920000002</v>
      </c>
      <c r="EM78" s="1028">
        <v>141950067.06811121</v>
      </c>
      <c r="ES78" s="1029">
        <v>846864790.40149724</v>
      </c>
    </row>
    <row r="79" spans="5:149">
      <c r="E79" s="1781">
        <v>43922</v>
      </c>
      <c r="G79" s="1364">
        <v>2103709.5974289998</v>
      </c>
      <c r="I79" s="1028">
        <v>337664558.44459623</v>
      </c>
      <c r="J79" s="1028">
        <v>337664558.44459623</v>
      </c>
      <c r="M79" s="1028">
        <v>1389276.5560139976</v>
      </c>
      <c r="N79" s="1028">
        <v>1389276.5560139976</v>
      </c>
      <c r="O79" s="1028">
        <v>1389276.5560139976</v>
      </c>
      <c r="Q79" s="1028">
        <v>0</v>
      </c>
      <c r="T79" s="1028">
        <v>0</v>
      </c>
      <c r="X79" s="1028">
        <v>0</v>
      </c>
      <c r="Y79" s="1028">
        <v>0</v>
      </c>
      <c r="AB79" s="1028">
        <v>0</v>
      </c>
      <c r="AF79" s="1028">
        <v>0</v>
      </c>
      <c r="AK79" s="1028">
        <v>0</v>
      </c>
      <c r="AO79" s="1028">
        <v>29133531.38824793</v>
      </c>
      <c r="AP79" s="1028">
        <v>2125267.2767814305</v>
      </c>
      <c r="AQ79" s="1028">
        <v>27008264.111466501</v>
      </c>
      <c r="AR79" s="1028">
        <v>27008264.111466501</v>
      </c>
      <c r="AS79" s="1028">
        <v>0</v>
      </c>
      <c r="AY79" s="1028">
        <v>54290501.512059115</v>
      </c>
      <c r="AZ79" s="1028">
        <v>0</v>
      </c>
      <c r="BC79" s="1028">
        <v>3946529.1667207084</v>
      </c>
      <c r="BD79" s="1028">
        <v>50343972.345338404</v>
      </c>
      <c r="BE79" s="1028">
        <v>0</v>
      </c>
      <c r="BL79" s="1028">
        <v>0</v>
      </c>
      <c r="BM79" s="1028">
        <v>0</v>
      </c>
      <c r="BT79" s="1028">
        <v>0</v>
      </c>
      <c r="BU79" s="1028">
        <v>0</v>
      </c>
      <c r="CC79" s="1028">
        <v>0</v>
      </c>
      <c r="CD79" s="1028">
        <v>0</v>
      </c>
      <c r="CF79" s="1028">
        <v>0</v>
      </c>
      <c r="CJ79" s="1028">
        <v>0</v>
      </c>
      <c r="CL79" s="1028">
        <v>0</v>
      </c>
      <c r="CM79" s="1028">
        <v>0</v>
      </c>
      <c r="CQ79" s="1028">
        <v>9140714.6994619332</v>
      </c>
      <c r="CS79" s="1028">
        <v>9140714.6994619332</v>
      </c>
      <c r="CU79" s="1028">
        <v>232499214.2412273</v>
      </c>
      <c r="CV79" s="1028">
        <v>221743249.14350766</v>
      </c>
      <c r="CW79" s="1028">
        <v>10755965.097719649</v>
      </c>
      <c r="CY79" s="1028">
        <v>0</v>
      </c>
      <c r="DA79" s="1028">
        <v>0</v>
      </c>
      <c r="DE79" s="1028">
        <v>0</v>
      </c>
      <c r="DI79" s="1028">
        <v>0</v>
      </c>
      <c r="DN79" s="1028">
        <v>0</v>
      </c>
      <c r="DP79" s="1028">
        <v>0</v>
      </c>
      <c r="DT79" s="1028">
        <v>0</v>
      </c>
      <c r="DY79" s="1028">
        <v>12830625.960000001</v>
      </c>
      <c r="EA79" s="1028">
        <v>0</v>
      </c>
      <c r="EB79" s="1028">
        <v>0</v>
      </c>
      <c r="ED79" s="1028">
        <v>12073817.470000001</v>
      </c>
      <c r="EE79" s="1028">
        <v>756808.49</v>
      </c>
      <c r="EH79" s="1028">
        <v>131511903.05928816</v>
      </c>
      <c r="EI79" s="1028">
        <v>41453357.081124999</v>
      </c>
      <c r="EJ79" s="1028">
        <v>71747547.4859806</v>
      </c>
      <c r="EK79" s="1028">
        <v>18310998.492182564</v>
      </c>
      <c r="EM79" s="1028">
        <v>121223163.39185989</v>
      </c>
      <c r="ES79" s="1029">
        <v>931787198.85018349</v>
      </c>
    </row>
    <row r="80" spans="5:149">
      <c r="E80" s="1781">
        <v>43952</v>
      </c>
      <c r="G80" s="1364">
        <v>5972537.547429</v>
      </c>
      <c r="I80" s="1028">
        <v>300162845.64478451</v>
      </c>
      <c r="J80" s="1028">
        <v>300162845.64478451</v>
      </c>
      <c r="M80" s="1028">
        <v>1372728.7354197651</v>
      </c>
      <c r="N80" s="1028">
        <v>1372728.7354197651</v>
      </c>
      <c r="O80" s="1028">
        <v>1372728.7354197651</v>
      </c>
      <c r="Q80" s="1028">
        <v>0</v>
      </c>
      <c r="T80" s="1028">
        <v>0</v>
      </c>
      <c r="X80" s="1028">
        <v>0</v>
      </c>
      <c r="Y80" s="1028">
        <v>0</v>
      </c>
      <c r="AB80" s="1028">
        <v>0</v>
      </c>
      <c r="AF80" s="1028">
        <v>0</v>
      </c>
      <c r="AK80" s="1028">
        <v>0</v>
      </c>
      <c r="AO80" s="1028">
        <v>31649768.685797393</v>
      </c>
      <c r="AP80" s="1028">
        <v>2516455.0772838602</v>
      </c>
      <c r="AQ80" s="1028">
        <v>29133313.608513534</v>
      </c>
      <c r="AR80" s="1028">
        <v>29133313.608513534</v>
      </c>
      <c r="AS80" s="1028">
        <v>0</v>
      </c>
      <c r="AY80" s="1028">
        <v>35267747.945732452</v>
      </c>
      <c r="AZ80" s="1028">
        <v>0</v>
      </c>
      <c r="BC80" s="1028">
        <v>0</v>
      </c>
      <c r="BD80" s="1028">
        <v>35267747.945732452</v>
      </c>
      <c r="BE80" s="1028">
        <v>0</v>
      </c>
      <c r="BL80" s="1028">
        <v>0</v>
      </c>
      <c r="BM80" s="1028">
        <v>0</v>
      </c>
      <c r="BT80" s="1028">
        <v>0</v>
      </c>
      <c r="BU80" s="1028">
        <v>0</v>
      </c>
      <c r="CC80" s="1028">
        <v>0</v>
      </c>
      <c r="CD80" s="1028">
        <v>0</v>
      </c>
      <c r="CF80" s="1028">
        <v>0</v>
      </c>
      <c r="CJ80" s="1028">
        <v>0</v>
      </c>
      <c r="CL80" s="1028">
        <v>0</v>
      </c>
      <c r="CM80" s="1028">
        <v>0</v>
      </c>
      <c r="CQ80" s="1028">
        <v>25109249.013473362</v>
      </c>
      <c r="CS80" s="1028">
        <v>25109249.013473362</v>
      </c>
      <c r="CU80" s="1028">
        <v>235998379.46043411</v>
      </c>
      <c r="CV80" s="1028">
        <v>224684475.33269501</v>
      </c>
      <c r="CW80" s="1028">
        <v>11313904.127739102</v>
      </c>
      <c r="CY80" s="1028">
        <v>0</v>
      </c>
      <c r="DA80" s="1028">
        <v>0</v>
      </c>
      <c r="DE80" s="1028">
        <v>0</v>
      </c>
      <c r="DI80" s="1028">
        <v>0</v>
      </c>
      <c r="DN80" s="1028">
        <v>0</v>
      </c>
      <c r="DP80" s="1028">
        <v>0</v>
      </c>
      <c r="DT80" s="1028">
        <v>0</v>
      </c>
      <c r="DY80" s="1028">
        <v>54234865.899999999</v>
      </c>
      <c r="EA80" s="1028">
        <v>0</v>
      </c>
      <c r="EB80" s="1028">
        <v>0</v>
      </c>
      <c r="ED80" s="1028">
        <v>53463771.460000001</v>
      </c>
      <c r="EE80" s="1028">
        <v>771094.44</v>
      </c>
      <c r="EH80" s="1028">
        <v>130421445.77</v>
      </c>
      <c r="EI80" s="1028">
        <v>41535655.039999999</v>
      </c>
      <c r="EJ80" s="1028">
        <v>70886986.689999998</v>
      </c>
      <c r="EK80" s="1028">
        <v>17998804.040000003</v>
      </c>
      <c r="EM80" s="1028">
        <v>125005760.1871784</v>
      </c>
    </row>
    <row r="81" spans="5:149">
      <c r="E81" s="1781">
        <v>43983</v>
      </c>
      <c r="G81" s="1364">
        <v>2813622.9499999997</v>
      </c>
      <c r="I81" s="1028">
        <v>230391215.29816765</v>
      </c>
      <c r="J81" s="1028">
        <v>230391215.29816765</v>
      </c>
      <c r="M81" s="1028">
        <v>5538911.6252086479</v>
      </c>
      <c r="N81" s="1028">
        <v>5538911.6252086479</v>
      </c>
      <c r="O81" s="1028">
        <v>5538911.6252086479</v>
      </c>
      <c r="Q81" s="1028">
        <v>0</v>
      </c>
      <c r="T81" s="1028">
        <v>0</v>
      </c>
      <c r="X81" s="1028">
        <v>0</v>
      </c>
      <c r="Y81" s="1028">
        <v>0</v>
      </c>
      <c r="AB81" s="1028">
        <v>0</v>
      </c>
      <c r="AF81" s="1028">
        <v>0</v>
      </c>
      <c r="AK81" s="1028">
        <v>0</v>
      </c>
      <c r="AO81" s="1028">
        <v>58624219.264434747</v>
      </c>
      <c r="AP81" s="1028">
        <v>44479946.262166299</v>
      </c>
      <c r="AQ81" s="1028">
        <v>14144273.00226845</v>
      </c>
      <c r="AR81" s="1028">
        <v>14144273.00226845</v>
      </c>
      <c r="AS81" s="1028">
        <v>0</v>
      </c>
      <c r="AY81" s="1028">
        <v>36354804.033617675</v>
      </c>
      <c r="AZ81" s="1028">
        <v>0</v>
      </c>
      <c r="BC81" s="1028">
        <v>0</v>
      </c>
      <c r="BD81" s="1028">
        <v>36354804.033617675</v>
      </c>
      <c r="BE81" s="1028">
        <v>0</v>
      </c>
      <c r="BL81" s="1028">
        <v>0</v>
      </c>
      <c r="BM81" s="1028">
        <v>0</v>
      </c>
      <c r="BT81" s="1028">
        <v>0</v>
      </c>
      <c r="BU81" s="1028">
        <v>0</v>
      </c>
      <c r="CC81" s="1028">
        <v>0</v>
      </c>
      <c r="CD81" s="1028">
        <v>0</v>
      </c>
      <c r="CF81" s="1028">
        <v>0</v>
      </c>
      <c r="CJ81" s="1028">
        <v>0</v>
      </c>
      <c r="CL81" s="1028">
        <v>0</v>
      </c>
      <c r="CM81" s="1028">
        <v>0</v>
      </c>
      <c r="CQ81" s="1028">
        <v>54729954.39542903</v>
      </c>
      <c r="CS81" s="1028">
        <v>54729954.39542903</v>
      </c>
      <c r="CU81" s="1028">
        <v>242496381.37397051</v>
      </c>
      <c r="CV81" s="1028">
        <v>229886640.64116141</v>
      </c>
      <c r="CW81" s="1028">
        <v>12609740.732809089</v>
      </c>
      <c r="CY81" s="1028">
        <v>0</v>
      </c>
      <c r="DA81" s="1028">
        <v>0</v>
      </c>
      <c r="DE81" s="1028">
        <v>0</v>
      </c>
      <c r="DI81" s="1028">
        <v>0</v>
      </c>
      <c r="DN81" s="1028">
        <v>0</v>
      </c>
      <c r="DP81" s="1028">
        <v>0</v>
      </c>
      <c r="DT81" s="1028">
        <v>0</v>
      </c>
      <c r="DY81" s="1028">
        <v>71365449.900999993</v>
      </c>
      <c r="EA81" s="1028">
        <v>0</v>
      </c>
      <c r="EB81" s="1028">
        <v>0</v>
      </c>
      <c r="ED81" s="1028">
        <v>69817786.909999996</v>
      </c>
      <c r="EE81" s="1028">
        <v>1547662.9910000002</v>
      </c>
      <c r="EH81" s="1028">
        <v>129582191.8804433</v>
      </c>
      <c r="EI81" s="1028">
        <v>41863478.206875004</v>
      </c>
      <c r="EJ81" s="1028">
        <v>70032103.755859405</v>
      </c>
      <c r="EK81" s="1028">
        <v>17686609.9177089</v>
      </c>
      <c r="EM81" s="1028">
        <v>137706980.9096435</v>
      </c>
      <c r="ES81" s="1029">
        <v>969603731.63191509</v>
      </c>
    </row>
    <row r="82" spans="5:149">
      <c r="E82" s="1781">
        <v>44013</v>
      </c>
      <c r="G82" s="1364">
        <v>3746394.49</v>
      </c>
      <c r="I82" s="1028">
        <v>789904478.59357476</v>
      </c>
      <c r="J82" s="1028">
        <v>789904478.59357476</v>
      </c>
      <c r="M82" s="1028">
        <v>5046321.1298672818</v>
      </c>
      <c r="N82" s="1028">
        <v>5046321.1298672818</v>
      </c>
      <c r="O82" s="1028">
        <v>5046321.1298672818</v>
      </c>
      <c r="Q82" s="1028">
        <v>0</v>
      </c>
      <c r="T82" s="1028">
        <v>0</v>
      </c>
      <c r="X82" s="1028">
        <v>0</v>
      </c>
      <c r="Y82" s="1028">
        <v>0</v>
      </c>
      <c r="AB82" s="1028">
        <v>0</v>
      </c>
      <c r="AF82" s="1028">
        <v>0</v>
      </c>
      <c r="AK82" s="1028">
        <v>0</v>
      </c>
      <c r="AO82" s="1028">
        <v>60315722.640866712</v>
      </c>
      <c r="AP82" s="1028">
        <v>39846695.555766694</v>
      </c>
      <c r="AQ82" s="1028">
        <v>20469027.085100017</v>
      </c>
      <c r="AR82" s="1028">
        <v>20469027.085100017</v>
      </c>
      <c r="AS82" s="1028">
        <v>0</v>
      </c>
      <c r="AY82" s="1028">
        <v>54644173.97269991</v>
      </c>
      <c r="AZ82" s="1028">
        <v>0</v>
      </c>
      <c r="BC82" s="1028">
        <v>0</v>
      </c>
      <c r="BD82" s="1028">
        <v>54644173.97269991</v>
      </c>
      <c r="BE82" s="1028">
        <v>0</v>
      </c>
      <c r="BL82" s="1028">
        <v>0</v>
      </c>
      <c r="BM82" s="1028">
        <v>0</v>
      </c>
      <c r="BT82" s="1028">
        <v>0</v>
      </c>
      <c r="BU82" s="1028">
        <v>0</v>
      </c>
      <c r="CC82" s="1028">
        <v>0</v>
      </c>
      <c r="CD82" s="1028">
        <v>0</v>
      </c>
      <c r="CF82" s="1028">
        <v>0</v>
      </c>
      <c r="CJ82" s="1028">
        <v>0</v>
      </c>
      <c r="CL82" s="1028">
        <v>0</v>
      </c>
      <c r="CM82" s="1028">
        <v>0</v>
      </c>
      <c r="CQ82" s="1028">
        <v>34487937.121025845</v>
      </c>
      <c r="CS82" s="1028">
        <v>34487937.121025845</v>
      </c>
      <c r="CU82" s="1028">
        <v>251759763.27651218</v>
      </c>
      <c r="CV82" s="1028">
        <v>228526917.90034062</v>
      </c>
      <c r="CW82" s="1028">
        <v>23232845.376171563</v>
      </c>
      <c r="CY82" s="1028">
        <v>0</v>
      </c>
      <c r="DA82" s="1028">
        <v>0</v>
      </c>
      <c r="DE82" s="1028">
        <v>0</v>
      </c>
      <c r="DI82" s="1028">
        <v>0</v>
      </c>
      <c r="DN82" s="1028">
        <v>0</v>
      </c>
      <c r="DP82" s="1028">
        <v>0</v>
      </c>
      <c r="DT82" s="1028">
        <v>0</v>
      </c>
      <c r="DY82" s="1028">
        <v>71979071.069999993</v>
      </c>
      <c r="EA82" s="1028">
        <v>0</v>
      </c>
      <c r="EB82" s="1028">
        <v>0</v>
      </c>
      <c r="ED82" s="1028">
        <v>69817786.909999996</v>
      </c>
      <c r="EE82" s="1028">
        <v>2161284.16</v>
      </c>
      <c r="EH82" s="1028">
        <v>309532874.28999996</v>
      </c>
      <c r="EI82" s="1028">
        <v>130256095.36999999</v>
      </c>
      <c r="EJ82" s="1028">
        <v>120035940.03</v>
      </c>
      <c r="EK82" s="1028">
        <v>59240838.890000001</v>
      </c>
      <c r="EM82" s="1028">
        <v>242763056.84330428</v>
      </c>
      <c r="ES82" s="1029">
        <v>1824179793.4278507</v>
      </c>
    </row>
    <row r="83" spans="5:149">
      <c r="E83" s="1781">
        <v>44044</v>
      </c>
      <c r="G83" s="1364">
        <v>11058376.889999999</v>
      </c>
      <c r="I83" s="1028">
        <v>903496795.43218613</v>
      </c>
      <c r="J83" s="1028">
        <v>903496795.43218613</v>
      </c>
      <c r="M83" s="1028">
        <v>5024787.1511602663</v>
      </c>
      <c r="N83" s="1028">
        <v>5024787.1511602663</v>
      </c>
      <c r="O83" s="1028">
        <v>5024787.1511602663</v>
      </c>
      <c r="Q83" s="1028">
        <v>0</v>
      </c>
      <c r="T83" s="1028">
        <v>0</v>
      </c>
      <c r="X83" s="1028">
        <v>0</v>
      </c>
      <c r="Y83" s="1028">
        <v>0</v>
      </c>
      <c r="AB83" s="1028">
        <v>0</v>
      </c>
      <c r="AF83" s="1028">
        <v>0</v>
      </c>
      <c r="AK83" s="1028">
        <v>0</v>
      </c>
      <c r="AO83" s="1028">
        <v>106589227.66199194</v>
      </c>
      <c r="AP83" s="1028">
        <v>80775999.005769804</v>
      </c>
      <c r="AQ83" s="1028">
        <v>25813228.656222135</v>
      </c>
      <c r="AR83" s="1028">
        <v>25813228.656222135</v>
      </c>
      <c r="AS83" s="1028">
        <v>0</v>
      </c>
      <c r="AY83" s="1028">
        <v>103273117.74376936</v>
      </c>
      <c r="AZ83" s="1028">
        <v>0</v>
      </c>
      <c r="BC83" s="1028">
        <v>49363030.362314835</v>
      </c>
      <c r="BD83" s="1028">
        <v>53910087.381454527</v>
      </c>
      <c r="BE83" s="1028">
        <v>0</v>
      </c>
      <c r="BL83" s="1028">
        <v>0</v>
      </c>
      <c r="BM83" s="1028">
        <v>0</v>
      </c>
      <c r="BT83" s="1028">
        <v>0</v>
      </c>
      <c r="BU83" s="1028">
        <v>0</v>
      </c>
      <c r="CC83" s="1028">
        <v>0</v>
      </c>
      <c r="CD83" s="1028">
        <v>0</v>
      </c>
      <c r="CF83" s="1028">
        <v>0</v>
      </c>
      <c r="CJ83" s="1028">
        <v>0</v>
      </c>
      <c r="CL83" s="1028">
        <v>0</v>
      </c>
      <c r="CM83" s="1028">
        <v>0</v>
      </c>
      <c r="CQ83" s="1028">
        <v>24614395.627999999</v>
      </c>
      <c r="CS83" s="1028">
        <v>24614395.627999999</v>
      </c>
      <c r="CU83" s="1028">
        <v>311797791.47043401</v>
      </c>
      <c r="CV83" s="1028">
        <v>234002786.30700591</v>
      </c>
      <c r="CW83" s="1028">
        <v>77795005.163428098</v>
      </c>
      <c r="CY83" s="1028">
        <v>0</v>
      </c>
      <c r="DA83" s="1028">
        <v>0</v>
      </c>
      <c r="DE83" s="1028">
        <v>0</v>
      </c>
      <c r="DI83" s="1028">
        <v>0</v>
      </c>
      <c r="DN83" s="1028">
        <v>0</v>
      </c>
      <c r="DP83" s="1028">
        <v>0</v>
      </c>
      <c r="DT83" s="1028">
        <v>0</v>
      </c>
      <c r="DY83" s="1028">
        <v>49556212.47299999</v>
      </c>
      <c r="EA83" s="1028">
        <v>0</v>
      </c>
      <c r="EB83" s="1028">
        <v>0</v>
      </c>
      <c r="ED83" s="1028">
        <v>47172732.569999993</v>
      </c>
      <c r="EE83" s="1028">
        <v>2383479.9029999999</v>
      </c>
      <c r="EH83" s="1028">
        <v>307334806.73908305</v>
      </c>
      <c r="EI83" s="1028">
        <v>130889308.33352199</v>
      </c>
      <c r="EJ83" s="1028">
        <v>118273808.3328725</v>
      </c>
      <c r="EK83" s="1028">
        <v>58171690.072688602</v>
      </c>
      <c r="EM83" s="1028">
        <v>250296764.96320012</v>
      </c>
      <c r="ES83" s="1029">
        <v>2073042276.1528249</v>
      </c>
    </row>
    <row r="84" spans="5:149">
      <c r="E84" s="1781">
        <v>44075</v>
      </c>
      <c r="G84" s="1364">
        <v>13187694.539999999</v>
      </c>
      <c r="I84" s="1028">
        <v>962799348.54004562</v>
      </c>
      <c r="J84" s="1028">
        <v>962799348.54004562</v>
      </c>
      <c r="M84" s="1028">
        <v>11267531.532961994</v>
      </c>
      <c r="N84" s="1028">
        <v>11267531.532961994</v>
      </c>
      <c r="O84" s="1028">
        <v>11267531.532961994</v>
      </c>
      <c r="Q84" s="1028">
        <v>0</v>
      </c>
      <c r="T84" s="1028">
        <v>0</v>
      </c>
      <c r="X84" s="1028">
        <v>0</v>
      </c>
      <c r="Y84" s="1028">
        <v>0</v>
      </c>
      <c r="AB84" s="1028">
        <v>0</v>
      </c>
      <c r="AF84" s="1028">
        <v>0</v>
      </c>
      <c r="AK84" s="1028">
        <v>0</v>
      </c>
      <c r="AO84" s="1028">
        <v>184123736.43225241</v>
      </c>
      <c r="AP84" s="1028">
        <v>101281738.82580599</v>
      </c>
      <c r="AQ84" s="1028">
        <v>82841997.6064464</v>
      </c>
      <c r="AR84" s="1028">
        <v>82841997.6064464</v>
      </c>
      <c r="AS84" s="1028">
        <v>0</v>
      </c>
      <c r="AY84" s="1028">
        <v>103247977.89205649</v>
      </c>
      <c r="AZ84" s="1028">
        <v>0</v>
      </c>
      <c r="BC84" s="1028">
        <v>49345048.580455959</v>
      </c>
      <c r="BD84" s="1028">
        <v>53902929.311600536</v>
      </c>
      <c r="BE84" s="1028">
        <v>0</v>
      </c>
      <c r="BL84" s="1028">
        <v>0</v>
      </c>
      <c r="BM84" s="1028">
        <v>0</v>
      </c>
      <c r="BT84" s="1028">
        <v>0</v>
      </c>
      <c r="BU84" s="1028">
        <v>0</v>
      </c>
      <c r="CC84" s="1028">
        <v>0</v>
      </c>
      <c r="CD84" s="1028">
        <v>0</v>
      </c>
      <c r="CF84" s="1028">
        <v>0</v>
      </c>
      <c r="CJ84" s="1028">
        <v>0</v>
      </c>
      <c r="CL84" s="1028">
        <v>0</v>
      </c>
      <c r="CM84" s="1028">
        <v>0</v>
      </c>
      <c r="CQ84" s="1028">
        <v>64110998.405825064</v>
      </c>
      <c r="CS84" s="1028">
        <v>64110998.405825064</v>
      </c>
      <c r="CU84" s="1028">
        <v>378918220.670434</v>
      </c>
      <c r="CV84" s="1028">
        <v>274398247.11095136</v>
      </c>
      <c r="CW84" s="1028">
        <v>104519973.55948263</v>
      </c>
      <c r="CY84" s="1028">
        <v>0</v>
      </c>
      <c r="DA84" s="1028">
        <v>0</v>
      </c>
      <c r="DE84" s="1028">
        <v>0</v>
      </c>
      <c r="DI84" s="1028">
        <v>0</v>
      </c>
      <c r="DN84" s="1028">
        <v>0</v>
      </c>
      <c r="DP84" s="1028">
        <v>0</v>
      </c>
      <c r="DT84" s="1028">
        <v>0</v>
      </c>
      <c r="DY84" s="1028">
        <v>64214805.319999993</v>
      </c>
      <c r="EA84" s="1028">
        <v>0</v>
      </c>
      <c r="EB84" s="1028">
        <v>0</v>
      </c>
      <c r="ED84" s="1028">
        <v>61920649.819999993</v>
      </c>
      <c r="EE84" s="1028">
        <v>2294155.5</v>
      </c>
      <c r="EH84" s="1028">
        <v>302029278.25111079</v>
      </c>
      <c r="EI84" s="1028">
        <v>176957361.48184597</v>
      </c>
      <c r="EJ84" s="1028">
        <v>69756876.2964122</v>
      </c>
      <c r="EK84" s="1028">
        <v>55315040.47285261</v>
      </c>
      <c r="EM84" s="1028">
        <v>230374497.3577061</v>
      </c>
      <c r="ES84" s="1029">
        <v>2314274088.9423923</v>
      </c>
    </row>
    <row r="85" spans="5:149">
      <c r="E85" s="1781">
        <v>44105</v>
      </c>
      <c r="G85" s="1364">
        <v>18607228.890000001</v>
      </c>
      <c r="I85" s="1028">
        <v>1303187097.6799641</v>
      </c>
      <c r="J85" s="1028">
        <v>1303187097.6799641</v>
      </c>
      <c r="M85" s="1028">
        <v>63793735.81004253</v>
      </c>
      <c r="N85" s="1028">
        <v>63793735.81004253</v>
      </c>
      <c r="O85" s="1028">
        <v>63793735.81004253</v>
      </c>
      <c r="Q85" s="1028">
        <v>0</v>
      </c>
      <c r="T85" s="1028">
        <v>0</v>
      </c>
      <c r="X85" s="1028">
        <v>0</v>
      </c>
      <c r="Y85" s="1028">
        <v>0</v>
      </c>
      <c r="AB85" s="1028">
        <v>0</v>
      </c>
      <c r="AF85" s="1028">
        <v>0</v>
      </c>
      <c r="AK85" s="1028">
        <v>0</v>
      </c>
      <c r="AO85" s="1028">
        <v>171338967.23898125</v>
      </c>
      <c r="AP85" s="1028">
        <v>138267483.97381097</v>
      </c>
      <c r="AQ85" s="1028">
        <v>33071483.265170276</v>
      </c>
      <c r="AR85" s="1028">
        <v>33071483.265170276</v>
      </c>
      <c r="AS85" s="1028">
        <v>0</v>
      </c>
      <c r="AY85" s="1028">
        <v>97247977.892056495</v>
      </c>
      <c r="AZ85" s="1028">
        <v>0</v>
      </c>
      <c r="BC85" s="1028">
        <v>49345048.580455959</v>
      </c>
      <c r="BD85" s="1028">
        <v>47902929.311600536</v>
      </c>
      <c r="BE85" s="1028">
        <v>0</v>
      </c>
      <c r="BL85" s="1028">
        <v>0</v>
      </c>
      <c r="BM85" s="1028">
        <v>0</v>
      </c>
      <c r="BT85" s="1028">
        <v>0</v>
      </c>
      <c r="BU85" s="1028">
        <v>0</v>
      </c>
      <c r="CC85" s="1028">
        <v>0</v>
      </c>
      <c r="CD85" s="1028">
        <v>0</v>
      </c>
      <c r="CF85" s="1028">
        <v>0</v>
      </c>
      <c r="CJ85" s="1028">
        <v>0</v>
      </c>
      <c r="CL85" s="1028">
        <v>0</v>
      </c>
      <c r="CM85" s="1028">
        <v>0</v>
      </c>
      <c r="CQ85" s="1028">
        <v>54110998.405825064</v>
      </c>
      <c r="CS85" s="1028">
        <v>54110998.405825064</v>
      </c>
      <c r="CU85" s="1028">
        <v>482354865.65043378</v>
      </c>
      <c r="CV85" s="1028">
        <v>324885597.13843578</v>
      </c>
      <c r="CW85" s="1028">
        <v>157469268.511998</v>
      </c>
      <c r="CY85" s="1028">
        <v>0</v>
      </c>
      <c r="DA85" s="1028">
        <v>0</v>
      </c>
      <c r="DE85" s="1028">
        <v>0</v>
      </c>
      <c r="DI85" s="1028">
        <v>0</v>
      </c>
      <c r="DN85" s="1028">
        <v>0</v>
      </c>
      <c r="DP85" s="1028">
        <v>0</v>
      </c>
      <c r="DT85" s="1028">
        <v>0</v>
      </c>
      <c r="DY85" s="1028">
        <v>59088594.703999996</v>
      </c>
      <c r="EA85" s="1028">
        <v>0</v>
      </c>
      <c r="EB85" s="1028">
        <v>0</v>
      </c>
      <c r="ED85" s="1028">
        <v>56807154.899999999</v>
      </c>
      <c r="EE85" s="1028">
        <v>2281439.804</v>
      </c>
      <c r="EH85" s="1028">
        <v>299449389.19</v>
      </c>
      <c r="EI85" s="1028">
        <v>129391980.56999999</v>
      </c>
      <c r="EJ85" s="1028">
        <v>115778041.33000001</v>
      </c>
      <c r="EK85" s="1028">
        <v>54279367.289999999</v>
      </c>
      <c r="EM85" s="1028">
        <v>222839823.81520268</v>
      </c>
      <c r="ES85" s="1029">
        <v>2772018679.2765064</v>
      </c>
    </row>
    <row r="86" spans="5:149">
      <c r="E86" s="1781">
        <v>44136</v>
      </c>
      <c r="G86" s="1364">
        <v>39876533.990000002</v>
      </c>
      <c r="I86" s="1028">
        <v>888732984.85038888</v>
      </c>
      <c r="J86" s="1028">
        <v>888732984.85038888</v>
      </c>
      <c r="M86" s="1028">
        <v>10015894.607843533</v>
      </c>
      <c r="N86" s="1028">
        <v>10015894.607843533</v>
      </c>
      <c r="O86" s="1028">
        <v>10015894.607843533</v>
      </c>
      <c r="Q86" s="1028">
        <v>0</v>
      </c>
      <c r="T86" s="1028">
        <v>0</v>
      </c>
      <c r="X86" s="1028">
        <v>0</v>
      </c>
      <c r="Y86" s="1028">
        <v>0</v>
      </c>
      <c r="AB86" s="1028">
        <v>0</v>
      </c>
      <c r="AF86" s="1028">
        <v>0</v>
      </c>
      <c r="AK86" s="1028">
        <v>0</v>
      </c>
      <c r="AO86" s="1028">
        <v>208769613.37123299</v>
      </c>
      <c r="AP86" s="1028">
        <v>141376520.111691</v>
      </c>
      <c r="AQ86" s="1028">
        <v>67393093.259541973</v>
      </c>
      <c r="AR86" s="1028">
        <v>67393093.259541973</v>
      </c>
      <c r="AS86" s="1028">
        <v>0</v>
      </c>
      <c r="AY86" s="1028">
        <v>196027900.1899772</v>
      </c>
      <c r="AZ86" s="1028">
        <v>0</v>
      </c>
      <c r="BC86" s="1028">
        <v>49309075.342445053</v>
      </c>
      <c r="BD86" s="1028">
        <v>146718824.84753215</v>
      </c>
      <c r="BE86" s="1028">
        <v>0</v>
      </c>
      <c r="BL86" s="1028">
        <v>0</v>
      </c>
      <c r="BM86" s="1028">
        <v>0</v>
      </c>
      <c r="BT86" s="1028">
        <v>0</v>
      </c>
      <c r="BU86" s="1028">
        <v>0</v>
      </c>
      <c r="CC86" s="1028">
        <v>0</v>
      </c>
      <c r="CD86" s="1028">
        <v>0</v>
      </c>
      <c r="CF86" s="1028">
        <v>0</v>
      </c>
      <c r="CJ86" s="1028">
        <v>0</v>
      </c>
      <c r="CL86" s="1028">
        <v>0</v>
      </c>
      <c r="CM86" s="1028">
        <v>0</v>
      </c>
      <c r="CQ86" s="1028">
        <v>39324853.293875314</v>
      </c>
      <c r="CS86" s="1028">
        <v>39324853.293875314</v>
      </c>
      <c r="CU86" s="1028">
        <v>532768669.65199876</v>
      </c>
      <c r="CV86" s="1028">
        <v>363376386.77534425</v>
      </c>
      <c r="CW86" s="1028">
        <v>169392282.87665454</v>
      </c>
      <c r="CY86" s="1028">
        <v>0</v>
      </c>
      <c r="DA86" s="1028">
        <v>0</v>
      </c>
      <c r="DE86" s="1028">
        <v>0</v>
      </c>
      <c r="DI86" s="1028">
        <v>0</v>
      </c>
      <c r="DN86" s="1028">
        <v>0</v>
      </c>
      <c r="DP86" s="1028">
        <v>0</v>
      </c>
      <c r="DT86" s="1028">
        <v>0</v>
      </c>
      <c r="DY86" s="1028">
        <v>66080298.177999996</v>
      </c>
      <c r="EA86" s="1028">
        <v>0</v>
      </c>
      <c r="EB86" s="1028">
        <v>0</v>
      </c>
      <c r="ED86" s="1028">
        <v>63727755.159999996</v>
      </c>
      <c r="EE86" s="1028">
        <v>2352543.0180000002</v>
      </c>
      <c r="EH86" s="1028">
        <v>311795358.8179847</v>
      </c>
      <c r="EI86" s="1028">
        <v>130109452.588493</v>
      </c>
      <c r="EJ86" s="1028">
        <v>116753914.0101687</v>
      </c>
      <c r="EK86" s="1028">
        <v>64931992.219322965</v>
      </c>
      <c r="EM86" s="1028">
        <v>392620999.66002434</v>
      </c>
      <c r="ES86" s="1029">
        <v>2686013106.6113253</v>
      </c>
    </row>
    <row r="87" spans="5:149">
      <c r="E87" s="1781">
        <v>44166</v>
      </c>
      <c r="G87" s="1364">
        <v>41914274.240000002</v>
      </c>
      <c r="I87" s="1028">
        <v>598389661.95725965</v>
      </c>
      <c r="J87" s="1028">
        <v>598389661.95725965</v>
      </c>
      <c r="M87" s="1028">
        <v>7303101.7702919394</v>
      </c>
      <c r="N87" s="1028">
        <v>7303101.7702919394</v>
      </c>
      <c r="O87" s="1028">
        <v>7303101.7702919394</v>
      </c>
      <c r="Q87" s="1028">
        <v>0</v>
      </c>
      <c r="T87" s="1028">
        <v>0</v>
      </c>
      <c r="X87" s="1028">
        <v>0</v>
      </c>
      <c r="Y87" s="1028">
        <v>0</v>
      </c>
      <c r="AB87" s="1028">
        <v>0</v>
      </c>
      <c r="AF87" s="1028">
        <v>0</v>
      </c>
      <c r="AK87" s="1028">
        <v>0</v>
      </c>
      <c r="AO87" s="1028">
        <v>262511164.12047306</v>
      </c>
      <c r="AP87" s="1028">
        <v>168844355.352112</v>
      </c>
      <c r="AQ87" s="1028">
        <v>93666808.768361062</v>
      </c>
      <c r="AR87" s="1028">
        <v>93666808.768361062</v>
      </c>
      <c r="AS87" s="1028">
        <v>0</v>
      </c>
      <c r="AY87" s="1028">
        <v>255986509.03204435</v>
      </c>
      <c r="AZ87" s="1028">
        <v>0</v>
      </c>
      <c r="BC87" s="1028">
        <v>49290496.575315937</v>
      </c>
      <c r="BD87" s="1028">
        <v>206696012.45672843</v>
      </c>
      <c r="BE87" s="1028">
        <v>0</v>
      </c>
      <c r="BL87" s="1028">
        <v>0</v>
      </c>
      <c r="BM87" s="1028">
        <v>0</v>
      </c>
      <c r="BT87" s="1028">
        <v>0</v>
      </c>
      <c r="BU87" s="1028">
        <v>0</v>
      </c>
      <c r="CC87" s="1028">
        <v>0</v>
      </c>
      <c r="CD87" s="1028">
        <v>0</v>
      </c>
      <c r="CF87" s="1028">
        <v>0</v>
      </c>
      <c r="CJ87" s="1028">
        <v>0</v>
      </c>
      <c r="CL87" s="1028">
        <v>0</v>
      </c>
      <c r="CM87" s="1028">
        <v>0</v>
      </c>
      <c r="CQ87" s="1028">
        <v>78749988.235952586</v>
      </c>
      <c r="CS87" s="1028">
        <v>78749988.235952586</v>
      </c>
      <c r="CU87" s="1028">
        <v>804587939.47043395</v>
      </c>
      <c r="CV87" s="1028">
        <v>639145678.22451496</v>
      </c>
      <c r="CW87" s="1028">
        <v>165442261.24591902</v>
      </c>
      <c r="CY87" s="1028">
        <v>0</v>
      </c>
      <c r="DA87" s="1028">
        <v>0</v>
      </c>
      <c r="DE87" s="1028">
        <v>0</v>
      </c>
      <c r="DI87" s="1028">
        <v>0</v>
      </c>
      <c r="DN87" s="1028">
        <v>0</v>
      </c>
      <c r="DP87" s="1028">
        <v>0</v>
      </c>
      <c r="DT87" s="1028">
        <v>0</v>
      </c>
      <c r="DY87" s="1028">
        <v>100641225.617</v>
      </c>
      <c r="EA87" s="1028">
        <v>0</v>
      </c>
      <c r="EB87" s="1028">
        <v>0</v>
      </c>
      <c r="ED87" s="1028">
        <v>98227843.659999996</v>
      </c>
      <c r="EE87" s="1028">
        <v>2413381.9569999999</v>
      </c>
      <c r="EH87" s="1028">
        <v>349425178.71333712</v>
      </c>
      <c r="EI87" s="1028">
        <v>136062148.62681699</v>
      </c>
      <c r="EJ87" s="1028">
        <v>114917248.2167915</v>
      </c>
      <c r="EK87" s="1028">
        <v>98445781.86972861</v>
      </c>
      <c r="EM87" s="1028">
        <v>403306239.36158448</v>
      </c>
      <c r="ES87" s="1029">
        <v>2902815282.5183773</v>
      </c>
    </row>
    <row r="88" spans="5:149">
      <c r="E88" s="1781">
        <v>44197</v>
      </c>
      <c r="G88" s="1364">
        <v>57124678.040000007</v>
      </c>
      <c r="I88" s="1028">
        <v>540420022.87661207</v>
      </c>
      <c r="J88" s="1028">
        <v>540420022.87661207</v>
      </c>
      <c r="M88" s="1028">
        <v>12572608.489466697</v>
      </c>
      <c r="N88" s="1028">
        <v>12572608.489466697</v>
      </c>
      <c r="O88" s="1028">
        <v>12572608.489466697</v>
      </c>
      <c r="Q88" s="1028">
        <v>0</v>
      </c>
      <c r="T88" s="1028">
        <v>0</v>
      </c>
      <c r="X88" s="1028">
        <v>0</v>
      </c>
      <c r="Y88" s="1028">
        <v>0</v>
      </c>
      <c r="AB88" s="1028">
        <v>0</v>
      </c>
      <c r="AF88" s="1028">
        <v>0</v>
      </c>
      <c r="AK88" s="1028">
        <v>0</v>
      </c>
      <c r="AO88" s="1028">
        <v>360474455.9091903</v>
      </c>
      <c r="AP88" s="1028">
        <v>225034276.53851998</v>
      </c>
      <c r="AQ88" s="1028">
        <v>135440179.37067029</v>
      </c>
      <c r="AR88" s="1028">
        <v>135440179.37067029</v>
      </c>
      <c r="AS88" s="1028">
        <v>0</v>
      </c>
      <c r="AY88" s="1028">
        <v>256657878.14811757</v>
      </c>
      <c r="AZ88" s="1028">
        <v>0</v>
      </c>
      <c r="BC88" s="1028">
        <v>50000000</v>
      </c>
      <c r="BD88" s="1028">
        <v>206657878.14811757</v>
      </c>
      <c r="BE88" s="1028">
        <v>0</v>
      </c>
      <c r="BL88" s="1028">
        <v>0</v>
      </c>
      <c r="BM88" s="1028">
        <v>0</v>
      </c>
      <c r="BT88" s="1028">
        <v>0</v>
      </c>
      <c r="BU88" s="1028">
        <v>0</v>
      </c>
      <c r="CC88" s="1028">
        <v>0</v>
      </c>
      <c r="CD88" s="1028">
        <v>0</v>
      </c>
      <c r="CF88" s="1028">
        <v>0</v>
      </c>
      <c r="CJ88" s="1028">
        <v>0</v>
      </c>
      <c r="CL88" s="1028">
        <v>0</v>
      </c>
      <c r="CM88" s="1028">
        <v>0</v>
      </c>
      <c r="CQ88" s="1028">
        <v>29355337.483158331</v>
      </c>
      <c r="CS88" s="1028">
        <v>29355337.483158331</v>
      </c>
      <c r="CU88" s="1028">
        <v>861964879.39708173</v>
      </c>
      <c r="CV88" s="1028">
        <v>701678852.25066996</v>
      </c>
      <c r="CW88" s="1028">
        <v>160286027.14641175</v>
      </c>
      <c r="CY88" s="1028">
        <v>0</v>
      </c>
      <c r="DA88" s="1028">
        <v>0</v>
      </c>
      <c r="DE88" s="1028">
        <v>0</v>
      </c>
      <c r="DI88" s="1028">
        <v>0</v>
      </c>
      <c r="DN88" s="1028">
        <v>0</v>
      </c>
      <c r="DP88" s="1028">
        <v>0</v>
      </c>
      <c r="DT88" s="1028">
        <v>0</v>
      </c>
      <c r="DY88" s="1028">
        <v>149341126.37450799</v>
      </c>
      <c r="EA88" s="1028">
        <v>0</v>
      </c>
      <c r="EB88" s="1028">
        <v>0</v>
      </c>
      <c r="ED88" s="1028">
        <v>137936248.19999999</v>
      </c>
      <c r="EE88" s="1028">
        <v>11404878.174507998</v>
      </c>
      <c r="EH88" s="1028">
        <v>344889203.84000003</v>
      </c>
      <c r="EI88" s="1028">
        <v>135305634.16</v>
      </c>
      <c r="EJ88" s="1028">
        <v>112923998.18000001</v>
      </c>
      <c r="EK88" s="1028">
        <v>96659571.5</v>
      </c>
      <c r="EM88" s="1028">
        <v>557715223.54713905</v>
      </c>
      <c r="ES88" s="1029">
        <v>3170515414.1052737</v>
      </c>
    </row>
    <row r="89" spans="5:149">
      <c r="E89" s="1781">
        <v>44228</v>
      </c>
      <c r="G89" s="1364">
        <v>69432667.469999999</v>
      </c>
      <c r="I89" s="1028">
        <v>793719179.17366636</v>
      </c>
      <c r="J89" s="1028">
        <v>793719179.17366636</v>
      </c>
      <c r="M89" s="1028">
        <v>57815614.306666523</v>
      </c>
      <c r="N89" s="1028">
        <v>57815614.306666523</v>
      </c>
      <c r="O89" s="1028">
        <v>57815614.306666523</v>
      </c>
      <c r="Q89" s="1028">
        <v>0</v>
      </c>
      <c r="T89" s="1028">
        <v>0</v>
      </c>
      <c r="X89" s="1028">
        <v>0</v>
      </c>
      <c r="Y89" s="1028">
        <v>0</v>
      </c>
      <c r="AB89" s="1028">
        <v>0</v>
      </c>
      <c r="AF89" s="1028">
        <v>0</v>
      </c>
      <c r="AK89" s="1028">
        <v>0</v>
      </c>
      <c r="AO89" s="1028">
        <v>366091040.2727834</v>
      </c>
      <c r="AP89" s="1028">
        <v>317751559.32638395</v>
      </c>
      <c r="AQ89" s="1028">
        <v>48339480.94639948</v>
      </c>
      <c r="AR89" s="1028">
        <v>48339480.94639948</v>
      </c>
      <c r="AS89" s="1028">
        <v>0</v>
      </c>
      <c r="AY89" s="1028">
        <v>362505089.84222186</v>
      </c>
      <c r="AZ89" s="1028">
        <v>0</v>
      </c>
      <c r="BC89" s="1028">
        <v>155847211.69410431</v>
      </c>
      <c r="BD89" s="1028">
        <v>206657878.14811757</v>
      </c>
      <c r="BE89" s="1028">
        <v>0</v>
      </c>
      <c r="BL89" s="1028">
        <v>0</v>
      </c>
      <c r="BM89" s="1028">
        <v>0</v>
      </c>
      <c r="BT89" s="1028">
        <v>0</v>
      </c>
      <c r="BU89" s="1028">
        <v>0</v>
      </c>
      <c r="CC89" s="1028">
        <v>0</v>
      </c>
      <c r="CD89" s="1028">
        <v>0</v>
      </c>
      <c r="CF89" s="1028">
        <v>0</v>
      </c>
      <c r="CJ89" s="1028">
        <v>0</v>
      </c>
      <c r="CL89" s="1028">
        <v>0</v>
      </c>
      <c r="CM89" s="1028">
        <v>0</v>
      </c>
      <c r="CQ89" s="1028">
        <v>14380694.833158333</v>
      </c>
      <c r="CS89" s="1028">
        <v>14380694.833158333</v>
      </c>
      <c r="CU89" s="1028">
        <v>901425180.33708179</v>
      </c>
      <c r="CV89" s="1028">
        <v>759435093.43856001</v>
      </c>
      <c r="CW89" s="1028">
        <v>141990086.89852175</v>
      </c>
      <c r="CY89" s="1028">
        <v>0</v>
      </c>
      <c r="DA89" s="1028">
        <v>0</v>
      </c>
      <c r="DE89" s="1028">
        <v>0</v>
      </c>
      <c r="DI89" s="1028">
        <v>0</v>
      </c>
      <c r="DN89" s="1028">
        <v>0</v>
      </c>
      <c r="DP89" s="1028">
        <v>0</v>
      </c>
      <c r="DT89" s="1028">
        <v>0</v>
      </c>
      <c r="DY89" s="1028">
        <v>174966084.82932398</v>
      </c>
      <c r="EA89" s="1028">
        <v>0</v>
      </c>
      <c r="EB89" s="1028">
        <v>0</v>
      </c>
      <c r="ED89" s="1028">
        <v>163383853.22999999</v>
      </c>
      <c r="EE89" s="1028">
        <v>11582231.599323999</v>
      </c>
      <c r="EH89" s="1028">
        <v>483176218.01239181</v>
      </c>
      <c r="EI89" s="1028">
        <v>174027534.32220101</v>
      </c>
      <c r="EJ89" s="1028">
        <v>197281337.26407701</v>
      </c>
      <c r="EK89" s="1028">
        <v>111867346.42611375</v>
      </c>
      <c r="EM89" s="1028">
        <v>443666715.55111104</v>
      </c>
      <c r="ES89" s="1029">
        <v>3667178484.6284046</v>
      </c>
    </row>
    <row r="90" spans="5:149">
      <c r="E90" s="1781">
        <v>44256</v>
      </c>
      <c r="G90" s="1364">
        <v>44652614.770000003</v>
      </c>
      <c r="I90" s="1028">
        <v>239396519.35573703</v>
      </c>
      <c r="J90" s="1028">
        <v>239396519.35573703</v>
      </c>
      <c r="M90" s="1028">
        <v>23043663.650637731</v>
      </c>
      <c r="N90" s="1028">
        <v>23043663.650637731</v>
      </c>
      <c r="O90" s="1028">
        <v>23043663.650637731</v>
      </c>
      <c r="Q90" s="1028">
        <v>0</v>
      </c>
      <c r="T90" s="1028">
        <v>0</v>
      </c>
      <c r="X90" s="1028">
        <v>0</v>
      </c>
      <c r="Y90" s="1028">
        <v>0</v>
      </c>
      <c r="AB90" s="1028">
        <v>0</v>
      </c>
      <c r="AF90" s="1028">
        <v>0</v>
      </c>
      <c r="AK90" s="1028">
        <v>0</v>
      </c>
      <c r="AO90" s="1028">
        <v>392240191.90577626</v>
      </c>
      <c r="AP90" s="1028">
        <v>304891394.84850299</v>
      </c>
      <c r="AQ90" s="1028">
        <v>87348797.057273269</v>
      </c>
      <c r="AR90" s="1028">
        <v>87348797.057273269</v>
      </c>
      <c r="AS90" s="1028">
        <v>0</v>
      </c>
      <c r="AY90" s="1028">
        <v>370930969.57865059</v>
      </c>
      <c r="AZ90" s="1028">
        <v>0</v>
      </c>
      <c r="BC90" s="1028">
        <v>134677483.42246693</v>
      </c>
      <c r="BD90" s="1028">
        <v>236253486.15618363</v>
      </c>
      <c r="BE90" s="1028">
        <v>0</v>
      </c>
      <c r="BL90" s="1028">
        <v>0</v>
      </c>
      <c r="BM90" s="1028">
        <v>0</v>
      </c>
      <c r="BT90" s="1028">
        <v>0</v>
      </c>
      <c r="BU90" s="1028">
        <v>0</v>
      </c>
      <c r="CC90" s="1028">
        <v>0</v>
      </c>
      <c r="CD90" s="1028">
        <v>0</v>
      </c>
      <c r="CF90" s="1028">
        <v>0</v>
      </c>
      <c r="CJ90" s="1028">
        <v>0</v>
      </c>
      <c r="CL90" s="1028">
        <v>0</v>
      </c>
      <c r="CM90" s="1028">
        <v>0</v>
      </c>
      <c r="CQ90" s="1028">
        <v>54072688.756750003</v>
      </c>
      <c r="CS90" s="1028">
        <v>54072688.756750003</v>
      </c>
      <c r="CU90" s="1028">
        <v>1366041679.3251464</v>
      </c>
      <c r="CV90" s="1028">
        <v>1205904275.8082886</v>
      </c>
      <c r="CW90" s="1028">
        <v>160137403.51685786</v>
      </c>
      <c r="CY90" s="1028">
        <v>0</v>
      </c>
      <c r="DA90" s="1028">
        <v>0</v>
      </c>
      <c r="DE90" s="1028">
        <v>0</v>
      </c>
      <c r="DI90" s="1028">
        <v>0</v>
      </c>
      <c r="DN90" s="1028">
        <v>0</v>
      </c>
      <c r="DP90" s="1028">
        <v>0</v>
      </c>
      <c r="DT90" s="1028">
        <v>0</v>
      </c>
      <c r="DY90" s="1028">
        <v>249830927.12704298</v>
      </c>
      <c r="EA90" s="1028">
        <v>0</v>
      </c>
      <c r="EB90" s="1028">
        <v>0</v>
      </c>
      <c r="ED90" s="1028">
        <v>238268001.38999999</v>
      </c>
      <c r="EE90" s="1028">
        <v>11562925.737042999</v>
      </c>
      <c r="EH90" s="1028">
        <v>526680207.12318325</v>
      </c>
      <c r="EI90" s="1028">
        <v>173394090.94989401</v>
      </c>
      <c r="EJ90" s="1028">
        <v>211309424.42843401</v>
      </c>
      <c r="EK90" s="1028">
        <v>141976691.74485523</v>
      </c>
      <c r="EM90" s="1028">
        <v>436399633.50486094</v>
      </c>
      <c r="ES90" s="1029">
        <v>3703289095.097785</v>
      </c>
    </row>
    <row r="91" spans="5:149">
      <c r="E91" s="1781">
        <v>44287</v>
      </c>
      <c r="G91" s="1364">
        <v>61922994.619999997</v>
      </c>
      <c r="I91" s="1028">
        <v>434780742.68982828</v>
      </c>
      <c r="J91" s="1028">
        <v>434780742.68982828</v>
      </c>
      <c r="M91" s="1028">
        <v>35047422.510470316</v>
      </c>
      <c r="N91" s="1028">
        <v>35047422.510470316</v>
      </c>
      <c r="O91" s="1028">
        <v>35047422.510470316</v>
      </c>
      <c r="Q91" s="1028">
        <v>0</v>
      </c>
      <c r="T91" s="1028">
        <v>0</v>
      </c>
      <c r="X91" s="1028">
        <v>0</v>
      </c>
      <c r="Y91" s="1028">
        <v>0</v>
      </c>
      <c r="AB91" s="1028">
        <v>0</v>
      </c>
      <c r="AF91" s="1028">
        <v>0</v>
      </c>
      <c r="AK91" s="1028">
        <v>0</v>
      </c>
      <c r="AO91" s="1028">
        <v>337273642.83728671</v>
      </c>
      <c r="AP91" s="1028">
        <v>253356953.99199402</v>
      </c>
      <c r="AQ91" s="1028">
        <v>83916688.845292687</v>
      </c>
      <c r="AR91" s="1028">
        <v>83916688.845292687</v>
      </c>
      <c r="AS91" s="1028">
        <v>0</v>
      </c>
      <c r="AY91" s="1028">
        <v>245084985.10507351</v>
      </c>
      <c r="AZ91" s="1028">
        <v>0</v>
      </c>
      <c r="BC91" s="1028">
        <v>8831498.9488898851</v>
      </c>
      <c r="BD91" s="1028">
        <v>236253486.15618363</v>
      </c>
      <c r="BE91" s="1028">
        <v>0</v>
      </c>
      <c r="BL91" s="1028">
        <v>0</v>
      </c>
      <c r="BM91" s="1028">
        <v>0</v>
      </c>
      <c r="BT91" s="1028">
        <v>0</v>
      </c>
      <c r="BU91" s="1028">
        <v>0</v>
      </c>
      <c r="CC91" s="1028">
        <v>0</v>
      </c>
      <c r="CD91" s="1028">
        <v>0</v>
      </c>
      <c r="CF91" s="1028">
        <v>0</v>
      </c>
      <c r="CJ91" s="1028">
        <v>0</v>
      </c>
      <c r="CL91" s="1028">
        <v>0</v>
      </c>
      <c r="CM91" s="1028">
        <v>0</v>
      </c>
      <c r="CQ91" s="1028">
        <v>34325060.284444049</v>
      </c>
      <c r="CS91" s="1028">
        <v>34325060.284444049</v>
      </c>
      <c r="CU91" s="1028">
        <v>1423813786.462786</v>
      </c>
      <c r="CV91" s="1028">
        <v>1262573422.4452062</v>
      </c>
      <c r="CW91" s="1028">
        <v>161240364.01757985</v>
      </c>
      <c r="CY91" s="1028">
        <v>0</v>
      </c>
      <c r="DA91" s="1028">
        <v>0</v>
      </c>
      <c r="DE91" s="1028">
        <v>0</v>
      </c>
      <c r="DI91" s="1028">
        <v>0</v>
      </c>
      <c r="DN91" s="1028">
        <v>0</v>
      </c>
      <c r="DP91" s="1028">
        <v>0</v>
      </c>
      <c r="DT91" s="1028">
        <v>0</v>
      </c>
      <c r="DY91" s="1028">
        <v>230752815.33537599</v>
      </c>
      <c r="EA91" s="1028">
        <v>0</v>
      </c>
      <c r="EB91" s="1028">
        <v>0</v>
      </c>
      <c r="ED91" s="1028">
        <v>219092983.31</v>
      </c>
      <c r="EE91" s="1028">
        <v>11659832.025376001</v>
      </c>
      <c r="EH91" s="1028">
        <v>537359685.12812471</v>
      </c>
      <c r="EI91" s="1028">
        <v>175630314.447586</v>
      </c>
      <c r="EJ91" s="1028">
        <v>221932968.410492</v>
      </c>
      <c r="EK91" s="1028">
        <v>139796402.27004668</v>
      </c>
      <c r="EM91" s="1028">
        <v>478992953.69038874</v>
      </c>
      <c r="ES91" s="1029">
        <v>3819354088.6637778</v>
      </c>
    </row>
    <row r="92" spans="5:149">
      <c r="E92" s="1781">
        <v>44317</v>
      </c>
      <c r="G92" s="1364">
        <v>47707135.469999999</v>
      </c>
      <c r="I92" s="1028">
        <v>757133323.18565214</v>
      </c>
      <c r="J92" s="1028">
        <v>757133323.18565214</v>
      </c>
      <c r="M92" s="1028">
        <v>163322512.78430334</v>
      </c>
      <c r="N92" s="1028">
        <v>163322512.78430334</v>
      </c>
      <c r="O92" s="1028">
        <v>163322512.78430334</v>
      </c>
      <c r="Q92" s="1028">
        <v>0</v>
      </c>
      <c r="T92" s="1028">
        <v>0</v>
      </c>
      <c r="X92" s="1028">
        <v>0</v>
      </c>
      <c r="Y92" s="1028">
        <v>0</v>
      </c>
      <c r="AB92" s="1028">
        <v>0</v>
      </c>
      <c r="AF92" s="1028">
        <v>0</v>
      </c>
      <c r="AK92" s="1028">
        <v>0</v>
      </c>
      <c r="AO92" s="1028">
        <v>266953725.31476367</v>
      </c>
      <c r="AP92" s="1028">
        <v>214297480.55027699</v>
      </c>
      <c r="AQ92" s="1028">
        <v>52656244.76448667</v>
      </c>
      <c r="AR92" s="1028">
        <v>52656244.76448667</v>
      </c>
      <c r="AS92" s="1028">
        <v>0</v>
      </c>
      <c r="AY92" s="1028">
        <v>232920152.82618365</v>
      </c>
      <c r="AZ92" s="1028">
        <v>0</v>
      </c>
      <c r="BC92" s="1028">
        <v>0</v>
      </c>
      <c r="BD92" s="1028">
        <v>232920152.82618365</v>
      </c>
      <c r="BE92" s="1028">
        <v>0</v>
      </c>
      <c r="BL92" s="1028">
        <v>0</v>
      </c>
      <c r="BM92" s="1028">
        <v>0</v>
      </c>
      <c r="BT92" s="1028">
        <v>0</v>
      </c>
      <c r="BU92" s="1028">
        <v>0</v>
      </c>
      <c r="CC92" s="1028">
        <v>0</v>
      </c>
      <c r="CD92" s="1028">
        <v>0</v>
      </c>
      <c r="CF92" s="1028">
        <v>0</v>
      </c>
      <c r="CJ92" s="1028">
        <v>0</v>
      </c>
      <c r="CL92" s="1028">
        <v>0</v>
      </c>
      <c r="CM92" s="1028">
        <v>0</v>
      </c>
      <c r="CQ92" s="1028">
        <v>34275896.664451897</v>
      </c>
      <c r="CS92" s="1028">
        <v>34275896.664451897</v>
      </c>
      <c r="CU92" s="1028">
        <v>1407994202.5705614</v>
      </c>
      <c r="CV92" s="1028">
        <v>1274163007.1216063</v>
      </c>
      <c r="CW92" s="1028">
        <v>133831195.448955</v>
      </c>
      <c r="CY92" s="1028">
        <v>0</v>
      </c>
      <c r="DA92" s="1028">
        <v>0</v>
      </c>
      <c r="DE92" s="1028">
        <v>0</v>
      </c>
      <c r="DI92" s="1028">
        <v>0</v>
      </c>
      <c r="DN92" s="1028">
        <v>0</v>
      </c>
      <c r="DP92" s="1028">
        <v>0</v>
      </c>
      <c r="DT92" s="1028">
        <v>0</v>
      </c>
      <c r="DY92" s="1028">
        <v>273991413.20413703</v>
      </c>
      <c r="EA92" s="1028">
        <v>0</v>
      </c>
      <c r="EB92" s="1028">
        <v>0</v>
      </c>
      <c r="ED92" s="1028">
        <v>262283969.55000001</v>
      </c>
      <c r="EE92" s="1028">
        <v>11707443.654137</v>
      </c>
      <c r="EH92" s="1028">
        <v>540677972.3492111</v>
      </c>
      <c r="EI92" s="1028">
        <v>174638868.715278</v>
      </c>
      <c r="EJ92" s="1028">
        <v>217809310.28449601</v>
      </c>
      <c r="EK92" s="1028">
        <v>148229793.34943709</v>
      </c>
      <c r="EM92" s="1028">
        <v>565726423.72772002</v>
      </c>
      <c r="ES92" s="1029">
        <v>4290702758.0969839</v>
      </c>
    </row>
    <row r="93" spans="5:149">
      <c r="E93" s="1781">
        <v>44348</v>
      </c>
      <c r="G93" s="1364">
        <v>33879900.269999996</v>
      </c>
      <c r="I93" s="1028">
        <v>177981511.11744606</v>
      </c>
      <c r="J93" s="1028">
        <v>177981511.11744606</v>
      </c>
      <c r="M93" s="1028">
        <v>213220523.39261967</v>
      </c>
      <c r="N93" s="1028">
        <v>213220523.39261967</v>
      </c>
      <c r="O93" s="1028">
        <v>213220523.39261967</v>
      </c>
      <c r="Q93" s="1028">
        <v>0</v>
      </c>
      <c r="T93" s="1028">
        <v>0</v>
      </c>
      <c r="X93" s="1028">
        <v>0</v>
      </c>
      <c r="Y93" s="1028">
        <v>0</v>
      </c>
      <c r="AB93" s="1028">
        <v>0</v>
      </c>
      <c r="AF93" s="1028">
        <v>0</v>
      </c>
      <c r="AK93" s="1028">
        <v>0</v>
      </c>
      <c r="AO93" s="1028">
        <v>231216886.93686634</v>
      </c>
      <c r="AP93" s="1028">
        <v>153344138.77455699</v>
      </c>
      <c r="AQ93" s="1028">
        <v>77872748.162309334</v>
      </c>
      <c r="AR93" s="1028">
        <v>77872748.162309334</v>
      </c>
      <c r="AS93" s="1028">
        <v>0</v>
      </c>
      <c r="AY93" s="1028">
        <v>252915173.3865079</v>
      </c>
      <c r="AZ93" s="1028">
        <v>0</v>
      </c>
      <c r="BC93" s="1028">
        <v>0</v>
      </c>
      <c r="BD93" s="1028">
        <v>252915173.3865079</v>
      </c>
      <c r="BE93" s="1028">
        <v>0</v>
      </c>
      <c r="BL93" s="1028">
        <v>0</v>
      </c>
      <c r="BM93" s="1028">
        <v>0</v>
      </c>
      <c r="BT93" s="1028">
        <v>0</v>
      </c>
      <c r="BU93" s="1028">
        <v>0</v>
      </c>
      <c r="CC93" s="1028">
        <v>0</v>
      </c>
      <c r="CD93" s="1028">
        <v>0</v>
      </c>
      <c r="CF93" s="1028">
        <v>0</v>
      </c>
      <c r="CJ93" s="1028">
        <v>0</v>
      </c>
      <c r="CL93" s="1028">
        <v>0</v>
      </c>
      <c r="CM93" s="1028">
        <v>0</v>
      </c>
      <c r="CQ93" s="1028">
        <v>73770374.094999999</v>
      </c>
      <c r="CS93" s="1028">
        <v>73770374.094999999</v>
      </c>
      <c r="CU93" s="1028">
        <v>1553187459.1205668</v>
      </c>
      <c r="CV93" s="1028">
        <v>1265135204.5437</v>
      </c>
      <c r="CW93" s="1028">
        <v>288052254.57686698</v>
      </c>
      <c r="CY93" s="1028">
        <v>0</v>
      </c>
      <c r="DA93" s="1028">
        <v>0</v>
      </c>
      <c r="DE93" s="1028">
        <v>0</v>
      </c>
      <c r="DI93" s="1028">
        <v>0</v>
      </c>
      <c r="DN93" s="1028">
        <v>704289107.24000001</v>
      </c>
      <c r="DP93" s="1028">
        <v>704289107.24000001</v>
      </c>
      <c r="DQ93" s="1028">
        <v>704289107.24000001</v>
      </c>
      <c r="DT93" s="1028">
        <v>0</v>
      </c>
      <c r="DY93" s="1028">
        <v>292856813.10706204</v>
      </c>
      <c r="EA93" s="1028">
        <v>0</v>
      </c>
      <c r="EB93" s="1028">
        <v>0</v>
      </c>
      <c r="ED93" s="1028">
        <v>281113904.04000002</v>
      </c>
      <c r="EE93" s="1028">
        <v>11742909.067062</v>
      </c>
      <c r="EF93" s="1028">
        <v>0</v>
      </c>
      <c r="EH93" s="1028">
        <v>553132663.6603682</v>
      </c>
      <c r="EI93" s="1028">
        <v>195569667.72359598</v>
      </c>
      <c r="EJ93" s="1028">
        <v>213496812.417768</v>
      </c>
      <c r="EK93" s="1028">
        <v>144066183.5190042</v>
      </c>
      <c r="EM93" s="1028">
        <v>508129277.83956861</v>
      </c>
      <c r="ES93" s="1029">
        <v>4594579690.1660061</v>
      </c>
    </row>
    <row r="94" spans="5:149">
      <c r="E94" s="1781">
        <v>44378</v>
      </c>
      <c r="G94" s="1364">
        <v>61492463.920000002</v>
      </c>
      <c r="I94" s="1028">
        <v>359469524.93528599</v>
      </c>
      <c r="J94" s="1028">
        <v>359469524.93528599</v>
      </c>
      <c r="M94" s="1028">
        <v>11111241.825001836</v>
      </c>
      <c r="N94" s="1028">
        <v>11111241.825001836</v>
      </c>
      <c r="O94" s="1028">
        <v>11111241.825001836</v>
      </c>
      <c r="Q94" s="1028">
        <v>0</v>
      </c>
      <c r="T94" s="1028">
        <v>0</v>
      </c>
      <c r="X94" s="1028">
        <v>0</v>
      </c>
      <c r="Y94" s="1028">
        <v>0</v>
      </c>
      <c r="AB94" s="1028">
        <v>0</v>
      </c>
      <c r="AF94" s="1028">
        <v>0</v>
      </c>
      <c r="AK94" s="1028">
        <v>0</v>
      </c>
      <c r="AO94" s="1028">
        <v>416763757.07801515</v>
      </c>
      <c r="AP94" s="1028">
        <v>196186897.99778098</v>
      </c>
      <c r="AQ94" s="1028">
        <v>220576859.08023417</v>
      </c>
      <c r="AR94" s="1028">
        <v>220576859.08023417</v>
      </c>
      <c r="AS94" s="1028">
        <v>0</v>
      </c>
      <c r="AY94" s="1028">
        <v>351611293.99000001</v>
      </c>
      <c r="AZ94" s="1028">
        <v>0</v>
      </c>
      <c r="BC94" s="1028">
        <v>0</v>
      </c>
      <c r="BD94" s="1028">
        <v>351611293.99000001</v>
      </c>
      <c r="BE94" s="1028">
        <v>0</v>
      </c>
      <c r="BL94" s="1028">
        <v>0</v>
      </c>
      <c r="BM94" s="1028">
        <v>0</v>
      </c>
      <c r="BT94" s="1028">
        <v>0</v>
      </c>
      <c r="BU94" s="1028">
        <v>0</v>
      </c>
      <c r="CC94" s="1028">
        <v>0</v>
      </c>
      <c r="CD94" s="1028">
        <v>0</v>
      </c>
      <c r="CF94" s="1028">
        <v>0</v>
      </c>
      <c r="CJ94" s="1028">
        <v>0</v>
      </c>
      <c r="CL94" s="1028">
        <v>0</v>
      </c>
      <c r="CM94" s="1028">
        <v>0</v>
      </c>
      <c r="CQ94" s="1028">
        <v>49090174.439999998</v>
      </c>
      <c r="CS94" s="1028">
        <v>49090174.439999998</v>
      </c>
      <c r="CU94" s="1028">
        <v>1569402850.89044</v>
      </c>
      <c r="CV94" s="1028">
        <v>1308974846.9504399</v>
      </c>
      <c r="CW94" s="1028">
        <v>260428003.94</v>
      </c>
      <c r="CY94" s="1028">
        <v>0</v>
      </c>
      <c r="DA94" s="1028">
        <v>0</v>
      </c>
      <c r="DE94" s="1028">
        <v>0</v>
      </c>
      <c r="DI94" s="1028">
        <v>0</v>
      </c>
      <c r="DN94" s="1028">
        <v>769428936.45000005</v>
      </c>
      <c r="DP94" s="1028">
        <v>769428936.45000005</v>
      </c>
      <c r="DQ94" s="1028">
        <v>769428936.45000005</v>
      </c>
      <c r="DT94" s="1028">
        <v>0</v>
      </c>
      <c r="DY94" s="1028">
        <v>330796568.35328603</v>
      </c>
      <c r="EA94" s="1028">
        <v>0</v>
      </c>
      <c r="EB94" s="1028">
        <v>0</v>
      </c>
      <c r="ED94" s="1028">
        <v>319028584.43000001</v>
      </c>
      <c r="EE94" s="1028">
        <v>11767983.923286</v>
      </c>
      <c r="EF94" s="1028">
        <v>0</v>
      </c>
      <c r="EH94" s="1028">
        <v>567749245.28399992</v>
      </c>
      <c r="EI94" s="1028">
        <v>202499362.44</v>
      </c>
      <c r="EJ94" s="1028">
        <v>221982694.39999998</v>
      </c>
      <c r="EK94" s="1028">
        <v>143267188.44400001</v>
      </c>
      <c r="EM94" s="1028">
        <v>789463301.10206902</v>
      </c>
      <c r="ES94" s="1029">
        <v>5276379358.2680979</v>
      </c>
    </row>
    <row r="95" spans="5:149">
      <c r="E95" s="1781">
        <v>44409</v>
      </c>
      <c r="G95" s="1364">
        <v>60580617.009999998</v>
      </c>
      <c r="I95" s="1028">
        <v>494157929.9077571</v>
      </c>
      <c r="J95" s="1028">
        <v>494157929.9077571</v>
      </c>
      <c r="M95" s="1028">
        <v>269091409.19676799</v>
      </c>
      <c r="N95" s="1028">
        <v>269091409.19676799</v>
      </c>
      <c r="O95" s="1028">
        <v>269091409.19676799</v>
      </c>
      <c r="Q95" s="1028">
        <v>0</v>
      </c>
      <c r="T95" s="1028">
        <v>0</v>
      </c>
      <c r="X95" s="1028">
        <v>0</v>
      </c>
      <c r="Y95" s="1028">
        <v>0</v>
      </c>
      <c r="AB95" s="1028">
        <v>0</v>
      </c>
      <c r="AF95" s="1028">
        <v>0</v>
      </c>
      <c r="AK95" s="1028">
        <v>0</v>
      </c>
      <c r="AO95" s="1028">
        <v>225773551.01788503</v>
      </c>
      <c r="AP95" s="1028">
        <v>179744492.82626402</v>
      </c>
      <c r="AQ95" s="1028">
        <v>46029058.191621013</v>
      </c>
      <c r="AR95" s="1028">
        <v>46029058.191621013</v>
      </c>
      <c r="AS95" s="1028">
        <v>0</v>
      </c>
      <c r="AY95" s="1028">
        <v>400746495.83387321</v>
      </c>
      <c r="AZ95" s="1028">
        <v>0</v>
      </c>
      <c r="BC95" s="1028">
        <v>0</v>
      </c>
      <c r="BD95" s="1028">
        <v>400746495.83387321</v>
      </c>
      <c r="BE95" s="1028">
        <v>0</v>
      </c>
      <c r="BL95" s="1028">
        <v>0</v>
      </c>
      <c r="BM95" s="1028">
        <v>0</v>
      </c>
      <c r="BT95" s="1028">
        <v>0</v>
      </c>
      <c r="BU95" s="1028">
        <v>0</v>
      </c>
      <c r="CC95" s="1028">
        <v>0</v>
      </c>
      <c r="CD95" s="1028">
        <v>0</v>
      </c>
      <c r="CF95" s="1028">
        <v>0</v>
      </c>
      <c r="CJ95" s="1028">
        <v>0</v>
      </c>
      <c r="CL95" s="1028">
        <v>0</v>
      </c>
      <c r="CM95" s="1028">
        <v>0</v>
      </c>
      <c r="CQ95" s="1028">
        <v>98239932.186624989</v>
      </c>
      <c r="CS95" s="1028">
        <v>98239932.186624989</v>
      </c>
      <c r="CU95" s="1028">
        <v>1685341324.7883079</v>
      </c>
      <c r="CV95" s="1028">
        <v>1417664841.350626</v>
      </c>
      <c r="CW95" s="1028">
        <v>267676483.43768185</v>
      </c>
      <c r="CY95" s="1028">
        <v>0</v>
      </c>
      <c r="DA95" s="1028">
        <v>0</v>
      </c>
      <c r="DE95" s="1028">
        <v>0</v>
      </c>
      <c r="DI95" s="1028">
        <v>0</v>
      </c>
      <c r="DN95" s="1028">
        <v>660404060.00999999</v>
      </c>
      <c r="DP95" s="1028">
        <v>660404060.00999999</v>
      </c>
      <c r="DQ95" s="1028">
        <v>660404060.00999999</v>
      </c>
      <c r="DT95" s="1028">
        <v>0</v>
      </c>
      <c r="DY95" s="1028">
        <v>378103174.38561201</v>
      </c>
      <c r="EA95" s="1028">
        <v>0</v>
      </c>
      <c r="EB95" s="1028">
        <v>0</v>
      </c>
      <c r="ED95" s="1028">
        <v>366310094.56</v>
      </c>
      <c r="EE95" s="1028">
        <v>11793079.825611999</v>
      </c>
      <c r="EF95" s="1028">
        <v>0</v>
      </c>
      <c r="EH95" s="1028">
        <v>580112499.49377322</v>
      </c>
      <c r="EI95" s="1028">
        <v>202461740.45177701</v>
      </c>
      <c r="EJ95" s="1028">
        <v>236707124.69135702</v>
      </c>
      <c r="EK95" s="1028">
        <v>140943634.35063916</v>
      </c>
      <c r="EM95" s="1028">
        <v>813558660.35173702</v>
      </c>
      <c r="ES95" s="1029">
        <v>5666109654.1823387</v>
      </c>
    </row>
    <row r="96" spans="5:149">
      <c r="E96" s="1781">
        <v>44440</v>
      </c>
      <c r="G96" s="1364">
        <v>86112172.109999999</v>
      </c>
      <c r="I96" s="1028">
        <v>353113872.78827649</v>
      </c>
      <c r="J96" s="1028">
        <v>353113872.78827649</v>
      </c>
      <c r="M96" s="1028">
        <v>15615375.242427647</v>
      </c>
      <c r="N96" s="1028">
        <v>15615375.242427647</v>
      </c>
      <c r="O96" s="1028">
        <v>15615375.242427647</v>
      </c>
      <c r="Q96" s="1028">
        <v>0</v>
      </c>
      <c r="T96" s="1028">
        <v>0</v>
      </c>
      <c r="X96" s="1028">
        <v>0</v>
      </c>
      <c r="Y96" s="1028">
        <v>0</v>
      </c>
      <c r="AB96" s="1028">
        <v>0</v>
      </c>
      <c r="AF96" s="1028">
        <v>0</v>
      </c>
      <c r="AK96" s="1028">
        <v>0</v>
      </c>
      <c r="AO96" s="1028">
        <v>439737337.76351833</v>
      </c>
      <c r="AP96" s="1028">
        <v>313993714.80779999</v>
      </c>
      <c r="AQ96" s="1028">
        <v>125743622.95571834</v>
      </c>
      <c r="AR96" s="1028">
        <v>125743622.95571834</v>
      </c>
      <c r="AS96" s="1028">
        <v>0</v>
      </c>
      <c r="AY96" s="1028">
        <v>420469261.84100604</v>
      </c>
      <c r="AZ96" s="1028">
        <v>0</v>
      </c>
      <c r="BC96" s="1028">
        <v>0</v>
      </c>
      <c r="BD96" s="1028">
        <v>420469261.84100604</v>
      </c>
      <c r="BE96" s="1028">
        <v>0</v>
      </c>
      <c r="BL96" s="1028">
        <v>0</v>
      </c>
      <c r="BM96" s="1028">
        <v>0</v>
      </c>
      <c r="BT96" s="1028">
        <v>0</v>
      </c>
      <c r="BU96" s="1028">
        <v>0</v>
      </c>
      <c r="CC96" s="1028">
        <v>0</v>
      </c>
      <c r="CD96" s="1028">
        <v>0</v>
      </c>
      <c r="CF96" s="1028">
        <v>0</v>
      </c>
      <c r="CJ96" s="1028">
        <v>0</v>
      </c>
      <c r="CL96" s="1028">
        <v>0</v>
      </c>
      <c r="CM96" s="1028">
        <v>0</v>
      </c>
      <c r="CQ96" s="1028">
        <v>-503296.98</v>
      </c>
      <c r="CS96" s="1028">
        <v>-503296.98</v>
      </c>
      <c r="CU96" s="1028">
        <v>1970881971.4750624</v>
      </c>
      <c r="CV96" s="1028">
        <v>1601785720.6210985</v>
      </c>
      <c r="CW96" s="1028">
        <v>369096250.85396373</v>
      </c>
      <c r="CY96" s="1028">
        <v>0</v>
      </c>
      <c r="DA96" s="1028">
        <v>0</v>
      </c>
      <c r="DE96" s="1028">
        <v>0</v>
      </c>
      <c r="DI96" s="1028">
        <v>0</v>
      </c>
      <c r="DN96" s="1028">
        <v>685650009.48000002</v>
      </c>
      <c r="DP96" s="1028">
        <v>685650009.48000002</v>
      </c>
      <c r="DQ96" s="1028">
        <v>685650009.48000002</v>
      </c>
      <c r="DT96" s="1028">
        <v>0</v>
      </c>
      <c r="DY96" s="1028">
        <v>592116053.24607897</v>
      </c>
      <c r="EA96" s="1028">
        <v>0</v>
      </c>
      <c r="EB96" s="1028">
        <v>0</v>
      </c>
      <c r="ED96" s="1028">
        <v>580127260.38999999</v>
      </c>
      <c r="EE96" s="1028">
        <v>11988792.856078999</v>
      </c>
      <c r="EF96" s="1028">
        <v>0</v>
      </c>
      <c r="EH96" s="1028">
        <v>577471739.78513944</v>
      </c>
      <c r="EI96" s="1028">
        <v>202419243.49744502</v>
      </c>
      <c r="EJ96" s="1028">
        <v>236432414.859568</v>
      </c>
      <c r="EK96" s="1028">
        <v>138620081.42812642</v>
      </c>
      <c r="EM96" s="1028">
        <v>817914096.24401999</v>
      </c>
      <c r="ES96" s="1029">
        <v>5958578592.9955292</v>
      </c>
    </row>
    <row r="97" spans="5:149">
      <c r="E97" s="1781">
        <v>44470</v>
      </c>
      <c r="G97" s="1364">
        <v>206520568.06</v>
      </c>
      <c r="I97" s="1028">
        <v>316941002.05509329</v>
      </c>
      <c r="J97" s="1028">
        <v>316941002.05509329</v>
      </c>
      <c r="M97" s="1028">
        <v>57796045.700886533</v>
      </c>
      <c r="N97" s="1028">
        <v>57796045.700886533</v>
      </c>
      <c r="O97" s="1028">
        <v>57796045.700886533</v>
      </c>
      <c r="Q97" s="1028">
        <v>0</v>
      </c>
      <c r="T97" s="1028">
        <v>0</v>
      </c>
      <c r="X97" s="1028">
        <v>0</v>
      </c>
      <c r="Y97" s="1028">
        <v>0</v>
      </c>
      <c r="AB97" s="1028">
        <v>0</v>
      </c>
      <c r="AF97" s="1028">
        <v>0</v>
      </c>
      <c r="AK97" s="1028">
        <v>0</v>
      </c>
      <c r="AO97" s="1028">
        <v>397156097.12129045</v>
      </c>
      <c r="AP97" s="1028">
        <v>298855716.285537</v>
      </c>
      <c r="AQ97" s="1028">
        <v>98300380.835753456</v>
      </c>
      <c r="AR97" s="1028">
        <v>98300380.835753456</v>
      </c>
      <c r="AS97" s="1028">
        <v>0</v>
      </c>
      <c r="AY97" s="1028">
        <v>519116212.51416808</v>
      </c>
      <c r="AZ97" s="1028">
        <v>0</v>
      </c>
      <c r="BC97" s="1028">
        <v>0</v>
      </c>
      <c r="BD97" s="1028">
        <v>519116212.51416808</v>
      </c>
      <c r="BE97" s="1028">
        <v>0</v>
      </c>
      <c r="BL97" s="1028">
        <v>0</v>
      </c>
      <c r="BM97" s="1028">
        <v>0</v>
      </c>
      <c r="BT97" s="1028">
        <v>0</v>
      </c>
      <c r="BU97" s="1028">
        <v>0</v>
      </c>
      <c r="CC97" s="1028">
        <v>0</v>
      </c>
      <c r="CD97" s="1028">
        <v>0</v>
      </c>
      <c r="CF97" s="1028">
        <v>0</v>
      </c>
      <c r="CJ97" s="1028">
        <v>0</v>
      </c>
      <c r="CL97" s="1028">
        <v>0</v>
      </c>
      <c r="CM97" s="1028">
        <v>0</v>
      </c>
      <c r="CQ97" s="1028">
        <v>0</v>
      </c>
      <c r="CS97" s="1028">
        <v>0</v>
      </c>
      <c r="CU97" s="1028">
        <v>2136786979.3201609</v>
      </c>
      <c r="CV97" s="1028">
        <v>1719950647.0117304</v>
      </c>
      <c r="CW97" s="1028">
        <v>416836332.30843031</v>
      </c>
      <c r="CY97" s="1028">
        <v>0</v>
      </c>
      <c r="DA97" s="1028">
        <v>0</v>
      </c>
      <c r="DE97" s="1028">
        <v>0</v>
      </c>
      <c r="DI97" s="1028">
        <v>0</v>
      </c>
      <c r="DN97" s="1028">
        <v>661526136.44000006</v>
      </c>
      <c r="DP97" s="1028">
        <v>661526136.44000006</v>
      </c>
      <c r="DQ97" s="1028">
        <v>661526136.44000006</v>
      </c>
      <c r="DT97" s="1028">
        <v>0</v>
      </c>
      <c r="DY97" s="1028">
        <v>760056450.90052307</v>
      </c>
      <c r="EA97" s="1028">
        <v>0</v>
      </c>
      <c r="EB97" s="1028">
        <v>0</v>
      </c>
      <c r="ED97" s="1028">
        <v>746757070.23000002</v>
      </c>
      <c r="EE97" s="1028">
        <v>13299380.670522999</v>
      </c>
      <c r="EF97" s="1028">
        <v>0</v>
      </c>
      <c r="EH97" s="1028">
        <v>570652553.88</v>
      </c>
      <c r="EI97" s="1028">
        <v>200192165.52000001</v>
      </c>
      <c r="EJ97" s="1028">
        <v>206255848.86000001</v>
      </c>
      <c r="EK97" s="1028">
        <v>164204539.5</v>
      </c>
      <c r="EM97" s="1028">
        <v>881628638.98098719</v>
      </c>
      <c r="ES97" s="1029">
        <v>6508180684.9731102</v>
      </c>
    </row>
    <row r="98" spans="5:149">
      <c r="E98" s="1781">
        <v>44501</v>
      </c>
      <c r="G98" s="1364">
        <v>212830118.11000001</v>
      </c>
      <c r="I98" s="1028">
        <v>94037750.347109556</v>
      </c>
      <c r="J98" s="1028">
        <v>94037750.347109556</v>
      </c>
      <c r="M98" s="1028">
        <v>251205907.9848271</v>
      </c>
      <c r="N98" s="1028">
        <v>251205907.9848271</v>
      </c>
      <c r="O98" s="1028">
        <v>251205907.9848271</v>
      </c>
      <c r="Q98" s="1028">
        <v>0</v>
      </c>
      <c r="T98" s="1028">
        <v>0</v>
      </c>
      <c r="X98" s="1028">
        <v>0</v>
      </c>
      <c r="Y98" s="1028">
        <v>0</v>
      </c>
      <c r="AB98" s="1028">
        <v>0</v>
      </c>
      <c r="AF98" s="1028">
        <v>0</v>
      </c>
      <c r="AK98" s="1028">
        <v>0</v>
      </c>
      <c r="AO98" s="1028">
        <v>624199624.05452383</v>
      </c>
      <c r="AP98" s="1028">
        <v>518727970.63619494</v>
      </c>
      <c r="AQ98" s="1028">
        <v>105471653.4183289</v>
      </c>
      <c r="AR98" s="1028">
        <v>105471653.4183289</v>
      </c>
      <c r="AS98" s="1028">
        <v>0</v>
      </c>
      <c r="AY98" s="1028">
        <v>519439711.39809906</v>
      </c>
      <c r="AZ98" s="1028">
        <v>0</v>
      </c>
      <c r="BC98" s="1028">
        <v>0</v>
      </c>
      <c r="BD98" s="1028">
        <v>519439711.39809906</v>
      </c>
      <c r="BE98" s="1028">
        <v>0</v>
      </c>
      <c r="BL98" s="1028">
        <v>0</v>
      </c>
      <c r="BM98" s="1028">
        <v>0</v>
      </c>
      <c r="BT98" s="1028">
        <v>0</v>
      </c>
      <c r="BU98" s="1028">
        <v>0</v>
      </c>
      <c r="CC98" s="1028">
        <v>0</v>
      </c>
      <c r="CD98" s="1028">
        <v>0</v>
      </c>
      <c r="CF98" s="1028">
        <v>0</v>
      </c>
      <c r="CJ98" s="1028">
        <v>0</v>
      </c>
      <c r="CL98" s="1028">
        <v>0</v>
      </c>
      <c r="CM98" s="1028">
        <v>0</v>
      </c>
      <c r="CQ98" s="1028">
        <v>64261384.296678521</v>
      </c>
      <c r="CS98" s="1028">
        <v>64261384.296678521</v>
      </c>
      <c r="CU98" s="1028">
        <v>2329025277.3038578</v>
      </c>
      <c r="CV98" s="1028">
        <v>1811637376.6410871</v>
      </c>
      <c r="CW98" s="1028">
        <v>517387900.66277075</v>
      </c>
      <c r="CY98" s="1028">
        <v>0</v>
      </c>
      <c r="DA98" s="1028">
        <v>0</v>
      </c>
      <c r="DE98" s="1028">
        <v>0</v>
      </c>
      <c r="DI98" s="1028">
        <v>0</v>
      </c>
      <c r="DN98" s="1028">
        <v>1113177507.04</v>
      </c>
      <c r="DP98" s="1028">
        <v>1113177507.04</v>
      </c>
      <c r="DQ98" s="1028">
        <v>1113177507.04</v>
      </c>
      <c r="DT98" s="1028">
        <v>0</v>
      </c>
      <c r="DY98" s="1028">
        <v>766465846.33441198</v>
      </c>
      <c r="EA98" s="1028">
        <v>0</v>
      </c>
      <c r="EB98" s="1028">
        <v>0</v>
      </c>
      <c r="ED98" s="1028">
        <v>752089603.10000002</v>
      </c>
      <c r="EE98" s="1028">
        <v>14376243.234412</v>
      </c>
      <c r="EF98" s="1028">
        <v>0</v>
      </c>
      <c r="EH98" s="1028">
        <v>599064017.80434215</v>
      </c>
      <c r="EI98" s="1028">
        <v>197911259.69878101</v>
      </c>
      <c r="EJ98" s="1028">
        <v>267905680.14140499</v>
      </c>
      <c r="EK98" s="1028">
        <v>133247077.96415618</v>
      </c>
      <c r="EM98" s="1028">
        <v>856214494.68488109</v>
      </c>
      <c r="ES98" s="1029">
        <v>7429921639.3587303</v>
      </c>
    </row>
    <row r="99" spans="5:149">
      <c r="E99" s="1781">
        <v>44531</v>
      </c>
      <c r="G99" s="1364">
        <v>171883406.07000002</v>
      </c>
      <c r="I99" s="1028">
        <v>88645240.637056693</v>
      </c>
      <c r="J99" s="1028">
        <v>88645240.637056693</v>
      </c>
      <c r="M99" s="1028">
        <v>74485538.507163703</v>
      </c>
      <c r="N99" s="1028">
        <v>74485538.507163703</v>
      </c>
      <c r="O99" s="1028">
        <v>74485538.507163703</v>
      </c>
      <c r="Q99" s="1028">
        <v>0</v>
      </c>
      <c r="T99" s="1028">
        <v>0</v>
      </c>
      <c r="X99" s="1028">
        <v>0</v>
      </c>
      <c r="Y99" s="1028">
        <v>0</v>
      </c>
      <c r="AB99" s="1028">
        <v>0</v>
      </c>
      <c r="AF99" s="1028">
        <v>0</v>
      </c>
      <c r="AK99" s="1028">
        <v>0</v>
      </c>
      <c r="AO99" s="1028">
        <v>786117729.22617328</v>
      </c>
      <c r="AP99" s="1028">
        <v>400710948.62580299</v>
      </c>
      <c r="AQ99" s="1028">
        <v>385406780.60037029</v>
      </c>
      <c r="AR99" s="1028">
        <v>385406780.60037029</v>
      </c>
      <c r="AS99" s="1028">
        <v>0</v>
      </c>
      <c r="AY99" s="1028">
        <v>487648859.85587186</v>
      </c>
      <c r="AZ99" s="1028">
        <v>0</v>
      </c>
      <c r="BC99" s="1028">
        <v>0</v>
      </c>
      <c r="BD99" s="1028">
        <v>487648859.85587186</v>
      </c>
      <c r="BE99" s="1028">
        <v>0</v>
      </c>
      <c r="BL99" s="1028">
        <v>0</v>
      </c>
      <c r="BM99" s="1028">
        <v>0</v>
      </c>
      <c r="BT99" s="1028">
        <v>0</v>
      </c>
      <c r="BU99" s="1028">
        <v>0</v>
      </c>
      <c r="CC99" s="1028">
        <v>200000000</v>
      </c>
      <c r="CD99" s="1028">
        <v>200000000</v>
      </c>
      <c r="CE99" s="1028">
        <v>200000000</v>
      </c>
      <c r="CF99" s="1028">
        <v>0</v>
      </c>
      <c r="CJ99" s="1028">
        <v>0</v>
      </c>
      <c r="CL99" s="1028">
        <v>0</v>
      </c>
      <c r="CM99" s="1028">
        <v>0</v>
      </c>
      <c r="CQ99" s="1028">
        <v>115942527.24244027</v>
      </c>
      <c r="CS99" s="1028">
        <v>115942527.24244027</v>
      </c>
      <c r="CU99" s="1028">
        <v>2280636095.4093237</v>
      </c>
      <c r="CV99" s="1028">
        <v>1848670403.5285218</v>
      </c>
      <c r="CW99" s="1028">
        <v>431965691.88080198</v>
      </c>
      <c r="CY99" s="1028">
        <v>0</v>
      </c>
      <c r="DA99" s="1028">
        <v>0</v>
      </c>
      <c r="DE99" s="1028">
        <v>0</v>
      </c>
      <c r="DI99" s="1028">
        <v>0</v>
      </c>
      <c r="DN99" s="1028">
        <v>857306306.61999989</v>
      </c>
      <c r="DP99" s="1028">
        <v>857306306.61999989</v>
      </c>
      <c r="DQ99" s="1028">
        <v>857306306.61999989</v>
      </c>
      <c r="DT99" s="1028">
        <v>0</v>
      </c>
      <c r="DY99" s="1028">
        <v>824386916.84638</v>
      </c>
      <c r="EA99" s="1028">
        <v>0</v>
      </c>
      <c r="EB99" s="1028">
        <v>0</v>
      </c>
      <c r="ED99" s="1028">
        <v>809602848.14999998</v>
      </c>
      <c r="EE99" s="1028">
        <v>14784068.696379999</v>
      </c>
      <c r="EF99" s="1028">
        <v>0</v>
      </c>
      <c r="EH99" s="1028">
        <v>596311158.66114998</v>
      </c>
      <c r="EI99" s="1028">
        <v>198397093.63444901</v>
      </c>
      <c r="EJ99" s="1028">
        <v>265909615.838871</v>
      </c>
      <c r="EK99" s="1028">
        <v>132004449.18783</v>
      </c>
      <c r="EM99" s="1028">
        <v>1112260490.2830153</v>
      </c>
      <c r="ES99" s="1029">
        <v>7595624269.3585749</v>
      </c>
    </row>
    <row r="100" spans="5:149">
      <c r="E100" s="1781">
        <v>44562</v>
      </c>
      <c r="G100" s="1364">
        <v>207358326.36000001</v>
      </c>
      <c r="I100" s="1028">
        <v>28313750.739966929</v>
      </c>
      <c r="J100" s="1028">
        <v>28313750.739966929</v>
      </c>
      <c r="M100" s="1028">
        <v>110951922.40003371</v>
      </c>
      <c r="N100" s="1028">
        <v>110951922.40003371</v>
      </c>
      <c r="O100" s="1028">
        <v>110951922.40003371</v>
      </c>
      <c r="Q100" s="1028">
        <v>0</v>
      </c>
      <c r="T100" s="1028">
        <v>0</v>
      </c>
      <c r="X100" s="1028">
        <v>0</v>
      </c>
      <c r="Y100" s="1028">
        <v>0</v>
      </c>
      <c r="AB100" s="1028">
        <v>0</v>
      </c>
      <c r="AF100" s="1028">
        <v>0</v>
      </c>
      <c r="AK100" s="1028">
        <v>0</v>
      </c>
      <c r="AO100" s="1028">
        <v>896703653.47818732</v>
      </c>
      <c r="AP100" s="1028">
        <v>667948705.94439697</v>
      </c>
      <c r="AQ100" s="1028">
        <v>228754947.53379029</v>
      </c>
      <c r="AR100" s="1028">
        <v>228754947.53379029</v>
      </c>
      <c r="AS100" s="1028">
        <v>0</v>
      </c>
      <c r="AY100" s="1028">
        <v>493505295.08162278</v>
      </c>
      <c r="AZ100" s="1028">
        <v>0</v>
      </c>
      <c r="BC100" s="1028">
        <v>0</v>
      </c>
      <c r="BD100" s="1028">
        <v>493505295.08162278</v>
      </c>
      <c r="BE100" s="1028">
        <v>0</v>
      </c>
      <c r="BL100" s="1028">
        <v>0</v>
      </c>
      <c r="BM100" s="1028">
        <v>0</v>
      </c>
      <c r="BT100" s="1028">
        <v>0</v>
      </c>
      <c r="BU100" s="1028">
        <v>0</v>
      </c>
      <c r="CC100" s="1028">
        <v>394425226.05478543</v>
      </c>
      <c r="CD100" s="1028">
        <v>394425226.05478543</v>
      </c>
      <c r="CE100" s="1028">
        <v>394425226.05478543</v>
      </c>
      <c r="CF100" s="1028">
        <v>0</v>
      </c>
      <c r="CJ100" s="1028">
        <v>0</v>
      </c>
      <c r="CL100" s="1028">
        <v>0</v>
      </c>
      <c r="CM100" s="1028">
        <v>0</v>
      </c>
      <c r="CQ100" s="1028">
        <v>454225.74</v>
      </c>
      <c r="CS100" s="1028">
        <v>454225.74</v>
      </c>
      <c r="CU100" s="1028">
        <v>2459763360.984251</v>
      </c>
      <c r="CV100" s="1028">
        <v>1914555869.6701124</v>
      </c>
      <c r="CW100" s="1028">
        <v>545207491.31413853</v>
      </c>
      <c r="CY100" s="1028">
        <v>0</v>
      </c>
      <c r="DA100" s="1028">
        <v>0</v>
      </c>
      <c r="DE100" s="1028">
        <v>0</v>
      </c>
      <c r="DI100" s="1028">
        <v>0</v>
      </c>
      <c r="DN100" s="1028">
        <v>617850394.66999996</v>
      </c>
      <c r="DP100" s="1028">
        <v>617850394.66999996</v>
      </c>
      <c r="DQ100" s="1028">
        <v>617850394.66999996</v>
      </c>
      <c r="DT100" s="1028">
        <v>0</v>
      </c>
      <c r="DY100" s="1028">
        <v>1039403335.418589</v>
      </c>
      <c r="EA100" s="1028">
        <v>0</v>
      </c>
      <c r="EB100" s="1028">
        <v>0</v>
      </c>
      <c r="ED100" s="1028">
        <v>1023740806.85</v>
      </c>
      <c r="EE100" s="1028">
        <v>15662528.568589</v>
      </c>
      <c r="EF100" s="1028">
        <v>0</v>
      </c>
      <c r="EH100" s="1028">
        <v>862842998.54000008</v>
      </c>
      <c r="EI100" s="1028">
        <v>401047038</v>
      </c>
      <c r="EJ100" s="1028">
        <v>329833759.08000004</v>
      </c>
      <c r="EK100" s="1028">
        <v>131962201.46000001</v>
      </c>
      <c r="EM100" s="1028">
        <v>998523950.95749807</v>
      </c>
      <c r="ES100" s="1029">
        <v>8110096440.4249344</v>
      </c>
    </row>
    <row r="101" spans="5:149">
      <c r="E101" s="1781">
        <v>44593</v>
      </c>
      <c r="G101" s="1364">
        <v>194500987.64742899</v>
      </c>
      <c r="I101" s="1028">
        <v>185197175.19476774</v>
      </c>
      <c r="J101" s="1028">
        <v>185197175.19476774</v>
      </c>
      <c r="M101" s="1028">
        <v>91050765.263255119</v>
      </c>
      <c r="N101" s="1028">
        <v>91050765.263255119</v>
      </c>
      <c r="O101" s="1028">
        <v>91050765.263255119</v>
      </c>
      <c r="Q101" s="1028">
        <v>0</v>
      </c>
      <c r="T101" s="1028">
        <v>0</v>
      </c>
      <c r="X101" s="1028">
        <v>0</v>
      </c>
      <c r="Y101" s="1028">
        <v>0</v>
      </c>
      <c r="AB101" s="1028">
        <v>0</v>
      </c>
      <c r="AF101" s="1028">
        <v>0</v>
      </c>
      <c r="AK101" s="1028">
        <v>0</v>
      </c>
      <c r="AO101" s="1028">
        <v>863023940.01231492</v>
      </c>
      <c r="AP101" s="1028">
        <v>489425255.69332802</v>
      </c>
      <c r="AQ101" s="1028">
        <v>373598684.31898689</v>
      </c>
      <c r="AR101" s="1028">
        <v>373598684.31898689</v>
      </c>
      <c r="AS101" s="1028">
        <v>0</v>
      </c>
      <c r="AY101" s="1028">
        <v>487207819.32973373</v>
      </c>
      <c r="AZ101" s="1028">
        <v>0</v>
      </c>
      <c r="BC101" s="1028">
        <v>0</v>
      </c>
      <c r="BD101" s="1028">
        <v>487207819.32973373</v>
      </c>
      <c r="BE101" s="1028">
        <v>0</v>
      </c>
      <c r="BL101" s="1028">
        <v>0</v>
      </c>
      <c r="BM101" s="1028">
        <v>0</v>
      </c>
      <c r="BT101" s="1028">
        <v>0</v>
      </c>
      <c r="BU101" s="1028">
        <v>0</v>
      </c>
      <c r="CC101" s="1028">
        <v>394726027.13724494</v>
      </c>
      <c r="CD101" s="1028">
        <v>394726027.13724494</v>
      </c>
      <c r="CE101" s="1028">
        <v>394726027.13724494</v>
      </c>
      <c r="CF101" s="1028">
        <v>0</v>
      </c>
      <c r="CJ101" s="1028">
        <v>0</v>
      </c>
      <c r="CL101" s="1028">
        <v>0</v>
      </c>
      <c r="CM101" s="1028">
        <v>0</v>
      </c>
      <c r="CQ101" s="1028">
        <v>0</v>
      </c>
      <c r="CS101" s="1028">
        <v>0</v>
      </c>
      <c r="CU101" s="1028">
        <v>2733649377.1796341</v>
      </c>
      <c r="CV101" s="1028">
        <v>2056023155.78951</v>
      </c>
      <c r="CW101" s="1028">
        <v>677626221.39012384</v>
      </c>
      <c r="CY101" s="1028">
        <v>0</v>
      </c>
      <c r="DA101" s="1028">
        <v>0</v>
      </c>
      <c r="DE101" s="1028">
        <v>0</v>
      </c>
      <c r="DI101" s="1028">
        <v>0</v>
      </c>
      <c r="DN101" s="1028">
        <v>800484124.62</v>
      </c>
      <c r="DP101" s="1028">
        <v>800484124.62</v>
      </c>
      <c r="DQ101" s="1028">
        <v>800484124.62</v>
      </c>
      <c r="DT101" s="1028">
        <v>0</v>
      </c>
      <c r="DY101" s="1028">
        <v>1333049439.330127</v>
      </c>
      <c r="EA101" s="1028">
        <v>0</v>
      </c>
      <c r="EB101" s="1028">
        <v>0</v>
      </c>
      <c r="ED101" s="1028">
        <v>1316221861.53</v>
      </c>
      <c r="EE101" s="1028">
        <v>16827577.800127</v>
      </c>
      <c r="EF101" s="1028">
        <v>0</v>
      </c>
      <c r="EH101" s="1028">
        <v>1059401640.5738344</v>
      </c>
      <c r="EI101" s="1028">
        <v>398921573.77444899</v>
      </c>
      <c r="EJ101" s="1028">
        <v>458526712.79748201</v>
      </c>
      <c r="EK101" s="1028">
        <v>201953354.00190336</v>
      </c>
      <c r="EM101" s="1028">
        <v>1009540048.5960717</v>
      </c>
      <c r="ES101" s="1029">
        <v>9151831344.8844128</v>
      </c>
    </row>
    <row r="102" spans="5:149">
      <c r="E102" s="1781">
        <v>44621</v>
      </c>
      <c r="G102" s="1364">
        <v>215732466.84999999</v>
      </c>
      <c r="I102" s="1028">
        <v>653015505.62153494</v>
      </c>
      <c r="J102" s="1028">
        <v>653015505.62153494</v>
      </c>
      <c r="M102" s="1028">
        <v>24794460.7085917</v>
      </c>
      <c r="N102" s="1028">
        <v>24794460.7085917</v>
      </c>
      <c r="O102" s="1028">
        <v>24794460.7085917</v>
      </c>
      <c r="Q102" s="1028">
        <v>0</v>
      </c>
      <c r="T102" s="1028">
        <v>0</v>
      </c>
      <c r="X102" s="1028">
        <v>0</v>
      </c>
      <c r="Y102" s="1028">
        <v>0</v>
      </c>
      <c r="AB102" s="1028">
        <v>0</v>
      </c>
      <c r="AF102" s="1028">
        <v>0</v>
      </c>
      <c r="AK102" s="1028">
        <v>0</v>
      </c>
      <c r="AO102" s="1028">
        <v>1563735520.2621412</v>
      </c>
      <c r="AP102" s="1028">
        <v>1274249155.4322801</v>
      </c>
      <c r="AQ102" s="1028">
        <v>289486364.82986128</v>
      </c>
      <c r="AR102" s="1028">
        <v>289486364.82986128</v>
      </c>
      <c r="AS102" s="1028">
        <v>0</v>
      </c>
      <c r="AY102" s="1028">
        <v>457207819.32973373</v>
      </c>
      <c r="AZ102" s="1028">
        <v>0</v>
      </c>
      <c r="BC102" s="1028">
        <v>0</v>
      </c>
      <c r="BD102" s="1028">
        <v>457207819.32973373</v>
      </c>
      <c r="BE102" s="1028">
        <v>0</v>
      </c>
      <c r="BL102" s="1028">
        <v>0</v>
      </c>
      <c r="BM102" s="1028">
        <v>0</v>
      </c>
      <c r="BT102" s="1028">
        <v>0</v>
      </c>
      <c r="BU102" s="1028">
        <v>0</v>
      </c>
      <c r="CC102" s="1028">
        <v>394894555.62353998</v>
      </c>
      <c r="CD102" s="1028">
        <v>394894555.62353998</v>
      </c>
      <c r="CE102" s="1028">
        <v>394894555.62353998</v>
      </c>
      <c r="CF102" s="1028">
        <v>0</v>
      </c>
      <c r="CJ102" s="1028">
        <v>0</v>
      </c>
      <c r="CL102" s="1028">
        <v>0</v>
      </c>
      <c r="CM102" s="1028">
        <v>0</v>
      </c>
      <c r="CQ102" s="1028">
        <v>0</v>
      </c>
      <c r="CS102" s="1028">
        <v>0</v>
      </c>
      <c r="CU102" s="1028">
        <v>2843171171.2196336</v>
      </c>
      <c r="CV102" s="1028">
        <v>2166038157.4334841</v>
      </c>
      <c r="CW102" s="1028">
        <v>677133013.7861495</v>
      </c>
      <c r="CY102" s="1028">
        <v>0</v>
      </c>
      <c r="DA102" s="1028">
        <v>0</v>
      </c>
      <c r="DE102" s="1028">
        <v>0</v>
      </c>
      <c r="DI102" s="1028">
        <v>0</v>
      </c>
      <c r="DN102" s="1028">
        <v>0</v>
      </c>
      <c r="DP102" s="1028">
        <v>0</v>
      </c>
      <c r="DQ102" s="1028">
        <v>0</v>
      </c>
      <c r="DT102" s="1028">
        <v>0</v>
      </c>
      <c r="DY102" s="1028">
        <v>1410492397.2181909</v>
      </c>
      <c r="EA102" s="1028">
        <v>0</v>
      </c>
      <c r="EB102" s="1028">
        <v>0</v>
      </c>
      <c r="ED102" s="1028">
        <v>1391165501.78</v>
      </c>
      <c r="EE102" s="1028">
        <v>19326895.438190997</v>
      </c>
      <c r="EF102" s="1028">
        <v>0</v>
      </c>
      <c r="EH102" s="1028">
        <v>1057323558.8705349</v>
      </c>
      <c r="EI102" s="1028">
        <v>400914064.27444899</v>
      </c>
      <c r="EJ102" s="1028">
        <v>469027932.06545103</v>
      </c>
      <c r="EK102" s="1028">
        <v>187381562.53063485</v>
      </c>
      <c r="EM102" s="1028">
        <v>1136904545.7110214</v>
      </c>
      <c r="ES102" s="1029">
        <v>9757272001.4149227</v>
      </c>
    </row>
    <row r="103" spans="5:149">
      <c r="E103" s="1781">
        <v>44652</v>
      </c>
      <c r="G103" s="1364">
        <v>138779958.65000001</v>
      </c>
      <c r="I103" s="1028">
        <v>706984962.2432636</v>
      </c>
      <c r="J103" s="1028">
        <v>706984962.2432636</v>
      </c>
      <c r="M103" s="1028">
        <v>23098216.800237834</v>
      </c>
      <c r="N103" s="1028">
        <v>23098216.800237834</v>
      </c>
      <c r="O103" s="1028">
        <v>23098216.800237834</v>
      </c>
      <c r="Q103" s="1028">
        <v>0</v>
      </c>
      <c r="T103" s="1028">
        <v>0</v>
      </c>
      <c r="X103" s="1028">
        <v>0</v>
      </c>
      <c r="Y103" s="1028">
        <v>0</v>
      </c>
      <c r="AB103" s="1028">
        <v>0</v>
      </c>
      <c r="AF103" s="1028">
        <v>0</v>
      </c>
      <c r="AK103" s="1028">
        <v>0</v>
      </c>
      <c r="AO103" s="1028">
        <v>1846555501.979517</v>
      </c>
      <c r="AP103" s="1028">
        <v>1458325986.9326599</v>
      </c>
      <c r="AQ103" s="1028">
        <v>388229515.04685718</v>
      </c>
      <c r="AR103" s="1028">
        <v>388229515.04685718</v>
      </c>
      <c r="AS103" s="1028">
        <v>0</v>
      </c>
      <c r="AY103" s="1028">
        <v>457453766.15691519</v>
      </c>
      <c r="AZ103" s="1028">
        <v>0</v>
      </c>
      <c r="BC103" s="1028">
        <v>0</v>
      </c>
      <c r="BD103" s="1028">
        <v>457453766.15691519</v>
      </c>
      <c r="BE103" s="1028">
        <v>0</v>
      </c>
      <c r="BL103" s="1028">
        <v>0</v>
      </c>
      <c r="BM103" s="1028">
        <v>0</v>
      </c>
      <c r="BT103" s="1028">
        <v>0</v>
      </c>
      <c r="BU103" s="1028">
        <v>0</v>
      </c>
      <c r="CC103" s="1028">
        <v>400000000</v>
      </c>
      <c r="CD103" s="1028">
        <v>400000000</v>
      </c>
      <c r="CE103" s="1028">
        <v>400000000</v>
      </c>
      <c r="CF103" s="1028">
        <v>0</v>
      </c>
      <c r="CJ103" s="1028">
        <v>0</v>
      </c>
      <c r="CL103" s="1028">
        <v>0</v>
      </c>
      <c r="CM103" s="1028">
        <v>0</v>
      </c>
      <c r="CQ103" s="1028">
        <v>74391780.561888993</v>
      </c>
      <c r="CS103" s="1028">
        <v>74391780.561888993</v>
      </c>
      <c r="CU103" s="1028">
        <v>3084328234.4359756</v>
      </c>
      <c r="CV103" s="1028">
        <v>2375635789.0336761</v>
      </c>
      <c r="CW103" s="1028">
        <v>708692445.40229928</v>
      </c>
      <c r="CY103" s="1028">
        <v>0</v>
      </c>
      <c r="DA103" s="1028">
        <v>0</v>
      </c>
      <c r="DE103" s="1028">
        <v>0</v>
      </c>
      <c r="DI103" s="1028">
        <v>0</v>
      </c>
      <c r="DN103" s="1028">
        <v>0</v>
      </c>
      <c r="DP103" s="1028">
        <v>0</v>
      </c>
      <c r="DQ103" s="1028">
        <v>0</v>
      </c>
      <c r="DT103" s="1028">
        <v>0</v>
      </c>
      <c r="DY103" s="1028">
        <v>2625417516.9667258</v>
      </c>
      <c r="EA103" s="1028">
        <v>0</v>
      </c>
      <c r="EB103" s="1028">
        <v>0</v>
      </c>
      <c r="ED103" s="1028">
        <v>2604044566.4400001</v>
      </c>
      <c r="EE103" s="1028">
        <v>21372950.526725996</v>
      </c>
      <c r="EF103" s="1028">
        <v>0</v>
      </c>
      <c r="EH103" s="1028">
        <v>1063133106.5334824</v>
      </c>
      <c r="EI103" s="1028">
        <v>414336659.62444901</v>
      </c>
      <c r="EJ103" s="1028">
        <v>464555547.84966701</v>
      </c>
      <c r="EK103" s="1028">
        <v>184240899.05936635</v>
      </c>
      <c r="EM103" s="1028">
        <v>1316640111.9536579</v>
      </c>
    </row>
    <row r="104" spans="5:149">
      <c r="E104" s="1781">
        <v>44682</v>
      </c>
      <c r="G104" s="1364">
        <v>118397539.45</v>
      </c>
      <c r="I104" s="1028">
        <v>507491427.12800545</v>
      </c>
      <c r="J104" s="1028">
        <v>507491427.12800545</v>
      </c>
      <c r="M104" s="1028">
        <v>69406666.662524223</v>
      </c>
      <c r="N104" s="1028">
        <v>69406666.662524223</v>
      </c>
      <c r="O104" s="1028">
        <v>69406666.662524223</v>
      </c>
      <c r="Q104" s="1028">
        <v>0</v>
      </c>
      <c r="T104" s="1028">
        <v>0</v>
      </c>
      <c r="X104" s="1028">
        <v>0</v>
      </c>
      <c r="Y104" s="1028">
        <v>0</v>
      </c>
      <c r="AB104" s="1028">
        <v>0</v>
      </c>
      <c r="AF104" s="1028">
        <v>0</v>
      </c>
      <c r="AK104" s="1028">
        <v>0</v>
      </c>
      <c r="AO104" s="1028">
        <v>3240140672.339426</v>
      </c>
      <c r="AP104" s="1028">
        <v>1795832101.88081</v>
      </c>
      <c r="AQ104" s="1028">
        <v>1444308570.4586158</v>
      </c>
      <c r="AR104" s="1028">
        <v>1444308570.4586158</v>
      </c>
      <c r="AS104" s="1028">
        <v>0</v>
      </c>
      <c r="AY104" s="1028">
        <v>411566291.23533314</v>
      </c>
      <c r="AZ104" s="1028">
        <v>0</v>
      </c>
      <c r="BC104" s="1028">
        <v>0</v>
      </c>
      <c r="BD104" s="1028">
        <v>411566291.23533314</v>
      </c>
      <c r="BE104" s="1028">
        <v>0</v>
      </c>
      <c r="BL104" s="1028">
        <v>0</v>
      </c>
      <c r="BM104" s="1028">
        <v>0</v>
      </c>
      <c r="BT104" s="1028">
        <v>0</v>
      </c>
      <c r="BU104" s="1028">
        <v>0</v>
      </c>
      <c r="CC104" s="1028">
        <v>394221917.5481835</v>
      </c>
      <c r="CD104" s="1028">
        <v>394221917.5481835</v>
      </c>
      <c r="CE104" s="1028">
        <v>394221917.5481835</v>
      </c>
      <c r="CF104" s="1028">
        <v>0</v>
      </c>
      <c r="CJ104" s="1028">
        <v>0</v>
      </c>
      <c r="CL104" s="1028">
        <v>0</v>
      </c>
      <c r="CM104" s="1028">
        <v>0</v>
      </c>
      <c r="CQ104" s="1028">
        <v>0</v>
      </c>
      <c r="CS104" s="1028">
        <v>0</v>
      </c>
      <c r="CU104" s="1028">
        <v>3102080714.4268141</v>
      </c>
      <c r="CV104" s="1028">
        <v>2362158332.9202418</v>
      </c>
      <c r="CW104" s="1028">
        <v>739922381.50657213</v>
      </c>
      <c r="CY104" s="1028">
        <v>0</v>
      </c>
      <c r="DA104" s="1028">
        <v>0</v>
      </c>
      <c r="DE104" s="1028">
        <v>0</v>
      </c>
      <c r="DI104" s="1028">
        <v>0</v>
      </c>
      <c r="DN104" s="1028">
        <v>717360309.80999994</v>
      </c>
      <c r="DP104" s="1028">
        <v>717360309.80999994</v>
      </c>
      <c r="DQ104" s="1028">
        <v>717360309.80999994</v>
      </c>
      <c r="DT104" s="1028">
        <v>0</v>
      </c>
      <c r="DY104" s="1028">
        <v>2184026173.6886678</v>
      </c>
      <c r="EA104" s="1028">
        <v>0</v>
      </c>
      <c r="EB104" s="1028">
        <v>0</v>
      </c>
      <c r="ED104" s="1028">
        <v>2144842571.3099999</v>
      </c>
      <c r="EE104" s="1028">
        <v>39183602.378667995</v>
      </c>
      <c r="EF104" s="1028">
        <v>0</v>
      </c>
      <c r="EH104" s="1028">
        <v>1106335590.3099473</v>
      </c>
      <c r="EI104" s="1028">
        <v>414369148.52444899</v>
      </c>
      <c r="EJ104" s="1028">
        <v>511405185.27599001</v>
      </c>
      <c r="EK104" s="1028">
        <v>180561256.50950828</v>
      </c>
      <c r="EM104" s="1028">
        <v>1729897544.5420444</v>
      </c>
      <c r="ES104" s="1029">
        <v>13580924847.140945</v>
      </c>
    </row>
    <row r="105" spans="5:149">
      <c r="E105" s="1781">
        <v>44713</v>
      </c>
      <c r="G105" s="1364">
        <v>119525622.997429</v>
      </c>
      <c r="I105" s="1028">
        <v>84843016.542260081</v>
      </c>
      <c r="J105" s="1028">
        <v>84843016.542260081</v>
      </c>
      <c r="M105" s="1028">
        <v>1183299441.5035999</v>
      </c>
      <c r="N105" s="1028">
        <v>1183299441.5035999</v>
      </c>
      <c r="O105" s="1028">
        <v>1183299441.5035999</v>
      </c>
      <c r="Q105" s="1028">
        <v>0</v>
      </c>
      <c r="T105" s="1028">
        <v>0</v>
      </c>
      <c r="X105" s="1028">
        <v>0</v>
      </c>
      <c r="Y105" s="1028">
        <v>0</v>
      </c>
      <c r="AB105" s="1028">
        <v>0</v>
      </c>
      <c r="AF105" s="1028">
        <v>0</v>
      </c>
      <c r="AK105" s="1028">
        <v>0</v>
      </c>
      <c r="AO105" s="1028">
        <v>3171473637.4759312</v>
      </c>
      <c r="AP105" s="1028">
        <v>2043589110.328021</v>
      </c>
      <c r="AQ105" s="1028">
        <v>1127884527.1479099</v>
      </c>
      <c r="AR105" s="1028">
        <v>1127884527.1479099</v>
      </c>
      <c r="AS105" s="1028">
        <v>0</v>
      </c>
      <c r="AY105" s="1028">
        <v>559743336.31425881</v>
      </c>
      <c r="AZ105" s="1028">
        <v>0</v>
      </c>
      <c r="BC105" s="1028">
        <v>0</v>
      </c>
      <c r="BD105" s="1028">
        <v>559743336.31425881</v>
      </c>
      <c r="BE105" s="1028">
        <v>0</v>
      </c>
      <c r="BL105" s="1028">
        <v>0</v>
      </c>
      <c r="BM105" s="1028">
        <v>0</v>
      </c>
      <c r="BT105" s="1028">
        <v>0</v>
      </c>
      <c r="BU105" s="1028">
        <v>0</v>
      </c>
      <c r="CC105" s="1028">
        <v>394031237.58190566</v>
      </c>
      <c r="CD105" s="1028">
        <v>394031237.58190566</v>
      </c>
      <c r="CE105" s="1028">
        <v>394031237.58190566</v>
      </c>
      <c r="CF105" s="1028">
        <v>0</v>
      </c>
      <c r="CJ105" s="1028">
        <v>0</v>
      </c>
      <c r="CL105" s="1028">
        <v>0</v>
      </c>
      <c r="CM105" s="1028">
        <v>0</v>
      </c>
      <c r="CQ105" s="1028">
        <v>177761504.73804194</v>
      </c>
      <c r="CS105" s="1028">
        <v>177761504.73804194</v>
      </c>
      <c r="CU105" s="1028">
        <v>3318614648.4643908</v>
      </c>
      <c r="CV105" s="1028">
        <v>2492550311.6463428</v>
      </c>
      <c r="CW105" s="1028">
        <v>826064336.818048</v>
      </c>
      <c r="CY105" s="1028">
        <v>0</v>
      </c>
      <c r="DA105" s="1028">
        <v>0</v>
      </c>
      <c r="DE105" s="1028">
        <v>0</v>
      </c>
      <c r="DI105" s="1028">
        <v>0</v>
      </c>
      <c r="DN105" s="1028">
        <v>1798262354.3</v>
      </c>
      <c r="DP105" s="1028">
        <v>1798262354.3</v>
      </c>
      <c r="DQ105" s="1028">
        <v>1798262354.3</v>
      </c>
      <c r="DT105" s="1028">
        <v>0</v>
      </c>
      <c r="DY105" s="1028">
        <v>1739374936.657541</v>
      </c>
      <c r="EA105" s="1028">
        <v>0</v>
      </c>
      <c r="EB105" s="1028">
        <v>0</v>
      </c>
      <c r="ED105" s="1028">
        <v>1690297537.48</v>
      </c>
      <c r="EE105" s="1028">
        <v>49077399.177541003</v>
      </c>
      <c r="EF105" s="1028">
        <v>0</v>
      </c>
      <c r="EH105" s="1028">
        <v>1157033867.5797825</v>
      </c>
      <c r="EI105" s="1028">
        <v>431372813.58444899</v>
      </c>
      <c r="EJ105" s="1028">
        <v>537814191.16811097</v>
      </c>
      <c r="EK105" s="1028">
        <v>187846862.8272227</v>
      </c>
      <c r="EM105" s="1028">
        <v>1716787441.640825</v>
      </c>
      <c r="ES105" s="1029">
        <v>15420751045.795965</v>
      </c>
    </row>
    <row r="106" spans="5:149">
      <c r="E106" s="1781">
        <v>44743</v>
      </c>
      <c r="G106" s="1364">
        <v>148750887</v>
      </c>
      <c r="I106" s="1028">
        <v>259330110</v>
      </c>
      <c r="J106" s="1028">
        <v>259330110</v>
      </c>
      <c r="M106" s="1028">
        <v>42438155</v>
      </c>
      <c r="N106" s="1028">
        <v>42438155</v>
      </c>
      <c r="O106" s="1028">
        <v>42438155</v>
      </c>
      <c r="Q106" s="1028">
        <v>0</v>
      </c>
      <c r="T106" s="1028">
        <v>0</v>
      </c>
      <c r="X106" s="1028">
        <v>0</v>
      </c>
      <c r="Y106" s="1028">
        <v>0</v>
      </c>
      <c r="AB106" s="1028">
        <v>0</v>
      </c>
      <c r="AF106" s="1028">
        <v>0</v>
      </c>
      <c r="AK106" s="1028">
        <v>0</v>
      </c>
      <c r="AO106" s="1028">
        <v>4606485333</v>
      </c>
      <c r="AP106" s="1028">
        <v>1892212485</v>
      </c>
      <c r="AQ106" s="1028">
        <v>2714272848</v>
      </c>
      <c r="AR106" s="1028">
        <v>2714272848</v>
      </c>
      <c r="AS106" s="1028">
        <v>0</v>
      </c>
      <c r="AY106" s="1028">
        <v>459484945</v>
      </c>
      <c r="AZ106" s="1028">
        <v>0</v>
      </c>
      <c r="BC106" s="1028">
        <v>0</v>
      </c>
      <c r="BD106" s="1028">
        <v>459484945</v>
      </c>
      <c r="BE106" s="1028">
        <v>0</v>
      </c>
      <c r="BL106" s="1028">
        <v>0</v>
      </c>
      <c r="BM106" s="1028">
        <v>0</v>
      </c>
      <c r="BT106" s="1028">
        <v>0</v>
      </c>
      <c r="BU106" s="1028">
        <v>0</v>
      </c>
      <c r="CC106" s="1028">
        <v>394745015</v>
      </c>
      <c r="CD106" s="1028">
        <v>394745015</v>
      </c>
      <c r="CE106" s="1028">
        <v>394745015</v>
      </c>
      <c r="CF106" s="1028">
        <v>0</v>
      </c>
      <c r="CJ106" s="1028">
        <v>0</v>
      </c>
      <c r="CL106" s="1028">
        <v>0</v>
      </c>
      <c r="CM106" s="1028">
        <v>0</v>
      </c>
      <c r="CQ106" s="1028">
        <v>582697155</v>
      </c>
      <c r="CS106" s="1028">
        <v>582697155</v>
      </c>
      <c r="CU106" s="1028">
        <v>3569227092</v>
      </c>
      <c r="CV106" s="1028">
        <v>2658137506</v>
      </c>
      <c r="CW106" s="1028">
        <v>911089586</v>
      </c>
      <c r="CY106" s="1028">
        <v>0</v>
      </c>
      <c r="DA106" s="1028">
        <v>0</v>
      </c>
      <c r="DE106" s="1028">
        <v>0</v>
      </c>
      <c r="DI106" s="1028">
        <v>0</v>
      </c>
      <c r="DN106" s="1028">
        <v>1676852784</v>
      </c>
      <c r="DP106" s="1028">
        <v>1676852784</v>
      </c>
      <c r="DQ106" s="1028">
        <v>1676852784</v>
      </c>
      <c r="DT106" s="1028">
        <v>0</v>
      </c>
      <c r="DY106" s="1028">
        <v>1521262514</v>
      </c>
      <c r="EA106" s="1028">
        <v>0</v>
      </c>
      <c r="EB106" s="1028">
        <v>0</v>
      </c>
      <c r="ED106" s="1028">
        <v>1465719634</v>
      </c>
      <c r="EE106" s="1028">
        <v>55542880</v>
      </c>
      <c r="EF106" s="1028">
        <v>0</v>
      </c>
      <c r="EH106" s="1028">
        <v>3496765246</v>
      </c>
      <c r="EI106" s="1028">
        <v>1373176663</v>
      </c>
      <c r="EJ106" s="1028">
        <v>1421719573</v>
      </c>
      <c r="EK106" s="1028">
        <v>701869010</v>
      </c>
      <c r="EM106" s="1028">
        <v>3554341745</v>
      </c>
      <c r="ES106" s="1029">
        <v>20312380981</v>
      </c>
    </row>
    <row r="107" spans="5:149">
      <c r="E107" s="1781">
        <v>44774</v>
      </c>
      <c r="G107" s="1364">
        <v>146104403.59742901</v>
      </c>
      <c r="I107" s="1028">
        <v>657954283.76892614</v>
      </c>
      <c r="J107" s="1028">
        <v>657954283.76892614</v>
      </c>
      <c r="M107" s="1028">
        <v>36179223.149449825</v>
      </c>
      <c r="N107" s="1028">
        <v>36179223.149449825</v>
      </c>
      <c r="O107" s="1028">
        <v>36179223.149449825</v>
      </c>
      <c r="Q107" s="1028">
        <v>0</v>
      </c>
      <c r="T107" s="1028">
        <v>0</v>
      </c>
      <c r="X107" s="1028">
        <v>0</v>
      </c>
      <c r="Y107" s="1028">
        <v>0</v>
      </c>
      <c r="AB107" s="1028">
        <v>0</v>
      </c>
      <c r="AF107" s="1028">
        <v>0</v>
      </c>
      <c r="AK107" s="1028">
        <v>0</v>
      </c>
      <c r="AO107" s="1028">
        <v>4978025315.2571115</v>
      </c>
      <c r="AP107" s="1028">
        <v>2024853500.7771809</v>
      </c>
      <c r="AQ107" s="1028">
        <v>2953171814.4799304</v>
      </c>
      <c r="AR107" s="1028">
        <v>2953171814.4799304</v>
      </c>
      <c r="AS107" s="1028">
        <v>0</v>
      </c>
      <c r="AY107" s="1028">
        <v>460708533.33562505</v>
      </c>
      <c r="AZ107" s="1028">
        <v>0</v>
      </c>
      <c r="BC107" s="1028">
        <v>0</v>
      </c>
      <c r="BD107" s="1028">
        <v>460708533.33562505</v>
      </c>
      <c r="BE107" s="1028">
        <v>0</v>
      </c>
      <c r="BL107" s="1028">
        <v>0</v>
      </c>
      <c r="BM107" s="1028">
        <v>0</v>
      </c>
      <c r="BT107" s="1028">
        <v>0</v>
      </c>
      <c r="BU107" s="1028">
        <v>0</v>
      </c>
      <c r="CC107" s="1028">
        <v>394208061.01219469</v>
      </c>
      <c r="CD107" s="1028">
        <v>394208061.01219469</v>
      </c>
      <c r="CE107" s="1028">
        <v>394208061.01219469</v>
      </c>
      <c r="CF107" s="1028">
        <v>0</v>
      </c>
      <c r="CJ107" s="1028">
        <v>0</v>
      </c>
      <c r="CL107" s="1028">
        <v>0</v>
      </c>
      <c r="CM107" s="1028">
        <v>0</v>
      </c>
      <c r="CQ107" s="1028">
        <v>581904538.61355531</v>
      </c>
      <c r="CS107" s="1028">
        <v>581904538.61355531</v>
      </c>
      <c r="CU107" s="1028">
        <v>4158439508.0524921</v>
      </c>
      <c r="CV107" s="1028">
        <v>3153083254.5203209</v>
      </c>
      <c r="CW107" s="1028">
        <v>1005356253.5321712</v>
      </c>
      <c r="CY107" s="1028">
        <v>0</v>
      </c>
      <c r="DA107" s="1028">
        <v>0</v>
      </c>
      <c r="DE107" s="1028">
        <v>0</v>
      </c>
      <c r="DI107" s="1028">
        <v>0</v>
      </c>
      <c r="DN107" s="1028">
        <v>1248561936.4200001</v>
      </c>
      <c r="DP107" s="1028">
        <v>1248561936.4200001</v>
      </c>
      <c r="DQ107" s="1028">
        <v>1248561936.4200001</v>
      </c>
      <c r="DT107" s="1028">
        <v>0</v>
      </c>
      <c r="DY107" s="1028">
        <v>1278125919.9699221</v>
      </c>
      <c r="EA107" s="1028">
        <v>0</v>
      </c>
      <c r="EB107" s="1028">
        <v>0</v>
      </c>
      <c r="ED107" s="1028">
        <v>1205409263.1300001</v>
      </c>
      <c r="EE107" s="1028">
        <v>72716656.839921996</v>
      </c>
      <c r="EF107" s="1028">
        <v>0</v>
      </c>
      <c r="EH107" s="1028">
        <v>3619411118.939024</v>
      </c>
      <c r="EI107" s="1028">
        <v>1425428619.57445</v>
      </c>
      <c r="EJ107" s="1028">
        <v>1429394485.1373341</v>
      </c>
      <c r="EK107" s="1028">
        <v>764588014.22723937</v>
      </c>
      <c r="EM107" s="1028">
        <v>4090668816.7401323</v>
      </c>
      <c r="ES107" s="1029">
        <v>21650291658.855862</v>
      </c>
    </row>
    <row r="108" spans="5:149">
      <c r="E108" s="1781">
        <v>44805</v>
      </c>
      <c r="G108" s="1364">
        <v>152200300.59742901</v>
      </c>
      <c r="I108" s="1028">
        <v>858521256.91843653</v>
      </c>
      <c r="J108" s="1028">
        <v>858521256.91843653</v>
      </c>
      <c r="M108" s="1028">
        <v>-71075598.393265247</v>
      </c>
      <c r="N108" s="1028">
        <v>-71075598.393265247</v>
      </c>
      <c r="O108" s="1028">
        <v>-71075598.393265247</v>
      </c>
      <c r="Q108" s="1028">
        <v>0</v>
      </c>
      <c r="T108" s="1028">
        <v>0</v>
      </c>
      <c r="X108" s="1028">
        <v>0</v>
      </c>
      <c r="Y108" s="1028">
        <v>0</v>
      </c>
      <c r="AB108" s="1028">
        <v>0</v>
      </c>
      <c r="AF108" s="1028">
        <v>0</v>
      </c>
      <c r="AK108" s="1028">
        <v>0</v>
      </c>
      <c r="AO108" s="1028">
        <v>5226635010.716917</v>
      </c>
      <c r="AP108" s="1028">
        <v>3638054231.9560614</v>
      </c>
      <c r="AQ108" s="1028">
        <v>1588580778.7608552</v>
      </c>
      <c r="AR108" s="1028">
        <v>1588580778.7608552</v>
      </c>
      <c r="AS108" s="1028">
        <v>0</v>
      </c>
      <c r="AY108" s="1028">
        <v>609168050.71999991</v>
      </c>
      <c r="AZ108" s="1028">
        <v>0</v>
      </c>
      <c r="BC108" s="1028">
        <v>0</v>
      </c>
      <c r="BD108" s="1028">
        <v>609168050.71999991</v>
      </c>
      <c r="BE108" s="1028">
        <v>0</v>
      </c>
      <c r="BL108" s="1028">
        <v>0</v>
      </c>
      <c r="BM108" s="1028">
        <v>0</v>
      </c>
      <c r="BT108" s="1028">
        <v>0</v>
      </c>
      <c r="BU108" s="1028">
        <v>0</v>
      </c>
      <c r="CC108" s="1028">
        <v>295607726.65516305</v>
      </c>
      <c r="CD108" s="1028">
        <v>295607726.65516305</v>
      </c>
      <c r="CE108" s="1028">
        <v>295607726.65516305</v>
      </c>
      <c r="CF108" s="1028">
        <v>0</v>
      </c>
      <c r="CJ108" s="1028">
        <v>0</v>
      </c>
      <c r="CL108" s="1028">
        <v>0</v>
      </c>
      <c r="CM108" s="1028">
        <v>0</v>
      </c>
      <c r="CQ108" s="1028">
        <v>749320482.98771191</v>
      </c>
      <c r="CS108" s="1028">
        <v>749320482.98771191</v>
      </c>
      <c r="CU108" s="1028">
        <v>4374852354.2291498</v>
      </c>
      <c r="CV108" s="1028">
        <v>3625619584.1715341</v>
      </c>
      <c r="CW108" s="1028">
        <v>749232770.05761552</v>
      </c>
      <c r="CY108" s="1028">
        <v>0</v>
      </c>
      <c r="DA108" s="1028">
        <v>0</v>
      </c>
      <c r="DE108" s="1028">
        <v>0</v>
      </c>
      <c r="DI108" s="1028">
        <v>0</v>
      </c>
      <c r="DN108" s="1028">
        <v>2046632324.3199999</v>
      </c>
      <c r="DP108" s="1028">
        <v>2046632324.3199999</v>
      </c>
      <c r="DQ108" s="1028">
        <v>2046632324.3199999</v>
      </c>
      <c r="DT108" s="1028">
        <v>0</v>
      </c>
      <c r="DY108" s="1028">
        <v>1389053218.9928031</v>
      </c>
      <c r="EA108" s="1028">
        <v>0</v>
      </c>
      <c r="EB108" s="1028">
        <v>0</v>
      </c>
      <c r="ED108" s="1028">
        <v>1306719949.9200001</v>
      </c>
      <c r="EE108" s="1028">
        <v>82333269.072802991</v>
      </c>
      <c r="EF108" s="1028">
        <v>0</v>
      </c>
      <c r="EH108" s="1028">
        <v>4142468390.5327811</v>
      </c>
      <c r="EI108" s="1028">
        <v>1829219976.6844501</v>
      </c>
      <c r="EJ108" s="1028">
        <v>1474682661.0590789</v>
      </c>
      <c r="EK108" s="1028">
        <v>838565752.78925169</v>
      </c>
      <c r="EM108" s="1028">
        <v>4573454039.5195761</v>
      </c>
      <c r="ES108" s="1029">
        <v>24346837557.796703</v>
      </c>
    </row>
    <row r="109" spans="5:149">
      <c r="E109" s="1781">
        <v>44835</v>
      </c>
      <c r="G109" s="1364">
        <v>159497714.59742901</v>
      </c>
      <c r="I109" s="1028">
        <v>1467313001.4109566</v>
      </c>
      <c r="J109" s="1028">
        <v>1467313001.4109566</v>
      </c>
      <c r="M109" s="1028">
        <v>-130334050.32304716</v>
      </c>
      <c r="N109" s="1028">
        <v>-130334050.32304716</v>
      </c>
      <c r="O109" s="1028">
        <v>-130334050.32304716</v>
      </c>
      <c r="Q109" s="1028">
        <v>0</v>
      </c>
      <c r="T109" s="1028">
        <v>0</v>
      </c>
      <c r="X109" s="1028">
        <v>0</v>
      </c>
      <c r="Y109" s="1028">
        <v>0</v>
      </c>
      <c r="AB109" s="1028">
        <v>0</v>
      </c>
      <c r="AF109" s="1028">
        <v>0</v>
      </c>
      <c r="AK109" s="1028">
        <v>0</v>
      </c>
      <c r="AO109" s="1028">
        <v>6142326078.8568687</v>
      </c>
      <c r="AP109" s="1028">
        <v>4266952880.1953311</v>
      </c>
      <c r="AQ109" s="1028">
        <v>1875373198.6615372</v>
      </c>
      <c r="AR109" s="1028">
        <v>1875373198.6615372</v>
      </c>
      <c r="AS109" s="1028">
        <v>0</v>
      </c>
      <c r="AY109" s="1028">
        <v>707570179.30056393</v>
      </c>
      <c r="AZ109" s="1028">
        <v>0</v>
      </c>
      <c r="BC109" s="1028">
        <v>0</v>
      </c>
      <c r="BD109" s="1028">
        <v>707570179.30056393</v>
      </c>
      <c r="BE109" s="1028">
        <v>0</v>
      </c>
      <c r="BL109" s="1028">
        <v>0</v>
      </c>
      <c r="BM109" s="1028">
        <v>0</v>
      </c>
      <c r="BT109" s="1028">
        <v>0</v>
      </c>
      <c r="BU109" s="1028">
        <v>0</v>
      </c>
      <c r="CC109" s="1028">
        <v>98546487.303379118</v>
      </c>
      <c r="CD109" s="1028">
        <v>98546487.303379118</v>
      </c>
      <c r="CE109" s="1028">
        <v>98546487.303379118</v>
      </c>
      <c r="CF109" s="1028">
        <v>0</v>
      </c>
      <c r="CJ109" s="1028">
        <v>0</v>
      </c>
      <c r="CL109" s="1028">
        <v>0</v>
      </c>
      <c r="CM109" s="1028">
        <v>0</v>
      </c>
      <c r="CQ109" s="1028">
        <v>552307952.41012084</v>
      </c>
      <c r="CS109" s="1028">
        <v>552307952.41012084</v>
      </c>
      <c r="CU109" s="1028">
        <v>5198614365.1492119</v>
      </c>
      <c r="CV109" s="1028">
        <v>4705769449.2247944</v>
      </c>
      <c r="CW109" s="1028">
        <v>492844915.9244175</v>
      </c>
      <c r="CY109" s="1028">
        <v>0</v>
      </c>
      <c r="DA109" s="1028">
        <v>0</v>
      </c>
      <c r="DE109" s="1028">
        <v>0</v>
      </c>
      <c r="DI109" s="1028">
        <v>0</v>
      </c>
      <c r="DN109" s="1028">
        <v>1246712813.29</v>
      </c>
      <c r="DP109" s="1028">
        <v>1246712813.29</v>
      </c>
      <c r="DQ109" s="1028">
        <v>1246712813.29</v>
      </c>
      <c r="DT109" s="1028">
        <v>0</v>
      </c>
      <c r="DY109" s="1028">
        <v>1347177862.6039529</v>
      </c>
      <c r="EA109" s="1028">
        <v>0</v>
      </c>
      <c r="EB109" s="1028">
        <v>0</v>
      </c>
      <c r="ED109" s="1028">
        <v>1263248528.3299999</v>
      </c>
      <c r="EE109" s="1028">
        <v>83929334.273952991</v>
      </c>
      <c r="EF109" s="1028">
        <v>0</v>
      </c>
      <c r="EH109" s="1028">
        <v>4518180937.1499996</v>
      </c>
      <c r="EI109" s="1028">
        <v>1875297336.55</v>
      </c>
      <c r="EJ109" s="1028">
        <v>1818306390.3099999</v>
      </c>
      <c r="EK109" s="1028">
        <v>824577210.28999996</v>
      </c>
      <c r="EM109" s="1028">
        <v>4820282175.4594946</v>
      </c>
      <c r="ES109" s="1029">
        <v>26128195517.208931</v>
      </c>
    </row>
    <row r="110" spans="5:149">
      <c r="E110" s="1781">
        <v>44866</v>
      </c>
      <c r="G110" s="1364">
        <v>157135761.59742901</v>
      </c>
      <c r="I110" s="1028">
        <v>1048792807.2822417</v>
      </c>
      <c r="J110" s="1028">
        <v>1048792807.2822417</v>
      </c>
      <c r="M110" s="1028">
        <v>46281948.508099556</v>
      </c>
      <c r="N110" s="1028">
        <v>46281948.508099556</v>
      </c>
      <c r="O110" s="1028">
        <v>46281948.508099556</v>
      </c>
      <c r="Q110" s="1028">
        <v>0</v>
      </c>
      <c r="T110" s="1028">
        <v>0</v>
      </c>
      <c r="X110" s="1028">
        <v>0</v>
      </c>
      <c r="Y110" s="1028">
        <v>0</v>
      </c>
      <c r="AB110" s="1028">
        <v>0</v>
      </c>
      <c r="AF110" s="1028">
        <v>0</v>
      </c>
      <c r="AK110" s="1028">
        <v>0</v>
      </c>
      <c r="AO110" s="1028">
        <v>6556671599.6070213</v>
      </c>
      <c r="AP110" s="1028">
        <v>4799112723.7173109</v>
      </c>
      <c r="AQ110" s="1028">
        <v>1757558875.8897104</v>
      </c>
      <c r="AR110" s="1028">
        <v>1757558875.8897104</v>
      </c>
      <c r="AS110" s="1028">
        <v>0</v>
      </c>
      <c r="AY110" s="1028">
        <v>706893891.890625</v>
      </c>
      <c r="AZ110" s="1028">
        <v>0</v>
      </c>
      <c r="BC110" s="1028">
        <v>0</v>
      </c>
      <c r="BD110" s="1028">
        <v>706893891.890625</v>
      </c>
      <c r="BE110" s="1028">
        <v>0</v>
      </c>
      <c r="BL110" s="1028">
        <v>0</v>
      </c>
      <c r="BM110" s="1028">
        <v>0</v>
      </c>
      <c r="BT110" s="1028">
        <v>0</v>
      </c>
      <c r="BU110" s="1028">
        <v>0</v>
      </c>
      <c r="CC110" s="1028">
        <v>97835500.027374998</v>
      </c>
      <c r="CD110" s="1028">
        <v>97835500.027374998</v>
      </c>
      <c r="CE110" s="1028">
        <v>97835500.027374998</v>
      </c>
      <c r="CF110" s="1028">
        <v>0</v>
      </c>
      <c r="CJ110" s="1028">
        <v>0</v>
      </c>
      <c r="CL110" s="1028">
        <v>0</v>
      </c>
      <c r="CM110" s="1028">
        <v>0</v>
      </c>
      <c r="CQ110" s="1028">
        <v>0</v>
      </c>
      <c r="CS110" s="1028">
        <v>0</v>
      </c>
      <c r="CU110" s="1028">
        <v>5714165472.7229748</v>
      </c>
      <c r="CV110" s="1028">
        <v>5149026313.0233393</v>
      </c>
      <c r="CW110" s="1028">
        <v>565139159.69963515</v>
      </c>
      <c r="CY110" s="1028">
        <v>0</v>
      </c>
      <c r="DA110" s="1028">
        <v>0</v>
      </c>
      <c r="DE110" s="1028">
        <v>0</v>
      </c>
      <c r="DI110" s="1028">
        <v>0</v>
      </c>
      <c r="DN110" s="1028">
        <v>1700669768.6199999</v>
      </c>
      <c r="DP110" s="1028">
        <v>1700669768.6199999</v>
      </c>
      <c r="DQ110" s="1028">
        <v>1700669768.6199999</v>
      </c>
      <c r="DT110" s="1028">
        <v>0</v>
      </c>
      <c r="DY110" s="1028">
        <v>1311300664.928993</v>
      </c>
      <c r="EA110" s="1028">
        <v>0</v>
      </c>
      <c r="EB110" s="1028">
        <v>0</v>
      </c>
      <c r="ED110" s="1028">
        <v>1223710634.27</v>
      </c>
      <c r="EE110" s="1028">
        <v>87590030.658992991</v>
      </c>
      <c r="EF110" s="1028">
        <v>0</v>
      </c>
      <c r="EH110" s="1028">
        <v>4670992095.5999994</v>
      </c>
      <c r="EI110" s="1028">
        <v>1872208431.01</v>
      </c>
      <c r="EJ110" s="1028">
        <v>1988194997.0599999</v>
      </c>
      <c r="EK110" s="1028">
        <v>810588667.52999997</v>
      </c>
      <c r="EM110" s="1028">
        <v>4920120094.7891846</v>
      </c>
      <c r="ES110" s="1029">
        <v>26930859605.57394</v>
      </c>
    </row>
    <row r="111" spans="5:149">
      <c r="E111" s="1781">
        <v>44896</v>
      </c>
      <c r="G111" s="1364">
        <v>112242492.897429</v>
      </c>
      <c r="I111" s="1028">
        <v>614341665.33445525</v>
      </c>
      <c r="J111" s="1028">
        <v>614341665.33445525</v>
      </c>
      <c r="M111" s="1028">
        <v>55549024.662759304</v>
      </c>
      <c r="N111" s="1028">
        <v>55549024.662759304</v>
      </c>
      <c r="O111" s="1028">
        <v>55549024.662759304</v>
      </c>
      <c r="Q111" s="1028">
        <v>0</v>
      </c>
      <c r="T111" s="1028">
        <v>0</v>
      </c>
      <c r="X111" s="1028">
        <v>0</v>
      </c>
      <c r="Y111" s="1028">
        <v>0</v>
      </c>
      <c r="AB111" s="1028">
        <v>0</v>
      </c>
      <c r="AF111" s="1028">
        <v>0</v>
      </c>
      <c r="AK111" s="1028">
        <v>0</v>
      </c>
      <c r="AO111" s="1028">
        <v>11149324290.401882</v>
      </c>
      <c r="AP111" s="1028">
        <v>8558756866.156291</v>
      </c>
      <c r="AQ111" s="1028">
        <v>2590567424.2455907</v>
      </c>
      <c r="AR111" s="1028">
        <v>2590567424.2455907</v>
      </c>
      <c r="AS111" s="1028">
        <v>0</v>
      </c>
      <c r="AY111" s="1028">
        <v>707015061.56737494</v>
      </c>
      <c r="AZ111" s="1028">
        <v>0</v>
      </c>
      <c r="BC111" s="1028">
        <v>0</v>
      </c>
      <c r="BD111" s="1028">
        <v>707015061.56737494</v>
      </c>
      <c r="BE111" s="1028">
        <v>0</v>
      </c>
      <c r="BL111" s="1028">
        <v>0</v>
      </c>
      <c r="BM111" s="1028">
        <v>0</v>
      </c>
      <c r="BT111" s="1028">
        <v>0</v>
      </c>
      <c r="BU111" s="1028">
        <v>0</v>
      </c>
      <c r="CC111" s="1028">
        <v>0</v>
      </c>
      <c r="CD111" s="1028">
        <v>0</v>
      </c>
      <c r="CE111" s="1028">
        <v>0</v>
      </c>
      <c r="CF111" s="1028">
        <v>0</v>
      </c>
      <c r="CJ111" s="1028">
        <v>0</v>
      </c>
      <c r="CL111" s="1028">
        <v>0</v>
      </c>
      <c r="CM111" s="1028">
        <v>0</v>
      </c>
      <c r="CQ111" s="1028">
        <v>493383022.259</v>
      </c>
      <c r="CS111" s="1028">
        <v>493383022.259</v>
      </c>
      <c r="CU111" s="1028">
        <v>5962543954.9328041</v>
      </c>
      <c r="CV111" s="1028">
        <v>5683034838.9402981</v>
      </c>
      <c r="CW111" s="1028">
        <v>279509115.99250573</v>
      </c>
      <c r="CY111" s="1028">
        <v>0</v>
      </c>
      <c r="DA111" s="1028">
        <v>0</v>
      </c>
      <c r="DE111" s="1028">
        <v>0</v>
      </c>
      <c r="DI111" s="1028">
        <v>0</v>
      </c>
      <c r="DN111" s="1028">
        <v>2767690478.27</v>
      </c>
      <c r="DP111" s="1028">
        <v>2767690478.27</v>
      </c>
      <c r="DQ111" s="1028">
        <v>2767690478.27</v>
      </c>
      <c r="DT111" s="1028">
        <v>0</v>
      </c>
      <c r="DY111" s="1028">
        <v>1675768762.8580379</v>
      </c>
      <c r="EA111" s="1028">
        <v>0</v>
      </c>
      <c r="EB111" s="1028">
        <v>0</v>
      </c>
      <c r="ED111" s="1028">
        <v>1585524018.27</v>
      </c>
      <c r="EE111" s="1028">
        <v>90244744.588037997</v>
      </c>
      <c r="EF111" s="1028">
        <v>0</v>
      </c>
      <c r="EH111" s="1028">
        <v>4731486432.6300001</v>
      </c>
      <c r="EI111" s="1028">
        <v>1879347371.6100001</v>
      </c>
      <c r="EJ111" s="1028">
        <v>2055538936.25</v>
      </c>
      <c r="EK111" s="1028">
        <v>796600124.76999998</v>
      </c>
      <c r="EM111" s="1028">
        <v>5754820601.8644285</v>
      </c>
      <c r="ES111" s="1029">
        <v>34024165787.678177</v>
      </c>
    </row>
    <row r="113" spans="5:149">
      <c r="E113" s="1781">
        <v>44927</v>
      </c>
      <c r="G113" s="1364">
        <v>128983174.497429</v>
      </c>
      <c r="I113" s="1028">
        <v>2365696369.6697998</v>
      </c>
      <c r="J113" s="1028">
        <v>2365696369.6697998</v>
      </c>
      <c r="M113" s="1028">
        <v>113604237.84085464</v>
      </c>
      <c r="N113" s="1028">
        <v>113604237.84085464</v>
      </c>
      <c r="O113" s="1028">
        <v>113604237.84085464</v>
      </c>
      <c r="Q113" s="1028">
        <v>0</v>
      </c>
      <c r="T113" s="1028">
        <v>0</v>
      </c>
      <c r="X113" s="1028">
        <v>0</v>
      </c>
      <c r="Y113" s="1028">
        <v>0</v>
      </c>
      <c r="AB113" s="1028">
        <v>0</v>
      </c>
      <c r="AF113" s="1028">
        <v>0</v>
      </c>
      <c r="AK113" s="1028">
        <v>0</v>
      </c>
      <c r="AO113" s="1028">
        <v>10081076838.473747</v>
      </c>
      <c r="AP113" s="1028">
        <v>6483057388.9769611</v>
      </c>
      <c r="AQ113" s="1028">
        <v>3598019449.4967852</v>
      </c>
      <c r="AR113" s="1028">
        <v>3598019449.4967852</v>
      </c>
      <c r="AS113" s="1028">
        <v>0</v>
      </c>
      <c r="AY113" s="1028">
        <v>805035717.54487491</v>
      </c>
      <c r="AZ113" s="1028">
        <v>0</v>
      </c>
      <c r="BC113" s="1028">
        <v>0</v>
      </c>
      <c r="BD113" s="1028">
        <v>805035717.54487491</v>
      </c>
      <c r="BE113" s="1028">
        <v>0</v>
      </c>
      <c r="BL113" s="1028">
        <v>0</v>
      </c>
      <c r="BM113" s="1028">
        <v>0</v>
      </c>
      <c r="BT113" s="1028">
        <v>0</v>
      </c>
      <c r="BU113" s="1028">
        <v>0</v>
      </c>
      <c r="CC113" s="1028">
        <v>0</v>
      </c>
      <c r="CD113" s="1028">
        <v>0</v>
      </c>
      <c r="CE113" s="1028">
        <v>0</v>
      </c>
      <c r="CF113" s="1028">
        <v>0</v>
      </c>
      <c r="CJ113" s="1028">
        <v>0</v>
      </c>
      <c r="CL113" s="1028">
        <v>0</v>
      </c>
      <c r="CM113" s="1028">
        <v>0</v>
      </c>
      <c r="CQ113" s="1028">
        <v>473690000</v>
      </c>
      <c r="CS113" s="1028">
        <v>473690000</v>
      </c>
      <c r="CU113" s="1028">
        <v>7460944368.1415644</v>
      </c>
      <c r="CV113" s="1028">
        <v>6948777903.5748796</v>
      </c>
      <c r="CW113" s="1028">
        <v>512166464.56668472</v>
      </c>
      <c r="CY113" s="1028">
        <v>0</v>
      </c>
      <c r="DA113" s="1028">
        <v>0</v>
      </c>
      <c r="DE113" s="1028">
        <v>0</v>
      </c>
      <c r="DI113" s="1028">
        <v>0</v>
      </c>
      <c r="DN113" s="1028">
        <v>1344552578.4400001</v>
      </c>
      <c r="DP113" s="1028">
        <v>1344552578.4400001</v>
      </c>
      <c r="DQ113" s="1028">
        <v>1344552578.4400001</v>
      </c>
      <c r="DT113" s="1028">
        <v>0</v>
      </c>
      <c r="DY113" s="1028">
        <v>2113593883.6212449</v>
      </c>
      <c r="EA113" s="1028">
        <v>0</v>
      </c>
      <c r="EB113" s="1028">
        <v>0</v>
      </c>
      <c r="ED113" s="1028">
        <v>2006123641.5</v>
      </c>
      <c r="EE113" s="1028">
        <v>107470242.121245</v>
      </c>
      <c r="EF113" s="1028">
        <v>0</v>
      </c>
      <c r="EH113" s="1028">
        <v>7498865693.2999992</v>
      </c>
      <c r="EI113" s="1028">
        <v>2838138115.1599998</v>
      </c>
      <c r="EJ113" s="1028">
        <v>2791132041.2199998</v>
      </c>
      <c r="EK113" s="1028">
        <v>1869595536.9200001</v>
      </c>
      <c r="EM113" s="1028">
        <v>5047871150.5696354</v>
      </c>
      <c r="ES113" s="1029">
        <v>37433914012.099152</v>
      </c>
    </row>
    <row r="114" spans="5:149">
      <c r="E114" s="1781">
        <v>44958</v>
      </c>
      <c r="G114" s="1364">
        <v>174624042.34742901</v>
      </c>
      <c r="I114" s="1028">
        <v>1848024919.5861831</v>
      </c>
      <c r="J114" s="1028">
        <v>1848024919.5861831</v>
      </c>
      <c r="M114" s="1028">
        <v>401505418.98838186</v>
      </c>
      <c r="N114" s="1028">
        <v>401505418.98838186</v>
      </c>
      <c r="O114" s="1028">
        <v>401505418.98838186</v>
      </c>
      <c r="Q114" s="1028">
        <v>0</v>
      </c>
      <c r="T114" s="1028">
        <v>0</v>
      </c>
      <c r="X114" s="1028">
        <v>0</v>
      </c>
      <c r="Y114" s="1028">
        <v>0</v>
      </c>
      <c r="AB114" s="1028">
        <v>0</v>
      </c>
      <c r="AF114" s="1028">
        <v>0</v>
      </c>
      <c r="AK114" s="1028">
        <v>0</v>
      </c>
      <c r="AO114" s="1028">
        <v>12416816654.270189</v>
      </c>
      <c r="AP114" s="1028">
        <v>9832670409.2065716</v>
      </c>
      <c r="AQ114" s="1028">
        <v>2584146245.0636182</v>
      </c>
      <c r="AR114" s="1028">
        <v>2584146245.0636182</v>
      </c>
      <c r="AS114" s="1028">
        <v>0</v>
      </c>
      <c r="AY114" s="1028">
        <v>903248257.50612497</v>
      </c>
      <c r="AZ114" s="1028">
        <v>0</v>
      </c>
      <c r="BC114" s="1028">
        <v>0</v>
      </c>
      <c r="BD114" s="1028">
        <v>903248257.50612497</v>
      </c>
      <c r="BE114" s="1028">
        <v>0</v>
      </c>
      <c r="BL114" s="1028">
        <v>0</v>
      </c>
      <c r="BM114" s="1028">
        <v>0</v>
      </c>
      <c r="BT114" s="1028">
        <v>0</v>
      </c>
      <c r="BU114" s="1028">
        <v>0</v>
      </c>
      <c r="CC114" s="1028">
        <v>0</v>
      </c>
      <c r="CD114" s="1028">
        <v>0</v>
      </c>
      <c r="CE114" s="1028">
        <v>0</v>
      </c>
      <c r="CF114" s="1028">
        <v>0</v>
      </c>
      <c r="CJ114" s="1028">
        <v>0</v>
      </c>
      <c r="CL114" s="1028">
        <v>0</v>
      </c>
      <c r="CM114" s="1028">
        <v>0</v>
      </c>
      <c r="CQ114" s="1028">
        <v>471595995.84064627</v>
      </c>
      <c r="CS114" s="1028">
        <v>471595995.84064627</v>
      </c>
      <c r="CU114" s="1028">
        <v>9132263387.7521362</v>
      </c>
      <c r="CV114" s="1028">
        <v>7796590577.7121468</v>
      </c>
      <c r="CW114" s="1028">
        <v>1335672810.0399885</v>
      </c>
      <c r="CY114" s="1028">
        <v>0</v>
      </c>
      <c r="DA114" s="1028">
        <v>0</v>
      </c>
      <c r="DE114" s="1028">
        <v>0</v>
      </c>
      <c r="DI114" s="1028">
        <v>0</v>
      </c>
      <c r="DN114" s="1028">
        <v>997892824.23000002</v>
      </c>
      <c r="DP114" s="1028">
        <v>997892824.23000002</v>
      </c>
      <c r="DQ114" s="1028">
        <v>997892824.23000002</v>
      </c>
      <c r="DT114" s="1028">
        <v>0</v>
      </c>
      <c r="DY114" s="1028">
        <v>2542830329.6134853</v>
      </c>
      <c r="EA114" s="1028">
        <v>0</v>
      </c>
      <c r="EB114" s="1028">
        <v>0</v>
      </c>
      <c r="ED114" s="1028">
        <v>2423415376.0700002</v>
      </c>
      <c r="EE114" s="1028">
        <v>119414953.543485</v>
      </c>
      <c r="EF114" s="1028">
        <v>0</v>
      </c>
      <c r="EH114" s="1028">
        <v>8840625829.3213196</v>
      </c>
      <c r="EI114" s="1028">
        <v>2955975497.57445</v>
      </c>
      <c r="EJ114" s="1028">
        <v>4553026236.1803598</v>
      </c>
      <c r="EK114" s="1028">
        <v>1331624095.56651</v>
      </c>
      <c r="EM114" s="1028">
        <v>6262557297.5421219</v>
      </c>
      <c r="ES114" s="1029">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8"/>
    <col min="2" max="2" width="9.36328125" style="1028" bestFit="1" customWidth="1"/>
    <col min="3" max="3" width="32.453125" style="1028" bestFit="1" customWidth="1"/>
    <col min="4" max="4" width="16.36328125" style="1028" customWidth="1"/>
    <col min="5" max="6" width="12" style="1028" bestFit="1" customWidth="1"/>
    <col min="7" max="14" width="8.90625" style="1028"/>
    <col min="15" max="16" width="12" style="1028" bestFit="1" customWidth="1"/>
    <col min="17" max="18" width="11" style="1028" bestFit="1" customWidth="1"/>
    <col min="19" max="19" width="10.54296875" style="1028" bestFit="1" customWidth="1"/>
    <col min="20" max="20" width="8.90625" style="1028"/>
    <col min="21" max="21" width="12" style="1028" bestFit="1" customWidth="1"/>
    <col min="22" max="22" width="11.36328125" style="1028" bestFit="1" customWidth="1"/>
    <col min="23" max="23" width="11.90625" style="1028" bestFit="1" customWidth="1"/>
    <col min="24" max="24" width="8.90625" style="1028"/>
    <col min="25" max="25" width="9.54296875" style="1028" bestFit="1" customWidth="1"/>
    <col min="26" max="28" width="8.90625" style="1028"/>
    <col min="29" max="29" width="11" style="1028" bestFit="1" customWidth="1"/>
    <col min="30" max="30" width="8.90625" style="1028"/>
    <col min="31" max="31" width="11" style="1028" bestFit="1" customWidth="1"/>
    <col min="32" max="32" width="8.90625" style="1028"/>
    <col min="33" max="34" width="11.90625" style="1028" bestFit="1" customWidth="1"/>
    <col min="35" max="35" width="11" style="1028" bestFit="1" customWidth="1"/>
    <col min="36" max="36" width="8.90625" style="1028"/>
    <col min="37" max="38" width="11" style="1028" bestFit="1" customWidth="1"/>
    <col min="39" max="39" width="10.6328125" style="1028" bestFit="1" customWidth="1"/>
    <col min="40" max="40" width="8.90625" style="1028"/>
    <col min="41" max="42" width="11" style="1028" bestFit="1" customWidth="1"/>
    <col min="43" max="43" width="10.54296875" style="1028" bestFit="1" customWidth="1"/>
    <col min="44" max="44" width="8.90625" style="1028"/>
    <col min="45" max="45" width="11.6328125" style="1028" bestFit="1" customWidth="1"/>
    <col min="46" max="46" width="11.453125" style="1028" bestFit="1" customWidth="1"/>
    <col min="47" max="47" width="11" style="1028" bestFit="1" customWidth="1"/>
    <col min="48" max="48" width="8.90625" style="1028"/>
    <col min="49" max="49" width="9.54296875" style="1028" bestFit="1" customWidth="1"/>
    <col min="50" max="53" width="8.90625" style="1028"/>
    <col min="54" max="54" width="13.6328125" style="1028" customWidth="1"/>
    <col min="55" max="56" width="10.453125" style="1028" bestFit="1" customWidth="1"/>
    <col min="57" max="57" width="9.54296875" style="1028" bestFit="1" customWidth="1"/>
    <col min="58" max="61" width="8.90625" style="1028"/>
    <col min="62" max="62" width="9.54296875" style="1028" bestFit="1" customWidth="1"/>
    <col min="63" max="63" width="8.90625" style="1028"/>
    <col min="64" max="64" width="9.54296875" style="1028" bestFit="1" customWidth="1"/>
    <col min="65" max="68" width="8.90625" style="1028"/>
    <col min="69" max="69" width="9.54296875" style="1028" bestFit="1" customWidth="1"/>
    <col min="70" max="70" width="8.90625" style="1028"/>
    <col min="71" max="71" width="9.54296875" style="1028" bestFit="1" customWidth="1"/>
    <col min="72" max="75" width="8.90625" style="1028"/>
    <col min="76" max="76" width="9.54296875" style="1028" bestFit="1" customWidth="1"/>
    <col min="77" max="81" width="8.90625" style="1028"/>
    <col min="82" max="82" width="15.453125" style="1028" customWidth="1"/>
    <col min="83" max="83" width="9.54296875" style="1028" bestFit="1" customWidth="1"/>
    <col min="84" max="85" width="8.90625" style="1028"/>
    <col min="86" max="86" width="9.54296875" style="1028" bestFit="1" customWidth="1"/>
    <col min="87" max="89" width="8.90625" style="1028"/>
    <col min="90" max="90" width="9.54296875" style="1028" bestFit="1" customWidth="1"/>
    <col min="91" max="94" width="8.90625" style="1028"/>
    <col min="95" max="95" width="14.54296875" style="1028" customWidth="1"/>
    <col min="96" max="96" width="9.54296875" style="1028" bestFit="1" customWidth="1"/>
    <col min="97" max="98" width="8.90625" style="1028"/>
    <col min="99" max="99" width="9.54296875" style="1028" bestFit="1" customWidth="1"/>
    <col min="100" max="102" width="8.90625" style="1028"/>
    <col min="103" max="103" width="23.6328125" style="1028" customWidth="1"/>
    <col min="104" max="104" width="8.90625" style="1028"/>
    <col min="105" max="105" width="13" style="1028" customWidth="1"/>
    <col min="106" max="106" width="9.54296875" style="1028" bestFit="1" customWidth="1"/>
    <col min="107" max="111" width="8.90625" style="1028"/>
    <col min="112" max="112" width="12.453125" style="1028" bestFit="1" customWidth="1"/>
    <col min="113" max="113" width="11.6328125" style="1028" bestFit="1" customWidth="1"/>
    <col min="114" max="114" width="11" style="1028" bestFit="1" customWidth="1"/>
    <col min="115" max="115" width="11.6328125" style="1028" bestFit="1" customWidth="1"/>
    <col min="116" max="116" width="12" style="1028" bestFit="1" customWidth="1"/>
    <col min="117" max="117" width="8.90625" style="1028"/>
    <col min="118" max="118" width="12" style="1028" bestFit="1" customWidth="1"/>
    <col min="119" max="120" width="8.90625" style="1028"/>
    <col min="121" max="121" width="13" style="1028" bestFit="1" customWidth="1"/>
    <col min="122" max="122" width="9" style="1028" bestFit="1" customWidth="1"/>
    <col min="123" max="123" width="8.90625" style="1028"/>
    <col min="124" max="124" width="9.1796875" style="1028" bestFit="1" customWidth="1"/>
    <col min="125" max="126" width="8.90625" style="1028"/>
    <col min="127" max="127" width="9" style="1028" bestFit="1" customWidth="1"/>
    <col min="128" max="131" width="8.90625" style="1028"/>
    <col min="132" max="132" width="9" style="1028" bestFit="1" customWidth="1"/>
    <col min="133" max="135" width="8.90625" style="1028"/>
    <col min="136" max="137" width="9" style="1028" bestFit="1" customWidth="1"/>
    <col min="138" max="139" width="8.90625" style="1028"/>
    <col min="140" max="140" width="9" style="1028" bestFit="1" customWidth="1"/>
    <col min="141" max="142" width="8.90625" style="1028"/>
    <col min="143" max="143" width="9" style="1028" bestFit="1" customWidth="1"/>
    <col min="144" max="148" width="8.90625" style="1028"/>
    <col min="149" max="150" width="11.453125" style="1028" bestFit="1" customWidth="1"/>
    <col min="151" max="151" width="10.453125" style="1028" bestFit="1" customWidth="1"/>
    <col min="152" max="152" width="11.453125" style="1028" bestFit="1" customWidth="1"/>
    <col min="153" max="155" width="9" style="1028" bestFit="1" customWidth="1"/>
    <col min="156" max="156" width="11.453125" style="1028" bestFit="1" customWidth="1"/>
    <col min="157" max="157" width="10.453125" style="1028" bestFit="1" customWidth="1"/>
    <col min="158" max="158" width="11.453125" style="1028" bestFit="1" customWidth="1"/>
    <col min="159" max="159" width="12" style="1028" bestFit="1" customWidth="1"/>
    <col min="160" max="160" width="9.453125" style="1028" bestFit="1" customWidth="1"/>
    <col min="161" max="161" width="8.90625" style="1028"/>
    <col min="162" max="162" width="10.453125" style="1028" bestFit="1" customWidth="1"/>
    <col min="163" max="167" width="8.90625" style="1028"/>
    <col min="168" max="168" width="11.453125" style="1028" bestFit="1" customWidth="1"/>
    <col min="169" max="16384" width="8.90625" style="1028"/>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4"/>
      <c r="D6" s="1364"/>
      <c r="E6" s="1364"/>
      <c r="F6" s="1364"/>
      <c r="G6" s="1364"/>
      <c r="H6" s="1364"/>
      <c r="I6" s="1364"/>
      <c r="J6" s="1364"/>
      <c r="K6" s="1364"/>
      <c r="L6" s="1364"/>
      <c r="M6" s="1364"/>
      <c r="N6" s="1364"/>
      <c r="O6" s="1364"/>
      <c r="P6" s="1364"/>
      <c r="Q6" s="1364"/>
      <c r="R6" s="1364"/>
      <c r="S6" s="1364"/>
      <c r="T6" s="1364"/>
      <c r="U6" s="1364"/>
      <c r="V6" s="1364"/>
      <c r="W6" s="1364"/>
      <c r="X6" s="1364"/>
      <c r="Y6" s="1364"/>
      <c r="Z6" s="1364"/>
      <c r="AA6" s="1364"/>
      <c r="AB6" s="1364"/>
      <c r="AC6" s="1364"/>
      <c r="AD6" s="1364"/>
      <c r="AE6" s="1364"/>
      <c r="AF6" s="1364"/>
      <c r="AG6" s="1364"/>
      <c r="AH6" s="1364"/>
      <c r="AI6" s="1364"/>
      <c r="AJ6" s="1364"/>
      <c r="AK6" s="1364"/>
      <c r="AL6" s="1364"/>
      <c r="AM6" s="1364"/>
      <c r="AN6" s="1364"/>
      <c r="AO6" s="1364"/>
      <c r="AP6" s="1364"/>
      <c r="AQ6" s="1364"/>
      <c r="AR6" s="1364"/>
      <c r="AS6" s="1364"/>
      <c r="AT6" s="1364"/>
      <c r="AU6" s="1364"/>
      <c r="AV6" s="1364"/>
      <c r="AW6" s="1364"/>
      <c r="AX6" s="1364"/>
      <c r="AY6" s="1364"/>
      <c r="AZ6" s="1364"/>
      <c r="BA6" s="1364"/>
      <c r="BB6" s="1364"/>
      <c r="BC6" s="1364"/>
      <c r="BD6" s="1364"/>
      <c r="BE6" s="1364"/>
      <c r="BF6" s="1364"/>
      <c r="BG6" s="1364"/>
      <c r="BH6" s="1364"/>
      <c r="BI6" s="1364"/>
      <c r="BJ6" s="1364"/>
      <c r="BK6" s="1364"/>
      <c r="BL6" s="1364"/>
      <c r="BM6" s="1364"/>
      <c r="BN6" s="1364"/>
      <c r="BO6" s="1364"/>
      <c r="BP6" s="1364"/>
      <c r="BQ6" s="1364"/>
      <c r="BR6" s="1364"/>
      <c r="BS6" s="1364"/>
      <c r="BT6" s="1364"/>
      <c r="BU6" s="1364"/>
      <c r="BV6" s="1364"/>
      <c r="BW6" s="1364"/>
      <c r="BX6" s="1364"/>
      <c r="BY6" s="1364"/>
      <c r="BZ6" s="1364"/>
      <c r="CA6" s="1364"/>
      <c r="CB6" s="1364"/>
      <c r="CC6" s="1364"/>
      <c r="CD6" s="1364"/>
      <c r="CE6" s="1364"/>
      <c r="CF6" s="1364"/>
      <c r="CG6" s="1364"/>
      <c r="CH6" s="1364"/>
      <c r="CI6" s="1364"/>
      <c r="CJ6" s="1364"/>
      <c r="CK6" s="1364"/>
      <c r="CL6" s="1364"/>
      <c r="CM6" s="1364"/>
      <c r="CN6" s="1364"/>
      <c r="CO6" s="1364"/>
      <c r="CP6" s="1364"/>
      <c r="CQ6" s="1364"/>
      <c r="CR6" s="1364"/>
      <c r="CS6" s="1364"/>
      <c r="CT6" s="1364"/>
      <c r="CU6" s="1364"/>
      <c r="CV6" s="1364"/>
      <c r="CW6" s="1364"/>
      <c r="CX6" s="1364"/>
      <c r="CY6" s="1364"/>
      <c r="CZ6" s="1364"/>
      <c r="DA6" s="1364"/>
      <c r="DB6" s="1364"/>
      <c r="DC6" s="1364"/>
      <c r="DD6" s="1364"/>
      <c r="DE6" s="1364"/>
      <c r="DF6" s="1364"/>
      <c r="DG6" s="1364"/>
      <c r="DH6" s="1364"/>
      <c r="DI6" s="1364"/>
      <c r="DJ6" s="1364"/>
      <c r="DK6" s="1364"/>
      <c r="DL6" s="1364"/>
      <c r="DM6" s="1364"/>
      <c r="DN6" s="1364"/>
      <c r="DO6" s="1364"/>
      <c r="DP6" s="1364"/>
      <c r="DQ6" s="1364"/>
      <c r="DR6" s="1364"/>
      <c r="DS6" s="1364"/>
      <c r="DT6" s="1364"/>
    </row>
    <row r="7" spans="2:124">
      <c r="B7" s="1208">
        <v>42005</v>
      </c>
      <c r="C7" s="1412">
        <v>70144770</v>
      </c>
      <c r="D7" s="1412">
        <v>70144770</v>
      </c>
      <c r="E7" s="1412">
        <v>62180320</v>
      </c>
      <c r="F7" s="1412">
        <v>7964450</v>
      </c>
      <c r="G7" s="1412"/>
      <c r="H7" s="1412"/>
      <c r="I7" s="1412"/>
      <c r="J7" s="1412"/>
      <c r="K7" s="1412"/>
      <c r="L7" s="1412"/>
      <c r="M7" s="1412"/>
      <c r="N7" s="1412"/>
      <c r="O7" s="1412">
        <v>16138771</v>
      </c>
      <c r="P7" s="1412">
        <v>2720811</v>
      </c>
      <c r="Q7" s="1412">
        <v>2668572</v>
      </c>
      <c r="R7" s="1412">
        <v>1670735</v>
      </c>
      <c r="S7" s="1412">
        <v>997837</v>
      </c>
      <c r="T7" s="1412"/>
      <c r="U7" s="1412">
        <v>52239</v>
      </c>
      <c r="V7" s="1412">
        <v>52239</v>
      </c>
      <c r="W7" s="1412"/>
      <c r="X7" s="1412"/>
      <c r="Y7" s="1412">
        <v>0</v>
      </c>
      <c r="Z7" s="1412"/>
      <c r="AA7" s="1412"/>
      <c r="AB7" s="1412"/>
      <c r="AC7" s="1412">
        <v>0</v>
      </c>
      <c r="AD7" s="1412"/>
      <c r="AE7" s="1412"/>
      <c r="AF7" s="1412"/>
      <c r="AG7" s="1412">
        <v>2780608</v>
      </c>
      <c r="AH7" s="1412">
        <v>1660332</v>
      </c>
      <c r="AI7" s="1412">
        <v>1120276</v>
      </c>
      <c r="AJ7" s="1412"/>
      <c r="AK7" s="1412">
        <v>2398661</v>
      </c>
      <c r="AL7" s="1412">
        <v>2398661</v>
      </c>
      <c r="AM7" s="1412"/>
      <c r="AN7" s="1412"/>
      <c r="AO7" s="1412">
        <v>3145971</v>
      </c>
      <c r="AP7" s="1412">
        <v>3145971</v>
      </c>
      <c r="AQ7" s="1412"/>
      <c r="AR7" s="1412"/>
      <c r="AS7" s="1412">
        <v>5092720</v>
      </c>
      <c r="AT7" s="1412">
        <v>2152207</v>
      </c>
      <c r="AU7" s="1412">
        <v>2940513</v>
      </c>
      <c r="AV7" s="1412"/>
      <c r="AW7" s="1412">
        <v>0</v>
      </c>
      <c r="AX7" s="1412"/>
      <c r="AY7" s="1412"/>
      <c r="AZ7" s="1412"/>
      <c r="BA7" s="1412"/>
      <c r="BB7" s="1412">
        <v>0</v>
      </c>
      <c r="BC7" s="1412">
        <v>0</v>
      </c>
      <c r="BD7" s="1412"/>
      <c r="BE7" s="1412">
        <v>0</v>
      </c>
      <c r="BF7" s="1412"/>
      <c r="BG7" s="1412"/>
      <c r="BH7" s="1412"/>
      <c r="BI7" s="1412"/>
      <c r="BJ7" s="1412">
        <v>0</v>
      </c>
      <c r="BK7" s="1412"/>
      <c r="BL7" s="1412">
        <v>0</v>
      </c>
      <c r="BM7" s="1412"/>
      <c r="BN7" s="1412"/>
      <c r="BO7" s="1412"/>
      <c r="BP7" s="1412"/>
      <c r="BQ7" s="1412">
        <v>0</v>
      </c>
      <c r="BR7" s="1412"/>
      <c r="BS7" s="1412">
        <v>0</v>
      </c>
      <c r="BT7" s="1412"/>
      <c r="BU7" s="1412"/>
      <c r="BV7" s="1412"/>
      <c r="BW7" s="1412"/>
      <c r="BX7" s="1412">
        <v>0</v>
      </c>
      <c r="BY7" s="1412"/>
      <c r="BZ7" s="1412"/>
      <c r="CA7" s="1412"/>
      <c r="CB7" s="1412"/>
      <c r="CC7" s="1412"/>
      <c r="CD7" s="1412">
        <v>0</v>
      </c>
      <c r="CE7" s="1412">
        <v>0</v>
      </c>
      <c r="CF7" s="1412"/>
      <c r="CG7" s="1412"/>
      <c r="CH7" s="1412">
        <v>0</v>
      </c>
      <c r="CI7" s="1412"/>
      <c r="CJ7" s="1412"/>
      <c r="CK7" s="1412"/>
      <c r="CL7" s="1412">
        <v>0</v>
      </c>
      <c r="CM7" s="1412"/>
      <c r="CN7" s="1412"/>
      <c r="CO7" s="1412"/>
      <c r="CP7" s="1412"/>
      <c r="CQ7" s="1412">
        <v>0</v>
      </c>
      <c r="CR7" s="1412">
        <v>0</v>
      </c>
      <c r="CS7" s="1412"/>
      <c r="CT7" s="1412"/>
      <c r="CU7" s="1412">
        <v>0</v>
      </c>
      <c r="CV7" s="1412"/>
      <c r="CW7" s="1412"/>
      <c r="CX7" s="1412"/>
      <c r="CY7" s="1412">
        <v>2391375</v>
      </c>
      <c r="CZ7" s="1412"/>
      <c r="DA7" s="1412">
        <v>0</v>
      </c>
      <c r="DB7" s="1412">
        <v>0</v>
      </c>
      <c r="DC7" s="1412"/>
      <c r="DD7" s="1412"/>
      <c r="DE7" s="1412"/>
      <c r="DF7" s="1412"/>
      <c r="DG7" s="1412"/>
      <c r="DH7" s="1412">
        <v>13646174</v>
      </c>
      <c r="DI7" s="1412">
        <v>4635820</v>
      </c>
      <c r="DJ7" s="1412">
        <v>3306455</v>
      </c>
      <c r="DK7" s="1412">
        <v>387616</v>
      </c>
      <c r="DL7" s="1412">
        <v>5316283</v>
      </c>
      <c r="DM7" s="1412"/>
      <c r="DN7" s="1412">
        <v>5640456.5199999958</v>
      </c>
      <c r="DO7" s="1412"/>
      <c r="DP7" s="1412"/>
      <c r="DQ7" s="1412">
        <v>107961546.52</v>
      </c>
      <c r="DR7" s="1363"/>
      <c r="DS7" s="1363"/>
      <c r="DT7" s="1363">
        <v>0</v>
      </c>
    </row>
    <row r="8" spans="2:124">
      <c r="B8" s="1208">
        <v>42036</v>
      </c>
      <c r="C8" s="1412">
        <v>72839136</v>
      </c>
      <c r="D8" s="1412">
        <v>72839136</v>
      </c>
      <c r="E8" s="1412">
        <v>65853362</v>
      </c>
      <c r="F8" s="1412">
        <v>6985774</v>
      </c>
      <c r="G8" s="1412"/>
      <c r="H8" s="1412"/>
      <c r="I8" s="1412"/>
      <c r="J8" s="1412"/>
      <c r="K8" s="1412"/>
      <c r="L8" s="1412"/>
      <c r="M8" s="1412"/>
      <c r="N8" s="1412"/>
      <c r="O8" s="1412">
        <v>17519805</v>
      </c>
      <c r="P8" s="1412">
        <v>2795911</v>
      </c>
      <c r="Q8" s="1412">
        <v>2743216</v>
      </c>
      <c r="R8" s="1412">
        <v>1581388</v>
      </c>
      <c r="S8" s="1412">
        <v>1161828</v>
      </c>
      <c r="T8" s="1412"/>
      <c r="U8" s="1412">
        <v>52695</v>
      </c>
      <c r="V8" s="1412">
        <v>52695</v>
      </c>
      <c r="W8" s="1412"/>
      <c r="X8" s="1412"/>
      <c r="Y8" s="1412">
        <v>0</v>
      </c>
      <c r="Z8" s="1412"/>
      <c r="AA8" s="1412"/>
      <c r="AB8" s="1412"/>
      <c r="AC8" s="1412">
        <v>0</v>
      </c>
      <c r="AD8" s="1412"/>
      <c r="AE8" s="1412"/>
      <c r="AF8" s="1412"/>
      <c r="AG8" s="1412">
        <v>3520864</v>
      </c>
      <c r="AH8" s="1412">
        <v>2677552</v>
      </c>
      <c r="AI8" s="1412">
        <v>843312</v>
      </c>
      <c r="AJ8" s="1412"/>
      <c r="AK8" s="1412">
        <v>2410917</v>
      </c>
      <c r="AL8" s="1412">
        <v>2410917</v>
      </c>
      <c r="AM8" s="1412"/>
      <c r="AN8" s="1412"/>
      <c r="AO8" s="1412">
        <v>3730606</v>
      </c>
      <c r="AP8" s="1412">
        <v>3730606</v>
      </c>
      <c r="AQ8" s="1412"/>
      <c r="AR8" s="1412"/>
      <c r="AS8" s="1412">
        <v>5061507</v>
      </c>
      <c r="AT8" s="1412">
        <v>3226297</v>
      </c>
      <c r="AU8" s="1412">
        <v>1835210</v>
      </c>
      <c r="AV8" s="1412"/>
      <c r="AW8" s="1412">
        <v>0</v>
      </c>
      <c r="AX8" s="1412"/>
      <c r="AY8" s="1412"/>
      <c r="AZ8" s="1412"/>
      <c r="BA8" s="1412"/>
      <c r="BB8" s="1412">
        <v>0</v>
      </c>
      <c r="BC8" s="1412">
        <v>0</v>
      </c>
      <c r="BD8" s="1412"/>
      <c r="BE8" s="1412">
        <v>0</v>
      </c>
      <c r="BF8" s="1412"/>
      <c r="BG8" s="1412"/>
      <c r="BH8" s="1412"/>
      <c r="BI8" s="1412"/>
      <c r="BJ8" s="1412">
        <v>0</v>
      </c>
      <c r="BK8" s="1412"/>
      <c r="BL8" s="1412">
        <v>0</v>
      </c>
      <c r="BM8" s="1412"/>
      <c r="BN8" s="1412"/>
      <c r="BO8" s="1412"/>
      <c r="BP8" s="1412"/>
      <c r="BQ8" s="1412">
        <v>0</v>
      </c>
      <c r="BR8" s="1412"/>
      <c r="BS8" s="1412">
        <v>0</v>
      </c>
      <c r="BT8" s="1412"/>
      <c r="BU8" s="1412"/>
      <c r="BV8" s="1412"/>
      <c r="BW8" s="1412"/>
      <c r="BX8" s="1412">
        <v>0</v>
      </c>
      <c r="BY8" s="1412"/>
      <c r="BZ8" s="1412"/>
      <c r="CA8" s="1412"/>
      <c r="CB8" s="1412"/>
      <c r="CC8" s="1412"/>
      <c r="CD8" s="1412">
        <v>0</v>
      </c>
      <c r="CE8" s="1412">
        <v>0</v>
      </c>
      <c r="CF8" s="1412"/>
      <c r="CG8" s="1412"/>
      <c r="CH8" s="1412">
        <v>0</v>
      </c>
      <c r="CI8" s="1412"/>
      <c r="CJ8" s="1412"/>
      <c r="CK8" s="1412"/>
      <c r="CL8" s="1412">
        <v>0</v>
      </c>
      <c r="CM8" s="1412"/>
      <c r="CN8" s="1412"/>
      <c r="CO8" s="1412"/>
      <c r="CP8" s="1412"/>
      <c r="CQ8" s="1412">
        <v>0</v>
      </c>
      <c r="CR8" s="1412">
        <v>0</v>
      </c>
      <c r="CS8" s="1412"/>
      <c r="CT8" s="1412"/>
      <c r="CU8" s="1412">
        <v>0</v>
      </c>
      <c r="CV8" s="1412"/>
      <c r="CW8" s="1412"/>
      <c r="CX8" s="1412"/>
      <c r="CY8" s="1412">
        <v>2224109</v>
      </c>
      <c r="CZ8" s="1412"/>
      <c r="DA8" s="1412">
        <v>0</v>
      </c>
      <c r="DB8" s="1412">
        <v>0</v>
      </c>
      <c r="DC8" s="1412"/>
      <c r="DD8" s="1412"/>
      <c r="DE8" s="1412"/>
      <c r="DF8" s="1412"/>
      <c r="DG8" s="1412"/>
      <c r="DH8" s="1412">
        <v>14200556.199999999</v>
      </c>
      <c r="DI8" s="1412">
        <v>4694670</v>
      </c>
      <c r="DJ8" s="1412">
        <v>3309560</v>
      </c>
      <c r="DK8" s="1412">
        <v>916734</v>
      </c>
      <c r="DL8" s="1412">
        <v>5279592.2</v>
      </c>
      <c r="DM8" s="1412"/>
      <c r="DN8" s="1412">
        <v>6339329.950000003</v>
      </c>
      <c r="DO8" s="1412"/>
      <c r="DP8" s="1412"/>
      <c r="DQ8" s="1412">
        <v>113122936.15000001</v>
      </c>
      <c r="DR8" s="1363"/>
      <c r="DS8" s="1363"/>
      <c r="DT8" s="1363">
        <v>0</v>
      </c>
    </row>
    <row r="9" spans="2:124">
      <c r="B9" s="1208">
        <v>42064</v>
      </c>
      <c r="C9" s="1412">
        <v>75993377</v>
      </c>
      <c r="D9" s="1412">
        <v>75993377</v>
      </c>
      <c r="E9" s="1412">
        <v>68324688</v>
      </c>
      <c r="F9" s="1412">
        <v>7668689</v>
      </c>
      <c r="G9" s="1412"/>
      <c r="H9" s="1412"/>
      <c r="I9" s="1412"/>
      <c r="J9" s="1412"/>
      <c r="K9" s="1412"/>
      <c r="L9" s="1412"/>
      <c r="M9" s="1412"/>
      <c r="N9" s="1412"/>
      <c r="O9" s="1412">
        <v>17638489</v>
      </c>
      <c r="P9" s="1412">
        <v>2852589</v>
      </c>
      <c r="Q9" s="1412">
        <v>2759347</v>
      </c>
      <c r="R9" s="1412">
        <v>1842653</v>
      </c>
      <c r="S9" s="1412">
        <v>916694</v>
      </c>
      <c r="T9" s="1412"/>
      <c r="U9" s="1412">
        <v>93242</v>
      </c>
      <c r="V9" s="1412">
        <v>93242</v>
      </c>
      <c r="W9" s="1412"/>
      <c r="X9" s="1412"/>
      <c r="Y9" s="1412">
        <v>0</v>
      </c>
      <c r="Z9" s="1412"/>
      <c r="AA9" s="1412"/>
      <c r="AB9" s="1412"/>
      <c r="AC9" s="1412">
        <v>0</v>
      </c>
      <c r="AD9" s="1412"/>
      <c r="AE9" s="1412"/>
      <c r="AF9" s="1412"/>
      <c r="AG9" s="1412">
        <v>3437212</v>
      </c>
      <c r="AH9" s="1412">
        <v>3095259</v>
      </c>
      <c r="AI9" s="1412">
        <v>341953</v>
      </c>
      <c r="AJ9" s="1412"/>
      <c r="AK9" s="1412">
        <v>2458895</v>
      </c>
      <c r="AL9" s="1412">
        <v>2458895</v>
      </c>
      <c r="AM9" s="1412"/>
      <c r="AN9" s="1412"/>
      <c r="AO9" s="1412">
        <v>3704639</v>
      </c>
      <c r="AP9" s="1412">
        <v>3368401</v>
      </c>
      <c r="AQ9" s="1412">
        <v>336238</v>
      </c>
      <c r="AR9" s="1412"/>
      <c r="AS9" s="1412">
        <v>5185154</v>
      </c>
      <c r="AT9" s="1412">
        <v>1890231</v>
      </c>
      <c r="AU9" s="1412">
        <v>3294923</v>
      </c>
      <c r="AV9" s="1412"/>
      <c r="AW9" s="1412">
        <v>0</v>
      </c>
      <c r="AX9" s="1412"/>
      <c r="AY9" s="1412"/>
      <c r="AZ9" s="1412"/>
      <c r="BA9" s="1412"/>
      <c r="BB9" s="1412">
        <v>0</v>
      </c>
      <c r="BC9" s="1412">
        <v>0</v>
      </c>
      <c r="BD9" s="1412"/>
      <c r="BE9" s="1412">
        <v>0</v>
      </c>
      <c r="BF9" s="1412"/>
      <c r="BG9" s="1412"/>
      <c r="BH9" s="1412"/>
      <c r="BI9" s="1412"/>
      <c r="BJ9" s="1412">
        <v>0</v>
      </c>
      <c r="BK9" s="1412"/>
      <c r="BL9" s="1412">
        <v>0</v>
      </c>
      <c r="BM9" s="1412"/>
      <c r="BN9" s="1412"/>
      <c r="BO9" s="1412"/>
      <c r="BP9" s="1412"/>
      <c r="BQ9" s="1412">
        <v>0</v>
      </c>
      <c r="BR9" s="1412"/>
      <c r="BS9" s="1412">
        <v>0</v>
      </c>
      <c r="BT9" s="1412"/>
      <c r="BU9" s="1412"/>
      <c r="BV9" s="1412"/>
      <c r="BW9" s="1412"/>
      <c r="BX9" s="1412">
        <v>0</v>
      </c>
      <c r="BY9" s="1412"/>
      <c r="BZ9" s="1412"/>
      <c r="CA9" s="1412"/>
      <c r="CB9" s="1412"/>
      <c r="CC9" s="1412"/>
      <c r="CD9" s="1412">
        <v>0</v>
      </c>
      <c r="CE9" s="1412">
        <v>0</v>
      </c>
      <c r="CF9" s="1412"/>
      <c r="CG9" s="1412"/>
      <c r="CH9" s="1412">
        <v>0</v>
      </c>
      <c r="CI9" s="1412"/>
      <c r="CJ9" s="1412"/>
      <c r="CK9" s="1412"/>
      <c r="CL9" s="1412">
        <v>0</v>
      </c>
      <c r="CM9" s="1412"/>
      <c r="CN9" s="1412"/>
      <c r="CO9" s="1412"/>
      <c r="CP9" s="1412"/>
      <c r="CQ9" s="1412">
        <v>0</v>
      </c>
      <c r="CR9" s="1412">
        <v>0</v>
      </c>
      <c r="CS9" s="1412"/>
      <c r="CT9" s="1412"/>
      <c r="CU9" s="1412">
        <v>0</v>
      </c>
      <c r="CV9" s="1412"/>
      <c r="CW9" s="1412"/>
      <c r="CX9" s="1412"/>
      <c r="CY9" s="1412">
        <v>2058375</v>
      </c>
      <c r="CZ9" s="1412"/>
      <c r="DA9" s="1412">
        <v>0</v>
      </c>
      <c r="DB9" s="1412">
        <v>0</v>
      </c>
      <c r="DC9" s="1412"/>
      <c r="DD9" s="1412"/>
      <c r="DE9" s="1412"/>
      <c r="DF9" s="1412"/>
      <c r="DG9" s="1412"/>
      <c r="DH9" s="1412">
        <v>17086306</v>
      </c>
      <c r="DI9" s="1412">
        <v>4833707</v>
      </c>
      <c r="DJ9" s="1412">
        <v>1004135</v>
      </c>
      <c r="DK9" s="1412">
        <v>3912008</v>
      </c>
      <c r="DL9" s="1412">
        <v>7336456</v>
      </c>
      <c r="DM9" s="1412"/>
      <c r="DN9" s="1412">
        <v>7205475.900000006</v>
      </c>
      <c r="DO9" s="1412"/>
      <c r="DP9" s="1412"/>
      <c r="DQ9" s="1412">
        <v>119982022.90000001</v>
      </c>
      <c r="DR9" s="1363"/>
      <c r="DS9" s="1363"/>
      <c r="DT9" s="1363">
        <v>0</v>
      </c>
    </row>
    <row r="10" spans="2:124">
      <c r="B10" s="1208">
        <v>42095</v>
      </c>
      <c r="C10" s="1412">
        <v>74678115</v>
      </c>
      <c r="D10" s="1412">
        <v>74678115</v>
      </c>
      <c r="E10" s="1412">
        <v>67668878</v>
      </c>
      <c r="F10" s="1412">
        <v>7009237</v>
      </c>
      <c r="G10" s="1412"/>
      <c r="H10" s="1412"/>
      <c r="I10" s="1412"/>
      <c r="J10" s="1412"/>
      <c r="K10" s="1412"/>
      <c r="L10" s="1412"/>
      <c r="M10" s="1412"/>
      <c r="N10" s="1412"/>
      <c r="O10" s="1412">
        <v>15733789</v>
      </c>
      <c r="P10" s="1412">
        <v>2669156</v>
      </c>
      <c r="Q10" s="1412">
        <v>2489632</v>
      </c>
      <c r="R10" s="1412">
        <v>1476774</v>
      </c>
      <c r="S10" s="1412">
        <v>1012858</v>
      </c>
      <c r="T10" s="1412"/>
      <c r="U10" s="1412">
        <v>179524</v>
      </c>
      <c r="V10" s="1412">
        <v>163958</v>
      </c>
      <c r="W10" s="1412">
        <v>15566</v>
      </c>
      <c r="X10" s="1412"/>
      <c r="Y10" s="1412">
        <v>0</v>
      </c>
      <c r="Z10" s="1412"/>
      <c r="AA10" s="1412"/>
      <c r="AB10" s="1412"/>
      <c r="AC10" s="1412">
        <v>0</v>
      </c>
      <c r="AD10" s="1412"/>
      <c r="AE10" s="1412"/>
      <c r="AF10" s="1412"/>
      <c r="AG10" s="1412">
        <v>2123636</v>
      </c>
      <c r="AH10" s="1412">
        <v>1466303</v>
      </c>
      <c r="AI10" s="1412">
        <v>657333</v>
      </c>
      <c r="AJ10" s="1412"/>
      <c r="AK10" s="1412">
        <v>2478740</v>
      </c>
      <c r="AL10" s="1412">
        <v>2478740</v>
      </c>
      <c r="AM10" s="1412"/>
      <c r="AN10" s="1412"/>
      <c r="AO10" s="1412">
        <v>2245561</v>
      </c>
      <c r="AP10" s="1412">
        <v>1752482</v>
      </c>
      <c r="AQ10" s="1412">
        <v>493079</v>
      </c>
      <c r="AR10" s="1412"/>
      <c r="AS10" s="1412">
        <v>6216696</v>
      </c>
      <c r="AT10" s="1412">
        <v>1998919</v>
      </c>
      <c r="AU10" s="1412">
        <v>4217777</v>
      </c>
      <c r="AV10" s="1412"/>
      <c r="AW10" s="1412">
        <v>0</v>
      </c>
      <c r="AX10" s="1412"/>
      <c r="AY10" s="1412"/>
      <c r="AZ10" s="1412"/>
      <c r="BA10" s="1412"/>
      <c r="BB10" s="1412">
        <v>0</v>
      </c>
      <c r="BC10" s="1412">
        <v>0</v>
      </c>
      <c r="BD10" s="1412"/>
      <c r="BE10" s="1412">
        <v>0</v>
      </c>
      <c r="BF10" s="1412"/>
      <c r="BG10" s="1412"/>
      <c r="BH10" s="1412"/>
      <c r="BI10" s="1412"/>
      <c r="BJ10" s="1412">
        <v>0</v>
      </c>
      <c r="BK10" s="1412"/>
      <c r="BL10" s="1412">
        <v>0</v>
      </c>
      <c r="BM10" s="1412"/>
      <c r="BN10" s="1412"/>
      <c r="BO10" s="1412"/>
      <c r="BP10" s="1412"/>
      <c r="BQ10" s="1412">
        <v>0</v>
      </c>
      <c r="BR10" s="1412"/>
      <c r="BS10" s="1412">
        <v>0</v>
      </c>
      <c r="BT10" s="1412"/>
      <c r="BU10" s="1412"/>
      <c r="BV10" s="1412"/>
      <c r="BW10" s="1412"/>
      <c r="BX10" s="1412">
        <v>0</v>
      </c>
      <c r="BY10" s="1412"/>
      <c r="BZ10" s="1412"/>
      <c r="CA10" s="1412"/>
      <c r="CB10" s="1412"/>
      <c r="CC10" s="1412"/>
      <c r="CD10" s="1412">
        <v>0</v>
      </c>
      <c r="CE10" s="1412">
        <v>0</v>
      </c>
      <c r="CF10" s="1412"/>
      <c r="CG10" s="1412"/>
      <c r="CH10" s="1412">
        <v>0</v>
      </c>
      <c r="CI10" s="1412"/>
      <c r="CJ10" s="1412"/>
      <c r="CK10" s="1412"/>
      <c r="CL10" s="1412">
        <v>0</v>
      </c>
      <c r="CM10" s="1412"/>
      <c r="CN10" s="1412"/>
      <c r="CO10" s="1412"/>
      <c r="CP10" s="1412"/>
      <c r="CQ10" s="1412">
        <v>0</v>
      </c>
      <c r="CR10" s="1412">
        <v>0</v>
      </c>
      <c r="CS10" s="1412"/>
      <c r="CT10" s="1412"/>
      <c r="CU10" s="1412">
        <v>0</v>
      </c>
      <c r="CV10" s="1412"/>
      <c r="CW10" s="1412"/>
      <c r="CX10" s="1412"/>
      <c r="CY10" s="1412">
        <v>1888830</v>
      </c>
      <c r="CZ10" s="1412"/>
      <c r="DA10" s="1412">
        <v>0</v>
      </c>
      <c r="DB10" s="1412">
        <v>0</v>
      </c>
      <c r="DC10" s="1412"/>
      <c r="DD10" s="1412"/>
      <c r="DE10" s="1412"/>
      <c r="DF10" s="1412"/>
      <c r="DG10" s="1412"/>
      <c r="DH10" s="1412">
        <v>17608854</v>
      </c>
      <c r="DI10" s="1412">
        <v>4960285</v>
      </c>
      <c r="DJ10" s="1412">
        <v>1004135</v>
      </c>
      <c r="DK10" s="1412">
        <v>4350055</v>
      </c>
      <c r="DL10" s="1412">
        <v>7294379</v>
      </c>
      <c r="DM10" s="1412"/>
      <c r="DN10" s="1412">
        <v>6519770.3700000048</v>
      </c>
      <c r="DO10" s="1412"/>
      <c r="DP10" s="1412"/>
      <c r="DQ10" s="1412">
        <v>116429358.37</v>
      </c>
      <c r="DR10" s="1363"/>
      <c r="DS10" s="1363"/>
      <c r="DT10" s="1363">
        <v>0</v>
      </c>
    </row>
    <row r="11" spans="2:124">
      <c r="B11" s="1208">
        <v>42125</v>
      </c>
      <c r="C11" s="1412">
        <v>71195609</v>
      </c>
      <c r="D11" s="1412">
        <v>71195609</v>
      </c>
      <c r="E11" s="1412">
        <v>60271534</v>
      </c>
      <c r="F11" s="1412">
        <v>10924075</v>
      </c>
      <c r="G11" s="1412"/>
      <c r="H11" s="1412"/>
      <c r="I11" s="1412"/>
      <c r="J11" s="1412"/>
      <c r="K11" s="1412"/>
      <c r="L11" s="1412"/>
      <c r="M11" s="1412"/>
      <c r="N11" s="1412"/>
      <c r="O11" s="1412">
        <v>18011768</v>
      </c>
      <c r="P11" s="1412">
        <v>2940931</v>
      </c>
      <c r="Q11" s="1412">
        <v>2788832</v>
      </c>
      <c r="R11" s="1412">
        <v>1483323</v>
      </c>
      <c r="S11" s="1412">
        <v>1305509</v>
      </c>
      <c r="T11" s="1412"/>
      <c r="U11" s="1412">
        <v>152099</v>
      </c>
      <c r="V11" s="1412">
        <v>152099</v>
      </c>
      <c r="W11" s="1412"/>
      <c r="X11" s="1412"/>
      <c r="Y11" s="1412">
        <v>0</v>
      </c>
      <c r="Z11" s="1412"/>
      <c r="AA11" s="1412"/>
      <c r="AB11" s="1412"/>
      <c r="AC11" s="1412">
        <v>0</v>
      </c>
      <c r="AD11" s="1412"/>
      <c r="AE11" s="1412"/>
      <c r="AF11" s="1412"/>
      <c r="AG11" s="1412">
        <v>3108146</v>
      </c>
      <c r="AH11" s="1412">
        <v>1976469</v>
      </c>
      <c r="AI11" s="1412">
        <v>1131677</v>
      </c>
      <c r="AJ11" s="1412"/>
      <c r="AK11" s="1412">
        <v>2487346</v>
      </c>
      <c r="AL11" s="1412">
        <v>2487346</v>
      </c>
      <c r="AM11" s="1412"/>
      <c r="AN11" s="1412"/>
      <c r="AO11" s="1412">
        <v>2873306</v>
      </c>
      <c r="AP11" s="1412">
        <v>2532510</v>
      </c>
      <c r="AQ11" s="1412">
        <v>340796</v>
      </c>
      <c r="AR11" s="1412"/>
      <c r="AS11" s="1412">
        <v>6602039</v>
      </c>
      <c r="AT11" s="1412">
        <v>4495589</v>
      </c>
      <c r="AU11" s="1412">
        <v>2106450</v>
      </c>
      <c r="AV11" s="1412"/>
      <c r="AW11" s="1412">
        <v>0</v>
      </c>
      <c r="AX11" s="1412"/>
      <c r="AY11" s="1412"/>
      <c r="AZ11" s="1412"/>
      <c r="BA11" s="1412"/>
      <c r="BB11" s="1412">
        <v>0</v>
      </c>
      <c r="BC11" s="1412">
        <v>0</v>
      </c>
      <c r="BD11" s="1412"/>
      <c r="BE11" s="1412">
        <v>0</v>
      </c>
      <c r="BF11" s="1412"/>
      <c r="BG11" s="1412"/>
      <c r="BH11" s="1412"/>
      <c r="BI11" s="1412"/>
      <c r="BJ11" s="1412">
        <v>0</v>
      </c>
      <c r="BK11" s="1412"/>
      <c r="BL11" s="1412">
        <v>0</v>
      </c>
      <c r="BM11" s="1412"/>
      <c r="BN11" s="1412"/>
      <c r="BO11" s="1412"/>
      <c r="BP11" s="1412"/>
      <c r="BQ11" s="1412">
        <v>0</v>
      </c>
      <c r="BR11" s="1412"/>
      <c r="BS11" s="1412">
        <v>0</v>
      </c>
      <c r="BT11" s="1412"/>
      <c r="BU11" s="1412"/>
      <c r="BV11" s="1412"/>
      <c r="BW11" s="1412"/>
      <c r="BX11" s="1412">
        <v>0</v>
      </c>
      <c r="BY11" s="1412"/>
      <c r="BZ11" s="1412"/>
      <c r="CA11" s="1412"/>
      <c r="CB11" s="1412"/>
      <c r="CC11" s="1412"/>
      <c r="CD11" s="1412">
        <v>0</v>
      </c>
      <c r="CE11" s="1412">
        <v>0</v>
      </c>
      <c r="CF11" s="1412"/>
      <c r="CG11" s="1412"/>
      <c r="CH11" s="1412">
        <v>0</v>
      </c>
      <c r="CI11" s="1412"/>
      <c r="CJ11" s="1412"/>
      <c r="CK11" s="1412"/>
      <c r="CL11" s="1412">
        <v>0</v>
      </c>
      <c r="CM11" s="1412"/>
      <c r="CN11" s="1412"/>
      <c r="CO11" s="1412"/>
      <c r="CP11" s="1412"/>
      <c r="CQ11" s="1412">
        <v>0</v>
      </c>
      <c r="CR11" s="1412">
        <v>0</v>
      </c>
      <c r="CS11" s="1412"/>
      <c r="CT11" s="1412"/>
      <c r="CU11" s="1412">
        <v>0</v>
      </c>
      <c r="CV11" s="1412"/>
      <c r="CW11" s="1412"/>
      <c r="CX11" s="1412"/>
      <c r="CY11" s="1412">
        <v>1719139</v>
      </c>
      <c r="CZ11" s="1412"/>
      <c r="DA11" s="1412">
        <v>0</v>
      </c>
      <c r="DB11" s="1412">
        <v>0</v>
      </c>
      <c r="DC11" s="1412"/>
      <c r="DD11" s="1412"/>
      <c r="DE11" s="1412"/>
      <c r="DF11" s="1412"/>
      <c r="DG11" s="1412"/>
      <c r="DH11" s="1412">
        <v>9734538.1400000006</v>
      </c>
      <c r="DI11" s="1412">
        <v>5149173</v>
      </c>
      <c r="DJ11" s="1412">
        <v>9216139</v>
      </c>
      <c r="DK11" s="1412">
        <v>-3512895</v>
      </c>
      <c r="DL11" s="1412">
        <v>-1117878.8600000001</v>
      </c>
      <c r="DM11" s="1412"/>
      <c r="DN11" s="1412">
        <v>6903969</v>
      </c>
      <c r="DO11" s="1412"/>
      <c r="DP11" s="1412"/>
      <c r="DQ11" s="1412">
        <v>107565023.14</v>
      </c>
      <c r="DR11" s="1363"/>
      <c r="DS11" s="1363"/>
      <c r="DT11" s="1363">
        <v>0</v>
      </c>
    </row>
    <row r="12" spans="2:124">
      <c r="B12" s="1208">
        <v>42156</v>
      </c>
      <c r="C12" s="1412">
        <v>73397564</v>
      </c>
      <c r="D12" s="1412">
        <v>73397564</v>
      </c>
      <c r="E12" s="1412">
        <v>64444295</v>
      </c>
      <c r="F12" s="1412">
        <v>8953269</v>
      </c>
      <c r="G12" s="1412"/>
      <c r="H12" s="1412"/>
      <c r="I12" s="1412"/>
      <c r="J12" s="1412"/>
      <c r="K12" s="1412"/>
      <c r="L12" s="1412"/>
      <c r="M12" s="1412"/>
      <c r="N12" s="1412"/>
      <c r="O12" s="1412">
        <v>21694544</v>
      </c>
      <c r="P12" s="1412">
        <v>3134481</v>
      </c>
      <c r="Q12" s="1412">
        <v>2997816</v>
      </c>
      <c r="R12" s="1412">
        <v>1798877</v>
      </c>
      <c r="S12" s="1412">
        <v>1198939</v>
      </c>
      <c r="T12" s="1412"/>
      <c r="U12" s="1412">
        <v>136665</v>
      </c>
      <c r="V12" s="1412">
        <v>113824</v>
      </c>
      <c r="W12" s="1412">
        <v>22841</v>
      </c>
      <c r="X12" s="1412"/>
      <c r="Y12" s="1412">
        <v>0</v>
      </c>
      <c r="Z12" s="1412"/>
      <c r="AA12" s="1412"/>
      <c r="AB12" s="1412"/>
      <c r="AC12" s="1412">
        <v>4432919</v>
      </c>
      <c r="AD12" s="1412"/>
      <c r="AE12" s="1412">
        <v>4432919</v>
      </c>
      <c r="AF12" s="1412"/>
      <c r="AG12" s="1412">
        <v>4399498</v>
      </c>
      <c r="AH12" s="1412">
        <v>3264842</v>
      </c>
      <c r="AI12" s="1412">
        <v>1134656</v>
      </c>
      <c r="AJ12" s="1412"/>
      <c r="AK12" s="1412">
        <v>2500347</v>
      </c>
      <c r="AL12" s="1412">
        <v>2500347</v>
      </c>
      <c r="AM12" s="1412"/>
      <c r="AN12" s="1412"/>
      <c r="AO12" s="1412">
        <v>2917817</v>
      </c>
      <c r="AP12" s="1412">
        <v>2867575</v>
      </c>
      <c r="AQ12" s="1412">
        <v>50242</v>
      </c>
      <c r="AR12" s="1412"/>
      <c r="AS12" s="1412">
        <v>4309482</v>
      </c>
      <c r="AT12" s="1412">
        <v>2213703</v>
      </c>
      <c r="AU12" s="1412">
        <v>2095779</v>
      </c>
      <c r="AV12" s="1412"/>
      <c r="AW12" s="1412">
        <v>0</v>
      </c>
      <c r="AX12" s="1412"/>
      <c r="AY12" s="1412"/>
      <c r="AZ12" s="1412"/>
      <c r="BA12" s="1412"/>
      <c r="BB12" s="1412">
        <v>0</v>
      </c>
      <c r="BC12" s="1412">
        <v>0</v>
      </c>
      <c r="BD12" s="1412"/>
      <c r="BE12" s="1412">
        <v>0</v>
      </c>
      <c r="BF12" s="1412"/>
      <c r="BG12" s="1412"/>
      <c r="BH12" s="1412"/>
      <c r="BI12" s="1412"/>
      <c r="BJ12" s="1412">
        <v>0</v>
      </c>
      <c r="BK12" s="1412"/>
      <c r="BL12" s="1412">
        <v>0</v>
      </c>
      <c r="BM12" s="1412"/>
      <c r="BN12" s="1412"/>
      <c r="BO12" s="1412"/>
      <c r="BP12" s="1412"/>
      <c r="BQ12" s="1412">
        <v>0</v>
      </c>
      <c r="BR12" s="1412"/>
      <c r="BS12" s="1412">
        <v>0</v>
      </c>
      <c r="BT12" s="1412"/>
      <c r="BU12" s="1412"/>
      <c r="BV12" s="1412"/>
      <c r="BW12" s="1412"/>
      <c r="BX12" s="1412">
        <v>0</v>
      </c>
      <c r="BY12" s="1412"/>
      <c r="BZ12" s="1412"/>
      <c r="CA12" s="1412"/>
      <c r="CB12" s="1412"/>
      <c r="CC12" s="1412"/>
      <c r="CD12" s="1412">
        <v>0</v>
      </c>
      <c r="CE12" s="1412">
        <v>0</v>
      </c>
      <c r="CF12" s="1412"/>
      <c r="CG12" s="1412"/>
      <c r="CH12" s="1412">
        <v>0</v>
      </c>
      <c r="CI12" s="1412"/>
      <c r="CJ12" s="1412"/>
      <c r="CK12" s="1412"/>
      <c r="CL12" s="1412">
        <v>0</v>
      </c>
      <c r="CM12" s="1412"/>
      <c r="CN12" s="1412"/>
      <c r="CO12" s="1412"/>
      <c r="CP12" s="1412"/>
      <c r="CQ12" s="1412">
        <v>0</v>
      </c>
      <c r="CR12" s="1412">
        <v>0</v>
      </c>
      <c r="CS12" s="1412"/>
      <c r="CT12" s="1412"/>
      <c r="CU12" s="1412">
        <v>0</v>
      </c>
      <c r="CV12" s="1412"/>
      <c r="CW12" s="1412"/>
      <c r="CX12" s="1412"/>
      <c r="CY12" s="1412">
        <v>1594104</v>
      </c>
      <c r="CZ12" s="1412"/>
      <c r="DA12" s="1412">
        <v>0</v>
      </c>
      <c r="DB12" s="1412">
        <v>0</v>
      </c>
      <c r="DC12" s="1412"/>
      <c r="DD12" s="1412"/>
      <c r="DE12" s="1412"/>
      <c r="DF12" s="1412"/>
      <c r="DG12" s="1412"/>
      <c r="DH12" s="1412">
        <v>18669711</v>
      </c>
      <c r="DI12" s="1412">
        <v>5146944</v>
      </c>
      <c r="DJ12" s="1412">
        <v>1004135</v>
      </c>
      <c r="DK12" s="1412">
        <v>5459814</v>
      </c>
      <c r="DL12" s="1412">
        <v>7058818</v>
      </c>
      <c r="DM12" s="1412"/>
      <c r="DN12" s="1412">
        <v>7253550</v>
      </c>
      <c r="DO12" s="1412"/>
      <c r="DP12" s="1412"/>
      <c r="DQ12" s="1412">
        <v>122609473</v>
      </c>
      <c r="DR12" s="1363"/>
      <c r="DS12" s="1363"/>
      <c r="DT12" s="1363">
        <v>0</v>
      </c>
    </row>
    <row r="13" spans="2:124">
      <c r="B13" s="1208">
        <v>42186</v>
      </c>
      <c r="C13" s="1412">
        <v>68785675</v>
      </c>
      <c r="D13" s="1412">
        <v>68785675</v>
      </c>
      <c r="E13" s="1412">
        <v>62123532</v>
      </c>
      <c r="F13" s="1412">
        <v>6662143</v>
      </c>
      <c r="G13" s="1412"/>
      <c r="H13" s="1412"/>
      <c r="I13" s="1412"/>
      <c r="J13" s="1412"/>
      <c r="K13" s="1412"/>
      <c r="L13" s="1412"/>
      <c r="M13" s="1412"/>
      <c r="N13" s="1412"/>
      <c r="O13" s="1412">
        <v>23646514</v>
      </c>
      <c r="P13" s="1412">
        <v>6488911</v>
      </c>
      <c r="Q13" s="1412">
        <v>2997235</v>
      </c>
      <c r="R13" s="1412">
        <v>1795121</v>
      </c>
      <c r="S13" s="1412">
        <v>1202114</v>
      </c>
      <c r="T13" s="1412"/>
      <c r="U13" s="1412">
        <v>3491676</v>
      </c>
      <c r="V13" s="1412">
        <v>481343</v>
      </c>
      <c r="W13" s="1412">
        <v>3010333</v>
      </c>
      <c r="X13" s="1412"/>
      <c r="Y13" s="1412">
        <v>0</v>
      </c>
      <c r="Z13" s="1412"/>
      <c r="AA13" s="1412"/>
      <c r="AB13" s="1412"/>
      <c r="AC13" s="1412">
        <v>0</v>
      </c>
      <c r="AD13" s="1412"/>
      <c r="AE13" s="1412"/>
      <c r="AF13" s="1412"/>
      <c r="AG13" s="1412">
        <v>5324944</v>
      </c>
      <c r="AH13" s="1412">
        <v>4505367</v>
      </c>
      <c r="AI13" s="1412">
        <v>819577</v>
      </c>
      <c r="AJ13" s="1412"/>
      <c r="AK13" s="1412">
        <v>2519389</v>
      </c>
      <c r="AL13" s="1412">
        <v>2519389</v>
      </c>
      <c r="AM13" s="1412"/>
      <c r="AN13" s="1412"/>
      <c r="AO13" s="1412">
        <v>3047356</v>
      </c>
      <c r="AP13" s="1412">
        <v>2701940</v>
      </c>
      <c r="AQ13" s="1412">
        <v>345416</v>
      </c>
      <c r="AR13" s="1412"/>
      <c r="AS13" s="1412">
        <v>6265914</v>
      </c>
      <c r="AT13" s="1412">
        <v>3594359</v>
      </c>
      <c r="AU13" s="1412">
        <v>2671555</v>
      </c>
      <c r="AV13" s="1412"/>
      <c r="AW13" s="1412">
        <v>0</v>
      </c>
      <c r="AX13" s="1412"/>
      <c r="AY13" s="1412"/>
      <c r="AZ13" s="1412"/>
      <c r="BA13" s="1412"/>
      <c r="BB13" s="1412">
        <v>0</v>
      </c>
      <c r="BC13" s="1412">
        <v>0</v>
      </c>
      <c r="BD13" s="1412"/>
      <c r="BE13" s="1412">
        <v>0</v>
      </c>
      <c r="BF13" s="1412"/>
      <c r="BG13" s="1412"/>
      <c r="BH13" s="1412"/>
      <c r="BI13" s="1412"/>
      <c r="BJ13" s="1412">
        <v>0</v>
      </c>
      <c r="BK13" s="1412"/>
      <c r="BL13" s="1412">
        <v>0</v>
      </c>
      <c r="BM13" s="1412"/>
      <c r="BN13" s="1412"/>
      <c r="BO13" s="1412"/>
      <c r="BP13" s="1412"/>
      <c r="BQ13" s="1412">
        <v>0</v>
      </c>
      <c r="BR13" s="1412"/>
      <c r="BS13" s="1412">
        <v>0</v>
      </c>
      <c r="BT13" s="1412"/>
      <c r="BU13" s="1412"/>
      <c r="BV13" s="1412"/>
      <c r="BW13" s="1412"/>
      <c r="BX13" s="1412">
        <v>0</v>
      </c>
      <c r="BY13" s="1412"/>
      <c r="BZ13" s="1412"/>
      <c r="CA13" s="1412"/>
      <c r="CB13" s="1412"/>
      <c r="CC13" s="1412"/>
      <c r="CD13" s="1412">
        <v>0</v>
      </c>
      <c r="CE13" s="1412">
        <v>0</v>
      </c>
      <c r="CF13" s="1412"/>
      <c r="CG13" s="1412"/>
      <c r="CH13" s="1412">
        <v>0</v>
      </c>
      <c r="CI13" s="1412"/>
      <c r="CJ13" s="1412"/>
      <c r="CK13" s="1412"/>
      <c r="CL13" s="1412">
        <v>0</v>
      </c>
      <c r="CM13" s="1412"/>
      <c r="CN13" s="1412"/>
      <c r="CO13" s="1412"/>
      <c r="CP13" s="1412"/>
      <c r="CQ13" s="1412">
        <v>0</v>
      </c>
      <c r="CR13" s="1412">
        <v>0</v>
      </c>
      <c r="CS13" s="1412"/>
      <c r="CT13" s="1412"/>
      <c r="CU13" s="1412">
        <v>0</v>
      </c>
      <c r="CV13" s="1412"/>
      <c r="CW13" s="1412"/>
      <c r="CX13" s="1412"/>
      <c r="CY13" s="1412">
        <v>1468352</v>
      </c>
      <c r="CZ13" s="1412"/>
      <c r="DA13" s="1412">
        <v>0</v>
      </c>
      <c r="DB13" s="1412">
        <v>0</v>
      </c>
      <c r="DC13" s="1412"/>
      <c r="DD13" s="1412"/>
      <c r="DE13" s="1412"/>
      <c r="DF13" s="1412"/>
      <c r="DG13" s="1412"/>
      <c r="DH13" s="1412">
        <v>19625656</v>
      </c>
      <c r="DI13" s="1412">
        <v>5307376</v>
      </c>
      <c r="DJ13" s="1412">
        <v>1004135</v>
      </c>
      <c r="DK13" s="1412">
        <v>6899577</v>
      </c>
      <c r="DL13" s="1412">
        <v>6414568</v>
      </c>
      <c r="DM13" s="1412"/>
      <c r="DN13" s="1412">
        <v>4500852.8400000036</v>
      </c>
      <c r="DO13" s="1412"/>
      <c r="DP13" s="1412"/>
      <c r="DQ13" s="1412">
        <v>118027049.84</v>
      </c>
      <c r="DR13" s="1363"/>
      <c r="DS13" s="1363"/>
      <c r="DT13" s="1363">
        <v>0</v>
      </c>
    </row>
    <row r="14" spans="2:124">
      <c r="B14" s="1208">
        <v>42217</v>
      </c>
      <c r="C14" s="1412">
        <v>71554185</v>
      </c>
      <c r="D14" s="1412">
        <v>71554185</v>
      </c>
      <c r="E14" s="1412">
        <v>61205557</v>
      </c>
      <c r="F14" s="1412">
        <v>10348628</v>
      </c>
      <c r="G14" s="1412"/>
      <c r="H14" s="1412"/>
      <c r="I14" s="1412"/>
      <c r="J14" s="1412"/>
      <c r="K14" s="1412"/>
      <c r="L14" s="1412"/>
      <c r="M14" s="1412"/>
      <c r="N14" s="1412"/>
      <c r="O14" s="1412">
        <v>21540265</v>
      </c>
      <c r="P14" s="1412">
        <v>10755824</v>
      </c>
      <c r="Q14" s="1412">
        <v>3211812</v>
      </c>
      <c r="R14" s="1412">
        <v>1792539</v>
      </c>
      <c r="S14" s="1412">
        <v>1419273</v>
      </c>
      <c r="T14" s="1412"/>
      <c r="U14" s="1412">
        <v>7544012</v>
      </c>
      <c r="V14" s="1412">
        <v>499429</v>
      </c>
      <c r="W14" s="1412">
        <v>7044583</v>
      </c>
      <c r="X14" s="1412"/>
      <c r="Y14" s="1412">
        <v>0</v>
      </c>
      <c r="Z14" s="1412"/>
      <c r="AA14" s="1412"/>
      <c r="AB14" s="1412"/>
      <c r="AC14" s="1412">
        <v>0</v>
      </c>
      <c r="AD14" s="1412"/>
      <c r="AE14" s="1412"/>
      <c r="AF14" s="1412"/>
      <c r="AG14" s="1412">
        <v>3415941</v>
      </c>
      <c r="AH14" s="1412">
        <v>2536541</v>
      </c>
      <c r="AI14" s="1412">
        <v>879400</v>
      </c>
      <c r="AJ14" s="1412"/>
      <c r="AK14" s="1412">
        <v>2497902</v>
      </c>
      <c r="AL14" s="1412">
        <v>2497902</v>
      </c>
      <c r="AM14" s="1412"/>
      <c r="AN14" s="1412"/>
      <c r="AO14" s="1412">
        <v>2142769</v>
      </c>
      <c r="AP14" s="1412">
        <v>2142769</v>
      </c>
      <c r="AQ14" s="1412"/>
      <c r="AR14" s="1412"/>
      <c r="AS14" s="1412">
        <v>2727829</v>
      </c>
      <c r="AT14" s="1412">
        <v>2727829</v>
      </c>
      <c r="AU14" s="1412"/>
      <c r="AV14" s="1412"/>
      <c r="AW14" s="1412">
        <v>0</v>
      </c>
      <c r="AX14" s="1412"/>
      <c r="AY14" s="1412"/>
      <c r="AZ14" s="1412"/>
      <c r="BA14" s="1412"/>
      <c r="BB14" s="1412">
        <v>0</v>
      </c>
      <c r="BC14" s="1412">
        <v>0</v>
      </c>
      <c r="BD14" s="1412"/>
      <c r="BE14" s="1412">
        <v>0</v>
      </c>
      <c r="BF14" s="1412"/>
      <c r="BG14" s="1412"/>
      <c r="BH14" s="1412"/>
      <c r="BI14" s="1412"/>
      <c r="BJ14" s="1412">
        <v>0</v>
      </c>
      <c r="BK14" s="1412"/>
      <c r="BL14" s="1412">
        <v>0</v>
      </c>
      <c r="BM14" s="1412"/>
      <c r="BN14" s="1412"/>
      <c r="BO14" s="1412"/>
      <c r="BP14" s="1412"/>
      <c r="BQ14" s="1412">
        <v>0</v>
      </c>
      <c r="BR14" s="1412"/>
      <c r="BS14" s="1412">
        <v>0</v>
      </c>
      <c r="BT14" s="1412"/>
      <c r="BU14" s="1412"/>
      <c r="BV14" s="1412"/>
      <c r="BW14" s="1412"/>
      <c r="BX14" s="1412">
        <v>0</v>
      </c>
      <c r="BY14" s="1412"/>
      <c r="BZ14" s="1412"/>
      <c r="CA14" s="1412"/>
      <c r="CB14" s="1412"/>
      <c r="CC14" s="1412"/>
      <c r="CD14" s="1412">
        <v>0</v>
      </c>
      <c r="CE14" s="1412">
        <v>0</v>
      </c>
      <c r="CF14" s="1412"/>
      <c r="CG14" s="1412"/>
      <c r="CH14" s="1412">
        <v>0</v>
      </c>
      <c r="CI14" s="1412"/>
      <c r="CJ14" s="1412"/>
      <c r="CK14" s="1412"/>
      <c r="CL14" s="1412">
        <v>0</v>
      </c>
      <c r="CM14" s="1412"/>
      <c r="CN14" s="1412"/>
      <c r="CO14" s="1412"/>
      <c r="CP14" s="1412"/>
      <c r="CQ14" s="1412">
        <v>0</v>
      </c>
      <c r="CR14" s="1412">
        <v>0</v>
      </c>
      <c r="CS14" s="1412"/>
      <c r="CT14" s="1412"/>
      <c r="CU14" s="1412">
        <v>0</v>
      </c>
      <c r="CV14" s="1412"/>
      <c r="CW14" s="1412"/>
      <c r="CX14" s="1412"/>
      <c r="CY14" s="1412">
        <v>1341353</v>
      </c>
      <c r="CZ14" s="1412"/>
      <c r="DA14" s="1412">
        <v>0</v>
      </c>
      <c r="DB14" s="1412">
        <v>0</v>
      </c>
      <c r="DC14" s="1412"/>
      <c r="DD14" s="1412"/>
      <c r="DE14" s="1412"/>
      <c r="DF14" s="1412"/>
      <c r="DG14" s="1412"/>
      <c r="DH14" s="1412">
        <v>20226050</v>
      </c>
      <c r="DI14" s="1412">
        <v>5357333</v>
      </c>
      <c r="DJ14" s="1412">
        <v>1004135</v>
      </c>
      <c r="DK14" s="1412">
        <v>7587712</v>
      </c>
      <c r="DL14" s="1412">
        <v>6276870</v>
      </c>
      <c r="DM14" s="1412"/>
      <c r="DN14" s="1412">
        <v>5129733</v>
      </c>
      <c r="DO14" s="1412"/>
      <c r="DP14" s="1412"/>
      <c r="DQ14" s="1412">
        <v>119791586</v>
      </c>
      <c r="DR14" s="1363"/>
      <c r="DS14" s="1363"/>
      <c r="DT14" s="1363">
        <v>0</v>
      </c>
    </row>
    <row r="15" spans="2:124">
      <c r="B15" s="1208">
        <v>42248</v>
      </c>
      <c r="C15" s="1412">
        <v>77161539</v>
      </c>
      <c r="D15" s="1412">
        <v>77161539</v>
      </c>
      <c r="E15" s="1412">
        <v>65193563</v>
      </c>
      <c r="F15" s="1412">
        <v>11967976</v>
      </c>
      <c r="G15" s="1412"/>
      <c r="H15" s="1412"/>
      <c r="I15" s="1412"/>
      <c r="J15" s="1412"/>
      <c r="K15" s="1412"/>
      <c r="L15" s="1412"/>
      <c r="M15" s="1412"/>
      <c r="N15" s="1412"/>
      <c r="O15" s="1412">
        <v>24130002</v>
      </c>
      <c r="P15" s="1412">
        <v>10953946</v>
      </c>
      <c r="Q15" s="1412">
        <v>3089992</v>
      </c>
      <c r="R15" s="1412">
        <v>1801827</v>
      </c>
      <c r="S15" s="1412">
        <v>1288165</v>
      </c>
      <c r="T15" s="1412"/>
      <c r="U15" s="1412">
        <v>7863954</v>
      </c>
      <c r="V15" s="1412">
        <v>3507204</v>
      </c>
      <c r="W15" s="1412">
        <v>4356750</v>
      </c>
      <c r="X15" s="1412"/>
      <c r="Y15" s="1412">
        <v>0</v>
      </c>
      <c r="Z15" s="1412"/>
      <c r="AA15" s="1412"/>
      <c r="AB15" s="1412"/>
      <c r="AC15" s="1412">
        <v>110988</v>
      </c>
      <c r="AD15" s="1412"/>
      <c r="AE15" s="1412">
        <v>110988</v>
      </c>
      <c r="AF15" s="1412"/>
      <c r="AG15" s="1412">
        <v>4272625</v>
      </c>
      <c r="AH15" s="1412">
        <v>2379005</v>
      </c>
      <c r="AI15" s="1412">
        <v>1893620</v>
      </c>
      <c r="AJ15" s="1412"/>
      <c r="AK15" s="1412">
        <v>2501457</v>
      </c>
      <c r="AL15" s="1412">
        <v>2501457</v>
      </c>
      <c r="AM15" s="1412"/>
      <c r="AN15" s="1412"/>
      <c r="AO15" s="1412">
        <v>2366946</v>
      </c>
      <c r="AP15" s="1412">
        <v>2017137</v>
      </c>
      <c r="AQ15" s="1412">
        <v>349809</v>
      </c>
      <c r="AR15" s="1412"/>
      <c r="AS15" s="1412">
        <v>3924040</v>
      </c>
      <c r="AT15" s="1412">
        <v>1166363</v>
      </c>
      <c r="AU15" s="1412">
        <v>2757677</v>
      </c>
      <c r="AV15" s="1412"/>
      <c r="AW15" s="1412">
        <v>0</v>
      </c>
      <c r="AX15" s="1412"/>
      <c r="AY15" s="1412"/>
      <c r="AZ15" s="1412"/>
      <c r="BA15" s="1412"/>
      <c r="BB15" s="1412">
        <v>0</v>
      </c>
      <c r="BC15" s="1412">
        <v>0</v>
      </c>
      <c r="BD15" s="1412"/>
      <c r="BE15" s="1412">
        <v>0</v>
      </c>
      <c r="BF15" s="1412"/>
      <c r="BG15" s="1412"/>
      <c r="BH15" s="1412"/>
      <c r="BI15" s="1412"/>
      <c r="BJ15" s="1412">
        <v>0</v>
      </c>
      <c r="BK15" s="1412"/>
      <c r="BL15" s="1412">
        <v>0</v>
      </c>
      <c r="BM15" s="1412"/>
      <c r="BN15" s="1412"/>
      <c r="BO15" s="1412"/>
      <c r="BP15" s="1412"/>
      <c r="BQ15" s="1412">
        <v>0</v>
      </c>
      <c r="BR15" s="1412"/>
      <c r="BS15" s="1412">
        <v>0</v>
      </c>
      <c r="BT15" s="1412"/>
      <c r="BU15" s="1412"/>
      <c r="BV15" s="1412"/>
      <c r="BW15" s="1412"/>
      <c r="BX15" s="1412">
        <v>0</v>
      </c>
      <c r="BY15" s="1412"/>
      <c r="BZ15" s="1412"/>
      <c r="CA15" s="1412"/>
      <c r="CB15" s="1412"/>
      <c r="CC15" s="1412"/>
      <c r="CD15" s="1412">
        <v>0</v>
      </c>
      <c r="CE15" s="1412">
        <v>0</v>
      </c>
      <c r="CF15" s="1412"/>
      <c r="CG15" s="1412"/>
      <c r="CH15" s="1412">
        <v>0</v>
      </c>
      <c r="CI15" s="1412"/>
      <c r="CJ15" s="1412"/>
      <c r="CK15" s="1412"/>
      <c r="CL15" s="1412">
        <v>0</v>
      </c>
      <c r="CM15" s="1412"/>
      <c r="CN15" s="1412"/>
      <c r="CO15" s="1412"/>
      <c r="CP15" s="1412"/>
      <c r="CQ15" s="1412">
        <v>0</v>
      </c>
      <c r="CR15" s="1412">
        <v>0</v>
      </c>
      <c r="CS15" s="1412"/>
      <c r="CT15" s="1412"/>
      <c r="CU15" s="1412">
        <v>0</v>
      </c>
      <c r="CV15" s="1412"/>
      <c r="CW15" s="1412"/>
      <c r="CX15" s="1412"/>
      <c r="CY15" s="1412">
        <v>1212901</v>
      </c>
      <c r="CZ15" s="1412"/>
      <c r="DA15" s="1412">
        <v>0</v>
      </c>
      <c r="DB15" s="1412">
        <v>0</v>
      </c>
      <c r="DC15" s="1412"/>
      <c r="DD15" s="1412"/>
      <c r="DE15" s="1412"/>
      <c r="DF15" s="1412"/>
      <c r="DG15" s="1412"/>
      <c r="DH15" s="1412">
        <v>20898348</v>
      </c>
      <c r="DI15" s="1412">
        <v>5402984</v>
      </c>
      <c r="DJ15" s="1412">
        <v>1004135</v>
      </c>
      <c r="DK15" s="1412">
        <v>8291935</v>
      </c>
      <c r="DL15" s="1412">
        <v>6199294</v>
      </c>
      <c r="DM15" s="1412"/>
      <c r="DN15" s="1412">
        <v>5683603</v>
      </c>
      <c r="DO15" s="1412"/>
      <c r="DP15" s="1412"/>
      <c r="DQ15" s="1412">
        <v>129086393</v>
      </c>
      <c r="DR15" s="1363"/>
      <c r="DS15" s="1363"/>
      <c r="DT15" s="1363">
        <v>0</v>
      </c>
    </row>
    <row r="16" spans="2:124">
      <c r="B16" s="1208">
        <v>42278</v>
      </c>
      <c r="C16" s="1412">
        <v>73380492</v>
      </c>
      <c r="D16" s="1412">
        <v>73380492</v>
      </c>
      <c r="E16" s="1412">
        <v>62416859</v>
      </c>
      <c r="F16" s="1412">
        <v>10963633</v>
      </c>
      <c r="G16" s="1412"/>
      <c r="H16" s="1412"/>
      <c r="I16" s="1412"/>
      <c r="J16" s="1412"/>
      <c r="K16" s="1412"/>
      <c r="L16" s="1412"/>
      <c r="M16" s="1412"/>
      <c r="N16" s="1412"/>
      <c r="O16" s="1412">
        <v>24121472</v>
      </c>
      <c r="P16" s="1412">
        <v>11110875</v>
      </c>
      <c r="Q16" s="1412">
        <v>3139876</v>
      </c>
      <c r="R16" s="1412">
        <v>1762805</v>
      </c>
      <c r="S16" s="1412">
        <v>1377071</v>
      </c>
      <c r="T16" s="1412"/>
      <c r="U16" s="1412">
        <v>7970999</v>
      </c>
      <c r="V16" s="1412">
        <v>841402</v>
      </c>
      <c r="W16" s="1412">
        <v>7129597</v>
      </c>
      <c r="X16" s="1412"/>
      <c r="Y16" s="1412">
        <v>0</v>
      </c>
      <c r="Z16" s="1412"/>
      <c r="AA16" s="1412"/>
      <c r="AB16" s="1412"/>
      <c r="AC16" s="1412">
        <v>111223</v>
      </c>
      <c r="AD16" s="1412"/>
      <c r="AE16" s="1412">
        <v>111223</v>
      </c>
      <c r="AF16" s="1412"/>
      <c r="AG16" s="1412">
        <v>3636162</v>
      </c>
      <c r="AH16" s="1412">
        <v>2277560</v>
      </c>
      <c r="AI16" s="1412">
        <v>1358602</v>
      </c>
      <c r="AJ16" s="1412"/>
      <c r="AK16" s="1412">
        <v>2527608</v>
      </c>
      <c r="AL16" s="1412">
        <v>2527608</v>
      </c>
      <c r="AM16" s="1412"/>
      <c r="AN16" s="1412"/>
      <c r="AO16" s="1412">
        <v>2437046</v>
      </c>
      <c r="AP16" s="1412">
        <v>2385528</v>
      </c>
      <c r="AQ16" s="1412">
        <v>51518</v>
      </c>
      <c r="AR16" s="1412"/>
      <c r="AS16" s="1412">
        <v>4298558</v>
      </c>
      <c r="AT16" s="1412">
        <v>1154314</v>
      </c>
      <c r="AU16" s="1412">
        <v>3144244</v>
      </c>
      <c r="AV16" s="1412"/>
      <c r="AW16" s="1412">
        <v>0</v>
      </c>
      <c r="AX16" s="1412"/>
      <c r="AY16" s="1412"/>
      <c r="AZ16" s="1412"/>
      <c r="BA16" s="1412"/>
      <c r="BB16" s="1412">
        <v>0</v>
      </c>
      <c r="BC16" s="1412">
        <v>0</v>
      </c>
      <c r="BD16" s="1412"/>
      <c r="BE16" s="1412">
        <v>0</v>
      </c>
      <c r="BF16" s="1412"/>
      <c r="BG16" s="1412"/>
      <c r="BH16" s="1412"/>
      <c r="BI16" s="1412"/>
      <c r="BJ16" s="1412">
        <v>0</v>
      </c>
      <c r="BK16" s="1412"/>
      <c r="BL16" s="1412">
        <v>0</v>
      </c>
      <c r="BM16" s="1412"/>
      <c r="BN16" s="1412"/>
      <c r="BO16" s="1412"/>
      <c r="BP16" s="1412"/>
      <c r="BQ16" s="1412">
        <v>0</v>
      </c>
      <c r="BR16" s="1412"/>
      <c r="BS16" s="1412">
        <v>0</v>
      </c>
      <c r="BT16" s="1412"/>
      <c r="BU16" s="1412"/>
      <c r="BV16" s="1412"/>
      <c r="BW16" s="1412"/>
      <c r="BX16" s="1412">
        <v>0</v>
      </c>
      <c r="BY16" s="1412"/>
      <c r="BZ16" s="1412"/>
      <c r="CA16" s="1412"/>
      <c r="CB16" s="1412"/>
      <c r="CC16" s="1412"/>
      <c r="CD16" s="1412">
        <v>0</v>
      </c>
      <c r="CE16" s="1412">
        <v>0</v>
      </c>
      <c r="CF16" s="1412"/>
      <c r="CG16" s="1412"/>
      <c r="CH16" s="1412">
        <v>0</v>
      </c>
      <c r="CI16" s="1412"/>
      <c r="CJ16" s="1412"/>
      <c r="CK16" s="1412"/>
      <c r="CL16" s="1412">
        <v>0</v>
      </c>
      <c r="CM16" s="1412"/>
      <c r="CN16" s="1412"/>
      <c r="CO16" s="1412"/>
      <c r="CP16" s="1412"/>
      <c r="CQ16" s="1412">
        <v>0</v>
      </c>
      <c r="CR16" s="1412">
        <v>0</v>
      </c>
      <c r="CS16" s="1412"/>
      <c r="CT16" s="1412"/>
      <c r="CU16" s="1412">
        <v>0</v>
      </c>
      <c r="CV16" s="1412"/>
      <c r="CW16" s="1412"/>
      <c r="CX16" s="1412"/>
      <c r="CY16" s="1412">
        <v>1083046</v>
      </c>
      <c r="CZ16" s="1412"/>
      <c r="DA16" s="1412">
        <v>0</v>
      </c>
      <c r="DB16" s="1412">
        <v>0</v>
      </c>
      <c r="DC16" s="1412"/>
      <c r="DD16" s="1412"/>
      <c r="DE16" s="1412"/>
      <c r="DF16" s="1412"/>
      <c r="DG16" s="1412"/>
      <c r="DH16" s="1412">
        <v>21653882</v>
      </c>
      <c r="DI16" s="1412">
        <v>5476525</v>
      </c>
      <c r="DJ16" s="1412">
        <v>1004135</v>
      </c>
      <c r="DK16" s="1412">
        <v>9075843</v>
      </c>
      <c r="DL16" s="1412">
        <v>6097379</v>
      </c>
      <c r="DM16" s="1412"/>
      <c r="DN16" s="1412">
        <v>6439571</v>
      </c>
      <c r="DO16" s="1412"/>
      <c r="DP16" s="1412"/>
      <c r="DQ16" s="1412">
        <v>126678463</v>
      </c>
      <c r="DR16" s="1363"/>
      <c r="DS16" s="1363"/>
      <c r="DT16" s="1363">
        <v>0</v>
      </c>
    </row>
    <row r="17" spans="2:124">
      <c r="B17" s="1208">
        <v>42309</v>
      </c>
      <c r="C17" s="1412">
        <v>76307696</v>
      </c>
      <c r="D17" s="1412">
        <v>76307696</v>
      </c>
      <c r="E17" s="1412">
        <v>66161719</v>
      </c>
      <c r="F17" s="1412">
        <v>10145977</v>
      </c>
      <c r="G17" s="1412"/>
      <c r="H17" s="1412"/>
      <c r="I17" s="1412"/>
      <c r="J17" s="1412"/>
      <c r="K17" s="1412"/>
      <c r="L17" s="1412"/>
      <c r="M17" s="1412"/>
      <c r="N17" s="1412"/>
      <c r="O17" s="1412">
        <v>23679875</v>
      </c>
      <c r="P17" s="1412">
        <v>11727062</v>
      </c>
      <c r="Q17" s="1412">
        <v>3029363</v>
      </c>
      <c r="R17" s="1412">
        <v>1644965</v>
      </c>
      <c r="S17" s="1412">
        <v>1384398</v>
      </c>
      <c r="T17" s="1412"/>
      <c r="U17" s="1412">
        <v>8697699</v>
      </c>
      <c r="V17" s="1412">
        <v>487182</v>
      </c>
      <c r="W17" s="1412">
        <v>8210517</v>
      </c>
      <c r="X17" s="1412"/>
      <c r="Y17" s="1412">
        <v>0</v>
      </c>
      <c r="Z17" s="1412"/>
      <c r="AA17" s="1412"/>
      <c r="AB17" s="1412"/>
      <c r="AC17" s="1412">
        <v>11399</v>
      </c>
      <c r="AD17" s="1412"/>
      <c r="AE17" s="1412">
        <v>11399</v>
      </c>
      <c r="AF17" s="1412"/>
      <c r="AG17" s="1412">
        <v>3534562</v>
      </c>
      <c r="AH17" s="1412">
        <v>2030750</v>
      </c>
      <c r="AI17" s="1412">
        <v>1503812</v>
      </c>
      <c r="AJ17" s="1412"/>
      <c r="AK17" s="1412">
        <v>2525810</v>
      </c>
      <c r="AL17" s="1412">
        <v>2525810</v>
      </c>
      <c r="AM17" s="1412"/>
      <c r="AN17" s="1412"/>
      <c r="AO17" s="1412">
        <v>2461686</v>
      </c>
      <c r="AP17" s="1412">
        <v>2108012</v>
      </c>
      <c r="AQ17" s="1412">
        <v>353674</v>
      </c>
      <c r="AR17" s="1412"/>
      <c r="AS17" s="1412">
        <v>3419356</v>
      </c>
      <c r="AT17" s="1412">
        <v>1996478</v>
      </c>
      <c r="AU17" s="1412">
        <v>1422878</v>
      </c>
      <c r="AV17" s="1412"/>
      <c r="AW17" s="1412">
        <v>0</v>
      </c>
      <c r="AX17" s="1412"/>
      <c r="AY17" s="1412"/>
      <c r="AZ17" s="1412"/>
      <c r="BA17" s="1412"/>
      <c r="BB17" s="1412">
        <v>0</v>
      </c>
      <c r="BC17" s="1412">
        <v>0</v>
      </c>
      <c r="BD17" s="1412"/>
      <c r="BE17" s="1412">
        <v>0</v>
      </c>
      <c r="BF17" s="1412"/>
      <c r="BG17" s="1412"/>
      <c r="BH17" s="1412"/>
      <c r="BI17" s="1412"/>
      <c r="BJ17" s="1412">
        <v>0</v>
      </c>
      <c r="BK17" s="1412"/>
      <c r="BL17" s="1412">
        <v>0</v>
      </c>
      <c r="BM17" s="1412"/>
      <c r="BN17" s="1412"/>
      <c r="BO17" s="1412"/>
      <c r="BP17" s="1412"/>
      <c r="BQ17" s="1412">
        <v>0</v>
      </c>
      <c r="BR17" s="1412"/>
      <c r="BS17" s="1412">
        <v>0</v>
      </c>
      <c r="BT17" s="1412"/>
      <c r="BU17" s="1412"/>
      <c r="BV17" s="1412"/>
      <c r="BW17" s="1412"/>
      <c r="BX17" s="1412">
        <v>0</v>
      </c>
      <c r="BY17" s="1412"/>
      <c r="BZ17" s="1412"/>
      <c r="CA17" s="1412"/>
      <c r="CB17" s="1412"/>
      <c r="CC17" s="1412"/>
      <c r="CD17" s="1412">
        <v>0</v>
      </c>
      <c r="CE17" s="1412">
        <v>0</v>
      </c>
      <c r="CF17" s="1412"/>
      <c r="CG17" s="1412"/>
      <c r="CH17" s="1412">
        <v>0</v>
      </c>
      <c r="CI17" s="1412"/>
      <c r="CJ17" s="1412"/>
      <c r="CK17" s="1412"/>
      <c r="CL17" s="1412">
        <v>0</v>
      </c>
      <c r="CM17" s="1412"/>
      <c r="CN17" s="1412"/>
      <c r="CO17" s="1412"/>
      <c r="CP17" s="1412"/>
      <c r="CQ17" s="1412">
        <v>0</v>
      </c>
      <c r="CR17" s="1412">
        <v>0</v>
      </c>
      <c r="CS17" s="1412"/>
      <c r="CT17" s="1412"/>
      <c r="CU17" s="1412">
        <v>0</v>
      </c>
      <c r="CV17" s="1412"/>
      <c r="CW17" s="1412"/>
      <c r="CX17" s="1412"/>
      <c r="CY17" s="1412">
        <v>952142</v>
      </c>
      <c r="CZ17" s="1412"/>
      <c r="DA17" s="1412">
        <v>0</v>
      </c>
      <c r="DB17" s="1412">
        <v>0</v>
      </c>
      <c r="DC17" s="1412"/>
      <c r="DD17" s="1412"/>
      <c r="DE17" s="1412"/>
      <c r="DF17" s="1412"/>
      <c r="DG17" s="1412"/>
      <c r="DH17" s="1412">
        <v>21919605</v>
      </c>
      <c r="DI17" s="1412">
        <v>5377487</v>
      </c>
      <c r="DJ17" s="1412">
        <v>1004135</v>
      </c>
      <c r="DK17" s="1412">
        <v>9528475</v>
      </c>
      <c r="DL17" s="1412">
        <v>6009508</v>
      </c>
      <c r="DM17" s="1412"/>
      <c r="DN17" s="1412">
        <v>6385140</v>
      </c>
      <c r="DO17" s="1412"/>
      <c r="DP17" s="1412"/>
      <c r="DQ17" s="1412">
        <v>129244458</v>
      </c>
      <c r="DR17" s="1363"/>
      <c r="DS17" s="1363"/>
      <c r="DT17" s="1363">
        <v>0</v>
      </c>
    </row>
    <row r="18" spans="2:124">
      <c r="B18" s="1208">
        <v>42339</v>
      </c>
      <c r="C18" s="1412">
        <v>72505781</v>
      </c>
      <c r="D18" s="1412">
        <v>72505781</v>
      </c>
      <c r="E18" s="1412">
        <v>62081085</v>
      </c>
      <c r="F18" s="1412">
        <v>10424696</v>
      </c>
      <c r="G18" s="1412"/>
      <c r="H18" s="1412"/>
      <c r="I18" s="1412"/>
      <c r="J18" s="1412"/>
      <c r="K18" s="1412"/>
      <c r="L18" s="1412"/>
      <c r="M18" s="1412"/>
      <c r="N18" s="1412"/>
      <c r="O18" s="1412">
        <v>21862680</v>
      </c>
      <c r="P18" s="1412">
        <v>11770638</v>
      </c>
      <c r="Q18" s="1412">
        <v>3114697</v>
      </c>
      <c r="R18" s="1412">
        <v>1996824</v>
      </c>
      <c r="S18" s="1412">
        <v>1117873</v>
      </c>
      <c r="T18" s="1412"/>
      <c r="U18" s="1412">
        <v>8655941</v>
      </c>
      <c r="V18" s="1412">
        <v>4553301</v>
      </c>
      <c r="W18" s="1412">
        <v>4102640</v>
      </c>
      <c r="X18" s="1412"/>
      <c r="Y18" s="1412">
        <v>0</v>
      </c>
      <c r="Z18" s="1412"/>
      <c r="AA18" s="1412"/>
      <c r="AB18" s="1412"/>
      <c r="AC18" s="1412">
        <v>11423</v>
      </c>
      <c r="AD18" s="1412"/>
      <c r="AE18" s="1412">
        <v>11423</v>
      </c>
      <c r="AF18" s="1412"/>
      <c r="AG18" s="1412">
        <v>3923394</v>
      </c>
      <c r="AH18" s="1412">
        <v>2492368</v>
      </c>
      <c r="AI18" s="1412">
        <v>1431026</v>
      </c>
      <c r="AJ18" s="1412"/>
      <c r="AK18" s="1412">
        <v>2536643</v>
      </c>
      <c r="AL18" s="1412">
        <v>2536643</v>
      </c>
      <c r="AM18" s="1412"/>
      <c r="AN18" s="1412"/>
      <c r="AO18" s="1412">
        <v>1407579</v>
      </c>
      <c r="AP18" s="1412">
        <v>1355535</v>
      </c>
      <c r="AQ18" s="1412">
        <v>52044</v>
      </c>
      <c r="AR18" s="1412"/>
      <c r="AS18" s="1412">
        <v>2213003</v>
      </c>
      <c r="AT18" s="1412">
        <v>563122</v>
      </c>
      <c r="AU18" s="1412">
        <v>1649881</v>
      </c>
      <c r="AV18" s="1412"/>
      <c r="AW18" s="1412">
        <v>0</v>
      </c>
      <c r="AX18" s="1412"/>
      <c r="AY18" s="1412"/>
      <c r="AZ18" s="1412"/>
      <c r="BA18" s="1412"/>
      <c r="BB18" s="1412">
        <v>0</v>
      </c>
      <c r="BC18" s="1412">
        <v>0</v>
      </c>
      <c r="BD18" s="1412"/>
      <c r="BE18" s="1412">
        <v>0</v>
      </c>
      <c r="BF18" s="1412"/>
      <c r="BG18" s="1412"/>
      <c r="BH18" s="1412"/>
      <c r="BI18" s="1412"/>
      <c r="BJ18" s="1412">
        <v>0</v>
      </c>
      <c r="BK18" s="1412"/>
      <c r="BL18" s="1412">
        <v>0</v>
      </c>
      <c r="BM18" s="1412"/>
      <c r="BN18" s="1412"/>
      <c r="BO18" s="1412"/>
      <c r="BP18" s="1412"/>
      <c r="BQ18" s="1412">
        <v>0</v>
      </c>
      <c r="BR18" s="1412"/>
      <c r="BS18" s="1412">
        <v>0</v>
      </c>
      <c r="BT18" s="1412"/>
      <c r="BU18" s="1412"/>
      <c r="BV18" s="1412"/>
      <c r="BW18" s="1412"/>
      <c r="BX18" s="1412">
        <v>0</v>
      </c>
      <c r="BY18" s="1412"/>
      <c r="BZ18" s="1412"/>
      <c r="CA18" s="1412"/>
      <c r="CB18" s="1412"/>
      <c r="CC18" s="1412"/>
      <c r="CD18" s="1412">
        <v>0</v>
      </c>
      <c r="CE18" s="1412">
        <v>0</v>
      </c>
      <c r="CF18" s="1412"/>
      <c r="CG18" s="1412"/>
      <c r="CH18" s="1412">
        <v>0</v>
      </c>
      <c r="CI18" s="1412"/>
      <c r="CJ18" s="1412"/>
      <c r="CK18" s="1412"/>
      <c r="CL18" s="1412">
        <v>0</v>
      </c>
      <c r="CM18" s="1412"/>
      <c r="CN18" s="1412"/>
      <c r="CO18" s="1412"/>
      <c r="CP18" s="1412"/>
      <c r="CQ18" s="1412">
        <v>0</v>
      </c>
      <c r="CR18" s="1412">
        <v>0</v>
      </c>
      <c r="CS18" s="1412"/>
      <c r="CT18" s="1412"/>
      <c r="CU18" s="1412">
        <v>0</v>
      </c>
      <c r="CV18" s="1412"/>
      <c r="CW18" s="1412"/>
      <c r="CX18" s="1412"/>
      <c r="CY18" s="1412">
        <v>820243</v>
      </c>
      <c r="CZ18" s="1412"/>
      <c r="DA18" s="1412">
        <v>0</v>
      </c>
      <c r="DB18" s="1412">
        <v>0</v>
      </c>
      <c r="DC18" s="1412"/>
      <c r="DD18" s="1412"/>
      <c r="DE18" s="1412"/>
      <c r="DF18" s="1412"/>
      <c r="DG18" s="1412"/>
      <c r="DH18" s="1412">
        <v>42781306</v>
      </c>
      <c r="DI18" s="1412">
        <v>5546954</v>
      </c>
      <c r="DJ18" s="1412">
        <v>1004135</v>
      </c>
      <c r="DK18" s="1412">
        <v>10372519</v>
      </c>
      <c r="DL18" s="1412">
        <v>25857698</v>
      </c>
      <c r="DM18" s="1412"/>
      <c r="DN18" s="1412">
        <v>5510499</v>
      </c>
      <c r="DO18" s="1412"/>
      <c r="DP18" s="1412"/>
      <c r="DQ18" s="1412">
        <v>143480509</v>
      </c>
      <c r="DR18" s="1363"/>
      <c r="DS18" s="1363"/>
      <c r="DT18" s="1363">
        <v>0</v>
      </c>
    </row>
    <row r="19" spans="2:124">
      <c r="B19" s="1208"/>
      <c r="C19" s="1412"/>
      <c r="D19" s="1412"/>
      <c r="E19" s="1412"/>
      <c r="F19" s="1412"/>
      <c r="G19" s="1412"/>
      <c r="H19" s="1412"/>
      <c r="I19" s="1412"/>
      <c r="J19" s="1412"/>
      <c r="K19" s="1412"/>
      <c r="L19" s="1412"/>
      <c r="M19" s="1412"/>
      <c r="N19" s="1412"/>
      <c r="O19" s="1412"/>
      <c r="P19" s="1412"/>
      <c r="Q19" s="1412"/>
      <c r="R19" s="1412"/>
      <c r="S19" s="1412"/>
      <c r="T19" s="1412"/>
      <c r="U19" s="1412"/>
      <c r="V19" s="1412"/>
      <c r="W19" s="1412"/>
      <c r="X19" s="1412"/>
      <c r="Y19" s="1412"/>
      <c r="Z19" s="1412"/>
      <c r="AA19" s="1412"/>
      <c r="AB19" s="1412"/>
      <c r="AC19" s="1412"/>
      <c r="AD19" s="1412"/>
      <c r="AE19" s="1412"/>
      <c r="AF19" s="1412"/>
      <c r="AG19" s="1412"/>
      <c r="AH19" s="1412"/>
      <c r="AI19" s="1412"/>
      <c r="AJ19" s="1412"/>
      <c r="AK19" s="1412"/>
      <c r="AL19" s="1412"/>
      <c r="AM19" s="1412"/>
      <c r="AN19" s="1412"/>
      <c r="AO19" s="1412"/>
      <c r="AP19" s="1412"/>
      <c r="AQ19" s="1412"/>
      <c r="AR19" s="1412"/>
      <c r="AS19" s="1412"/>
      <c r="AT19" s="1412"/>
      <c r="AU19" s="1412"/>
      <c r="AV19" s="1412"/>
      <c r="AW19" s="1412"/>
      <c r="AX19" s="1412"/>
      <c r="AY19" s="1412"/>
      <c r="AZ19" s="1412"/>
      <c r="BA19" s="1412"/>
      <c r="BB19" s="1412"/>
      <c r="BC19" s="1412"/>
      <c r="BD19" s="1412"/>
      <c r="BE19" s="1412"/>
      <c r="BF19" s="1412"/>
      <c r="BG19" s="1412"/>
      <c r="BH19" s="1412"/>
      <c r="BI19" s="1412"/>
      <c r="BJ19" s="1412"/>
      <c r="BK19" s="1412"/>
      <c r="BL19" s="1412"/>
      <c r="BM19" s="1412"/>
      <c r="BN19" s="1412"/>
      <c r="BO19" s="1412"/>
      <c r="BP19" s="1412"/>
      <c r="BQ19" s="1412"/>
      <c r="BR19" s="1412"/>
      <c r="BS19" s="1412"/>
      <c r="BT19" s="1412"/>
      <c r="BU19" s="1412"/>
      <c r="BV19" s="1412"/>
      <c r="BW19" s="1412"/>
      <c r="BX19" s="1412"/>
      <c r="BY19" s="1412"/>
      <c r="BZ19" s="1412"/>
      <c r="CA19" s="1412"/>
      <c r="CB19" s="1412"/>
      <c r="CC19" s="1412"/>
      <c r="CD19" s="1412"/>
      <c r="CE19" s="1412"/>
      <c r="CF19" s="1412"/>
      <c r="CG19" s="1412"/>
      <c r="CH19" s="1412"/>
      <c r="CI19" s="1412"/>
      <c r="CJ19" s="1412"/>
      <c r="CK19" s="1412"/>
      <c r="CL19" s="1412"/>
      <c r="CM19" s="1412"/>
      <c r="CN19" s="1412"/>
      <c r="CO19" s="1412"/>
      <c r="CP19" s="1412"/>
      <c r="CQ19" s="1412"/>
      <c r="CR19" s="1412"/>
      <c r="CS19" s="1412"/>
      <c r="CT19" s="1412"/>
      <c r="CU19" s="1412"/>
      <c r="CV19" s="1412"/>
      <c r="CW19" s="1412"/>
      <c r="CX19" s="1412"/>
      <c r="CY19" s="1412"/>
      <c r="CZ19" s="1412"/>
      <c r="DA19" s="1412"/>
      <c r="DB19" s="1412"/>
      <c r="DC19" s="1412"/>
      <c r="DD19" s="1412"/>
      <c r="DE19" s="1412"/>
      <c r="DF19" s="1412"/>
      <c r="DG19" s="1412"/>
      <c r="DH19" s="1412"/>
      <c r="DI19" s="1412"/>
      <c r="DJ19" s="1412"/>
      <c r="DK19" s="1412"/>
      <c r="DL19" s="1412"/>
      <c r="DM19" s="1412"/>
      <c r="DN19" s="1412"/>
      <c r="DO19" s="1412"/>
      <c r="DP19" s="1412"/>
      <c r="DQ19" s="1412"/>
      <c r="DR19" s="1363"/>
      <c r="DS19" s="1363"/>
      <c r="DT19" s="1363"/>
    </row>
    <row r="20" spans="2:124">
      <c r="B20" s="1208"/>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1412"/>
      <c r="AV20" s="1412"/>
      <c r="AW20" s="1412"/>
      <c r="AX20" s="1412"/>
      <c r="AY20" s="1412"/>
      <c r="AZ20" s="1412"/>
      <c r="BA20" s="1412"/>
      <c r="BB20" s="1412"/>
      <c r="BC20" s="1412"/>
      <c r="BD20" s="1412"/>
      <c r="BE20" s="1412"/>
      <c r="BF20" s="1412"/>
      <c r="BG20" s="1412"/>
      <c r="BH20" s="1412"/>
      <c r="BI20" s="1412"/>
      <c r="BJ20" s="1412"/>
      <c r="BK20" s="1412"/>
      <c r="BL20" s="1412"/>
      <c r="BM20" s="1412"/>
      <c r="BN20" s="1412"/>
      <c r="BO20" s="1412"/>
      <c r="BP20" s="1412"/>
      <c r="BQ20" s="1412"/>
      <c r="BR20" s="1412"/>
      <c r="BS20" s="1412"/>
      <c r="BT20" s="1412"/>
      <c r="BU20" s="1412"/>
      <c r="BV20" s="1412"/>
      <c r="BW20" s="1412"/>
      <c r="BX20" s="1412"/>
      <c r="BY20" s="1412"/>
      <c r="BZ20" s="1412"/>
      <c r="CA20" s="1412"/>
      <c r="CB20" s="1412"/>
      <c r="CC20" s="1412"/>
      <c r="CD20" s="1412"/>
      <c r="CE20" s="1412"/>
      <c r="CF20" s="1412"/>
      <c r="CG20" s="1412"/>
      <c r="CH20" s="1412"/>
      <c r="CI20" s="1412"/>
      <c r="CJ20" s="1412"/>
      <c r="CK20" s="1412"/>
      <c r="CL20" s="1412"/>
      <c r="CM20" s="1412"/>
      <c r="CN20" s="1412"/>
      <c r="CO20" s="1412"/>
      <c r="CP20" s="1412"/>
      <c r="CQ20" s="1412"/>
      <c r="CR20" s="1412"/>
      <c r="CS20" s="1412"/>
      <c r="CT20" s="1412"/>
      <c r="CU20" s="1412"/>
      <c r="CV20" s="1412"/>
      <c r="CW20" s="1412"/>
      <c r="CX20" s="1412"/>
      <c r="CY20" s="1412"/>
      <c r="CZ20" s="1412"/>
      <c r="DA20" s="1412"/>
      <c r="DB20" s="1412"/>
      <c r="DC20" s="1412"/>
      <c r="DD20" s="1412"/>
      <c r="DE20" s="1412"/>
      <c r="DF20" s="1412"/>
      <c r="DG20" s="1412"/>
      <c r="DH20" s="1412"/>
      <c r="DI20" s="1412"/>
      <c r="DJ20" s="1412"/>
      <c r="DK20" s="1412"/>
      <c r="DL20" s="1412"/>
      <c r="DM20" s="1412"/>
      <c r="DN20" s="1412"/>
      <c r="DO20" s="1412"/>
      <c r="DP20" s="1412"/>
      <c r="DQ20" s="1412"/>
      <c r="DR20" s="1363"/>
      <c r="DS20" s="1363"/>
      <c r="DT20" s="1363"/>
    </row>
    <row r="21" spans="2:124">
      <c r="B21" s="1208">
        <v>42370</v>
      </c>
      <c r="C21" s="1412">
        <v>73735740</v>
      </c>
      <c r="D21" s="1412">
        <v>73735740</v>
      </c>
      <c r="E21" s="1412">
        <v>61020213</v>
      </c>
      <c r="F21" s="1412">
        <v>12715527</v>
      </c>
      <c r="G21" s="1412"/>
      <c r="H21" s="1412"/>
      <c r="I21" s="1412"/>
      <c r="J21" s="1412"/>
      <c r="K21" s="1412"/>
      <c r="L21" s="1412"/>
      <c r="M21" s="1412"/>
      <c r="N21" s="1412"/>
      <c r="O21" s="1412">
        <v>25838328</v>
      </c>
      <c r="P21" s="1412">
        <v>12243643</v>
      </c>
      <c r="Q21" s="1412">
        <v>2953466</v>
      </c>
      <c r="R21" s="1412">
        <v>1980311</v>
      </c>
      <c r="S21" s="1412">
        <v>973155</v>
      </c>
      <c r="T21" s="1412"/>
      <c r="U21" s="1412">
        <v>9290177</v>
      </c>
      <c r="V21" s="1412">
        <v>5191034</v>
      </c>
      <c r="W21" s="1412">
        <v>4099143</v>
      </c>
      <c r="X21" s="1412"/>
      <c r="Y21" s="1412">
        <v>0</v>
      </c>
      <c r="Z21" s="1412"/>
      <c r="AA21" s="1412"/>
      <c r="AB21" s="1412"/>
      <c r="AC21" s="1412">
        <v>511778</v>
      </c>
      <c r="AD21" s="1412"/>
      <c r="AE21" s="1412">
        <v>511778</v>
      </c>
      <c r="AF21" s="1412"/>
      <c r="AG21" s="1412">
        <v>4703061</v>
      </c>
      <c r="AH21" s="1412">
        <v>3607939</v>
      </c>
      <c r="AI21" s="1412">
        <v>1095122</v>
      </c>
      <c r="AJ21" s="1412"/>
      <c r="AK21" s="1412">
        <v>1559498</v>
      </c>
      <c r="AL21" s="1412">
        <v>1559498</v>
      </c>
      <c r="AM21" s="1412"/>
      <c r="AN21" s="1412"/>
      <c r="AO21" s="1412">
        <v>2215126</v>
      </c>
      <c r="AP21" s="1412">
        <v>1202721</v>
      </c>
      <c r="AQ21" s="1412">
        <v>1012405</v>
      </c>
      <c r="AR21" s="1412"/>
      <c r="AS21" s="1412">
        <v>4605222</v>
      </c>
      <c r="AT21" s="1412">
        <v>511933</v>
      </c>
      <c r="AU21" s="1412">
        <v>4093289</v>
      </c>
      <c r="AV21" s="1412"/>
      <c r="AW21" s="1412">
        <v>0</v>
      </c>
      <c r="AX21" s="1412"/>
      <c r="AY21" s="1412"/>
      <c r="AZ21" s="1412"/>
      <c r="BA21" s="1412"/>
      <c r="BB21" s="1412">
        <v>0</v>
      </c>
      <c r="BC21" s="1412">
        <v>0</v>
      </c>
      <c r="BD21" s="1412"/>
      <c r="BE21" s="1412">
        <v>0</v>
      </c>
      <c r="BF21" s="1412"/>
      <c r="BG21" s="1412"/>
      <c r="BH21" s="1412"/>
      <c r="BI21" s="1412"/>
      <c r="BJ21" s="1412">
        <v>0</v>
      </c>
      <c r="BK21" s="1412"/>
      <c r="BL21" s="1412">
        <v>0</v>
      </c>
      <c r="BM21" s="1412"/>
      <c r="BN21" s="1412"/>
      <c r="BO21" s="1412"/>
      <c r="BP21" s="1412"/>
      <c r="BQ21" s="1412">
        <v>0</v>
      </c>
      <c r="BR21" s="1412"/>
      <c r="BS21" s="1412">
        <v>0</v>
      </c>
      <c r="BT21" s="1412"/>
      <c r="BU21" s="1412"/>
      <c r="BV21" s="1412"/>
      <c r="BW21" s="1412"/>
      <c r="BX21" s="1412">
        <v>0</v>
      </c>
      <c r="BY21" s="1412"/>
      <c r="BZ21" s="1412"/>
      <c r="CA21" s="1412"/>
      <c r="CB21" s="1412"/>
      <c r="CC21" s="1412"/>
      <c r="CD21" s="1412">
        <v>0</v>
      </c>
      <c r="CE21" s="1412">
        <v>0</v>
      </c>
      <c r="CF21" s="1412"/>
      <c r="CG21" s="1412"/>
      <c r="CH21" s="1412">
        <v>0</v>
      </c>
      <c r="CI21" s="1412"/>
      <c r="CJ21" s="1412"/>
      <c r="CK21" s="1412"/>
      <c r="CL21" s="1412">
        <v>0</v>
      </c>
      <c r="CM21" s="1412"/>
      <c r="CN21" s="1412"/>
      <c r="CO21" s="1412"/>
      <c r="CP21" s="1412"/>
      <c r="CQ21" s="1412">
        <v>0</v>
      </c>
      <c r="CR21" s="1412">
        <v>0</v>
      </c>
      <c r="CS21" s="1412"/>
      <c r="CT21" s="1412"/>
      <c r="CU21" s="1412">
        <v>0</v>
      </c>
      <c r="CV21" s="1412"/>
      <c r="CW21" s="1412"/>
      <c r="CX21" s="1412"/>
      <c r="CY21" s="1412">
        <v>686665</v>
      </c>
      <c r="CZ21" s="1412"/>
      <c r="DA21" s="1412">
        <v>0</v>
      </c>
      <c r="DB21" s="1412">
        <v>0</v>
      </c>
      <c r="DC21" s="1412"/>
      <c r="DD21" s="1412"/>
      <c r="DE21" s="1412"/>
      <c r="DF21" s="1412"/>
      <c r="DG21" s="1412"/>
      <c r="DH21" s="1412">
        <v>43580230</v>
      </c>
      <c r="DI21" s="1412">
        <v>5627488</v>
      </c>
      <c r="DJ21" s="1412">
        <v>1004135</v>
      </c>
      <c r="DK21" s="1412">
        <v>601431</v>
      </c>
      <c r="DL21" s="1412">
        <v>36347176</v>
      </c>
      <c r="DM21" s="1412"/>
      <c r="DN21" s="1412">
        <v>4675613</v>
      </c>
      <c r="DO21" s="1412"/>
      <c r="DP21" s="1412"/>
      <c r="DQ21" s="1412">
        <v>148516576</v>
      </c>
      <c r="DR21" s="1363"/>
      <c r="DS21" s="1363"/>
      <c r="DT21" s="1363">
        <v>0</v>
      </c>
    </row>
    <row r="22" spans="2:124">
      <c r="B22" s="1208">
        <v>42401</v>
      </c>
      <c r="C22" s="1412">
        <v>73847949</v>
      </c>
      <c r="D22" s="1412">
        <v>73847949</v>
      </c>
      <c r="E22" s="1412">
        <v>62377197</v>
      </c>
      <c r="F22" s="1412">
        <v>11470752</v>
      </c>
      <c r="G22" s="1412"/>
      <c r="H22" s="1412"/>
      <c r="I22" s="1412"/>
      <c r="J22" s="1412"/>
      <c r="K22" s="1412"/>
      <c r="L22" s="1412"/>
      <c r="M22" s="1412"/>
      <c r="N22" s="1412"/>
      <c r="O22" s="1412">
        <v>25392671</v>
      </c>
      <c r="P22" s="1412">
        <v>11675950</v>
      </c>
      <c r="Q22" s="1412">
        <v>2844775</v>
      </c>
      <c r="R22" s="1412">
        <v>1747175</v>
      </c>
      <c r="S22" s="1412">
        <v>1097600</v>
      </c>
      <c r="T22" s="1412"/>
      <c r="U22" s="1412">
        <v>8831175</v>
      </c>
      <c r="V22" s="1412">
        <v>553827</v>
      </c>
      <c r="W22" s="1412">
        <v>8277348</v>
      </c>
      <c r="X22" s="1412"/>
      <c r="Y22" s="1412">
        <v>0</v>
      </c>
      <c r="Z22" s="1412"/>
      <c r="AA22" s="1412"/>
      <c r="AB22" s="1412"/>
      <c r="AC22" s="1412">
        <v>511519</v>
      </c>
      <c r="AD22" s="1412"/>
      <c r="AE22" s="1412">
        <v>511519</v>
      </c>
      <c r="AF22" s="1412"/>
      <c r="AG22" s="1412">
        <v>4552826</v>
      </c>
      <c r="AH22" s="1412">
        <v>3611863</v>
      </c>
      <c r="AI22" s="1412">
        <v>940963</v>
      </c>
      <c r="AJ22" s="1412"/>
      <c r="AK22" s="1412">
        <v>1547883</v>
      </c>
      <c r="AL22" s="1412">
        <v>1547883</v>
      </c>
      <c r="AM22" s="1412"/>
      <c r="AN22" s="1412"/>
      <c r="AO22" s="1412">
        <v>2756790</v>
      </c>
      <c r="AP22" s="1412">
        <v>2604205</v>
      </c>
      <c r="AQ22" s="1412">
        <v>152585</v>
      </c>
      <c r="AR22" s="1412"/>
      <c r="AS22" s="1412">
        <v>4347703</v>
      </c>
      <c r="AT22" s="1412">
        <v>3032473</v>
      </c>
      <c r="AU22" s="1412">
        <v>1315230</v>
      </c>
      <c r="AV22" s="1412"/>
      <c r="AW22" s="1412">
        <v>0</v>
      </c>
      <c r="AX22" s="1412"/>
      <c r="AY22" s="1412"/>
      <c r="AZ22" s="1412"/>
      <c r="BA22" s="1412"/>
      <c r="BB22" s="1412">
        <v>0</v>
      </c>
      <c r="BC22" s="1412">
        <v>0</v>
      </c>
      <c r="BD22" s="1412"/>
      <c r="BE22" s="1412">
        <v>0</v>
      </c>
      <c r="BF22" s="1412"/>
      <c r="BG22" s="1412"/>
      <c r="BH22" s="1412"/>
      <c r="BI22" s="1412"/>
      <c r="BJ22" s="1412">
        <v>0</v>
      </c>
      <c r="BK22" s="1412"/>
      <c r="BL22" s="1412">
        <v>0</v>
      </c>
      <c r="BM22" s="1412"/>
      <c r="BN22" s="1412"/>
      <c r="BO22" s="1412"/>
      <c r="BP22" s="1412"/>
      <c r="BQ22" s="1412">
        <v>0</v>
      </c>
      <c r="BR22" s="1412"/>
      <c r="BS22" s="1412">
        <v>0</v>
      </c>
      <c r="BT22" s="1412"/>
      <c r="BU22" s="1412"/>
      <c r="BV22" s="1412"/>
      <c r="BW22" s="1412"/>
      <c r="BX22" s="1412">
        <v>0</v>
      </c>
      <c r="BY22" s="1412"/>
      <c r="BZ22" s="1412"/>
      <c r="CA22" s="1412"/>
      <c r="CB22" s="1412"/>
      <c r="CC22" s="1412"/>
      <c r="CD22" s="1412">
        <v>0</v>
      </c>
      <c r="CE22" s="1412">
        <v>0</v>
      </c>
      <c r="CF22" s="1412"/>
      <c r="CG22" s="1412"/>
      <c r="CH22" s="1412">
        <v>0</v>
      </c>
      <c r="CI22" s="1412"/>
      <c r="CJ22" s="1412"/>
      <c r="CK22" s="1412"/>
      <c r="CL22" s="1412">
        <v>0</v>
      </c>
      <c r="CM22" s="1412"/>
      <c r="CN22" s="1412"/>
      <c r="CO22" s="1412"/>
      <c r="CP22" s="1412"/>
      <c r="CQ22" s="1412">
        <v>0</v>
      </c>
      <c r="CR22" s="1412">
        <v>0</v>
      </c>
      <c r="CS22" s="1412"/>
      <c r="CT22" s="1412"/>
      <c r="CU22" s="1412">
        <v>0</v>
      </c>
      <c r="CV22" s="1412"/>
      <c r="CW22" s="1412"/>
      <c r="CX22" s="1412"/>
      <c r="CY22" s="1412">
        <v>551764</v>
      </c>
      <c r="CZ22" s="1412"/>
      <c r="DA22" s="1412">
        <v>0</v>
      </c>
      <c r="DB22" s="1412">
        <v>0</v>
      </c>
      <c r="DC22" s="1412"/>
      <c r="DD22" s="1412"/>
      <c r="DE22" s="1412"/>
      <c r="DF22" s="1412"/>
      <c r="DG22" s="1412"/>
      <c r="DH22" s="1412">
        <v>41587667</v>
      </c>
      <c r="DI22" s="1412">
        <v>5791343</v>
      </c>
      <c r="DJ22" s="1412">
        <v>3420408</v>
      </c>
      <c r="DK22" s="1412">
        <v>995842</v>
      </c>
      <c r="DL22" s="1412">
        <v>31380074</v>
      </c>
      <c r="DM22" s="1412"/>
      <c r="DN22" s="1412">
        <v>4552827</v>
      </c>
      <c r="DO22" s="1412"/>
      <c r="DP22" s="1412"/>
      <c r="DQ22" s="1412">
        <v>145932878</v>
      </c>
      <c r="DR22" s="1363"/>
      <c r="DS22" s="1363"/>
      <c r="DT22" s="1363">
        <v>0</v>
      </c>
    </row>
    <row r="23" spans="2:124">
      <c r="B23" s="1208">
        <v>42430</v>
      </c>
      <c r="C23" s="1412">
        <v>74405884</v>
      </c>
      <c r="D23" s="1412">
        <v>74405884</v>
      </c>
      <c r="E23" s="1412">
        <v>64226522</v>
      </c>
      <c r="F23" s="1412">
        <v>10179362</v>
      </c>
      <c r="G23" s="1412"/>
      <c r="H23" s="1412"/>
      <c r="I23" s="1412"/>
      <c r="J23" s="1412"/>
      <c r="K23" s="1412"/>
      <c r="L23" s="1412"/>
      <c r="M23" s="1412"/>
      <c r="N23" s="1412"/>
      <c r="O23" s="1412">
        <v>25152519</v>
      </c>
      <c r="P23" s="1412">
        <v>12537419</v>
      </c>
      <c r="Q23" s="1412">
        <v>2769822</v>
      </c>
      <c r="R23" s="1412">
        <v>2281796</v>
      </c>
      <c r="S23" s="1412">
        <v>488026</v>
      </c>
      <c r="T23" s="1412"/>
      <c r="U23" s="1412">
        <v>9767597</v>
      </c>
      <c r="V23" s="1412">
        <v>5589089</v>
      </c>
      <c r="W23" s="1412">
        <v>4178508</v>
      </c>
      <c r="X23" s="1412"/>
      <c r="Y23" s="1412">
        <v>0</v>
      </c>
      <c r="Z23" s="1412"/>
      <c r="AA23" s="1412"/>
      <c r="AB23" s="1412"/>
      <c r="AC23" s="1412">
        <v>511594</v>
      </c>
      <c r="AD23" s="1412"/>
      <c r="AE23" s="1412">
        <v>511594</v>
      </c>
      <c r="AF23" s="1412"/>
      <c r="AG23" s="1412">
        <v>5258234</v>
      </c>
      <c r="AH23" s="1412">
        <v>3438280</v>
      </c>
      <c r="AI23" s="1412">
        <v>1819954</v>
      </c>
      <c r="AJ23" s="1412"/>
      <c r="AK23" s="1412">
        <v>1555373</v>
      </c>
      <c r="AL23" s="1412">
        <v>1555373</v>
      </c>
      <c r="AM23" s="1412"/>
      <c r="AN23" s="1412"/>
      <c r="AO23" s="1412">
        <v>3020294</v>
      </c>
      <c r="AP23" s="1412">
        <v>3020294</v>
      </c>
      <c r="AQ23" s="1412">
        <v>0</v>
      </c>
      <c r="AR23" s="1412"/>
      <c r="AS23" s="1412">
        <v>2269605</v>
      </c>
      <c r="AT23" s="1412">
        <v>1321778</v>
      </c>
      <c r="AU23" s="1412">
        <v>947827</v>
      </c>
      <c r="AV23" s="1412"/>
      <c r="AW23" s="1412">
        <v>0</v>
      </c>
      <c r="AX23" s="1412"/>
      <c r="AY23" s="1412"/>
      <c r="AZ23" s="1412"/>
      <c r="BA23" s="1412"/>
      <c r="BB23" s="1412">
        <v>0</v>
      </c>
      <c r="BC23" s="1412">
        <v>0</v>
      </c>
      <c r="BD23" s="1412"/>
      <c r="BE23" s="1412">
        <v>0</v>
      </c>
      <c r="BF23" s="1412"/>
      <c r="BG23" s="1412"/>
      <c r="BH23" s="1412"/>
      <c r="BI23" s="1412"/>
      <c r="BJ23" s="1412">
        <v>0</v>
      </c>
      <c r="BK23" s="1412"/>
      <c r="BL23" s="1412">
        <v>0</v>
      </c>
      <c r="BM23" s="1412"/>
      <c r="BN23" s="1412"/>
      <c r="BO23" s="1412"/>
      <c r="BP23" s="1412"/>
      <c r="BQ23" s="1412">
        <v>0</v>
      </c>
      <c r="BR23" s="1412"/>
      <c r="BS23" s="1412">
        <v>0</v>
      </c>
      <c r="BT23" s="1412"/>
      <c r="BU23" s="1412"/>
      <c r="BV23" s="1412"/>
      <c r="BW23" s="1412"/>
      <c r="BX23" s="1412">
        <v>0</v>
      </c>
      <c r="BY23" s="1412"/>
      <c r="BZ23" s="1412"/>
      <c r="CA23" s="1412"/>
      <c r="CB23" s="1412"/>
      <c r="CC23" s="1412"/>
      <c r="CD23" s="1412">
        <v>0</v>
      </c>
      <c r="CE23" s="1412">
        <v>0</v>
      </c>
      <c r="CF23" s="1412"/>
      <c r="CG23" s="1412"/>
      <c r="CH23" s="1412">
        <v>0</v>
      </c>
      <c r="CI23" s="1412"/>
      <c r="CJ23" s="1412"/>
      <c r="CK23" s="1412"/>
      <c r="CL23" s="1412">
        <v>0</v>
      </c>
      <c r="CM23" s="1412"/>
      <c r="CN23" s="1412"/>
      <c r="CO23" s="1412"/>
      <c r="CP23" s="1412"/>
      <c r="CQ23" s="1412">
        <v>0</v>
      </c>
      <c r="CR23" s="1412">
        <v>0</v>
      </c>
      <c r="CS23" s="1412"/>
      <c r="CT23" s="1412"/>
      <c r="CU23" s="1412">
        <v>0</v>
      </c>
      <c r="CV23" s="1412"/>
      <c r="CW23" s="1412"/>
      <c r="CX23" s="1412"/>
      <c r="CY23" s="1412">
        <v>415922</v>
      </c>
      <c r="CZ23" s="1412"/>
      <c r="DA23" s="1412">
        <v>0</v>
      </c>
      <c r="DB23" s="1412">
        <v>0</v>
      </c>
      <c r="DC23" s="1412"/>
      <c r="DD23" s="1412"/>
      <c r="DE23" s="1412"/>
      <c r="DF23" s="1412"/>
      <c r="DG23" s="1412"/>
      <c r="DH23" s="1412">
        <v>34498248</v>
      </c>
      <c r="DI23" s="1412">
        <v>5868397</v>
      </c>
      <c r="DJ23" s="1412">
        <v>3383255</v>
      </c>
      <c r="DK23" s="1412">
        <v>1681089</v>
      </c>
      <c r="DL23" s="1412">
        <v>23565507</v>
      </c>
      <c r="DM23" s="1412"/>
      <c r="DN23" s="1412">
        <v>5006042</v>
      </c>
      <c r="DO23" s="1412"/>
      <c r="DP23" s="1412"/>
      <c r="DQ23" s="1412">
        <v>139478615</v>
      </c>
      <c r="DR23" s="1363"/>
      <c r="DS23" s="1363"/>
      <c r="DT23" s="1363">
        <v>0</v>
      </c>
    </row>
    <row r="24" spans="2:124">
      <c r="B24" s="1208">
        <v>42461</v>
      </c>
      <c r="C24" s="1412">
        <v>80067644</v>
      </c>
      <c r="D24" s="1412">
        <v>80067644</v>
      </c>
      <c r="E24" s="1412">
        <v>67899219</v>
      </c>
      <c r="F24" s="1412">
        <v>12168425</v>
      </c>
      <c r="G24" s="1412"/>
      <c r="H24" s="1412"/>
      <c r="I24" s="1412"/>
      <c r="J24" s="1412"/>
      <c r="K24" s="1412"/>
      <c r="L24" s="1412"/>
      <c r="M24" s="1412"/>
      <c r="N24" s="1412"/>
      <c r="O24" s="1412">
        <v>23834657</v>
      </c>
      <c r="P24" s="1412">
        <v>11597311</v>
      </c>
      <c r="Q24" s="1412">
        <v>2623329</v>
      </c>
      <c r="R24" s="1412">
        <v>1783074</v>
      </c>
      <c r="S24" s="1412">
        <v>840255</v>
      </c>
      <c r="T24" s="1412"/>
      <c r="U24" s="1412">
        <v>8973982</v>
      </c>
      <c r="V24" s="1412">
        <v>612752</v>
      </c>
      <c r="W24" s="1412">
        <v>8361230</v>
      </c>
      <c r="X24" s="1412"/>
      <c r="Y24" s="1412">
        <v>0</v>
      </c>
      <c r="Z24" s="1412"/>
      <c r="AA24" s="1412"/>
      <c r="AB24" s="1412"/>
      <c r="AC24" s="1412">
        <v>513316</v>
      </c>
      <c r="AD24" s="1412"/>
      <c r="AE24" s="1412">
        <v>513316</v>
      </c>
      <c r="AF24" s="1412"/>
      <c r="AG24" s="1412">
        <v>5270054</v>
      </c>
      <c r="AH24" s="1412">
        <v>2957426</v>
      </c>
      <c r="AI24" s="1412">
        <v>2312628</v>
      </c>
      <c r="AJ24" s="1412"/>
      <c r="AK24" s="1412">
        <v>1555797</v>
      </c>
      <c r="AL24" s="1412">
        <v>1555797</v>
      </c>
      <c r="AM24" s="1412"/>
      <c r="AN24" s="1412"/>
      <c r="AO24" s="1412">
        <v>3200440</v>
      </c>
      <c r="AP24" s="1412">
        <v>3081111</v>
      </c>
      <c r="AQ24" s="1412">
        <v>119329</v>
      </c>
      <c r="AR24" s="1412"/>
      <c r="AS24" s="1412">
        <v>1697739</v>
      </c>
      <c r="AT24" s="1412">
        <v>1697739</v>
      </c>
      <c r="AU24" s="1412">
        <v>0</v>
      </c>
      <c r="AV24" s="1412"/>
      <c r="AW24" s="1412">
        <v>0</v>
      </c>
      <c r="AX24" s="1412"/>
      <c r="AY24" s="1412"/>
      <c r="AZ24" s="1412"/>
      <c r="BA24" s="1412"/>
      <c r="BB24" s="1412">
        <v>0</v>
      </c>
      <c r="BC24" s="1412">
        <v>0</v>
      </c>
      <c r="BD24" s="1412"/>
      <c r="BE24" s="1412">
        <v>0</v>
      </c>
      <c r="BF24" s="1412"/>
      <c r="BG24" s="1412"/>
      <c r="BH24" s="1412"/>
      <c r="BI24" s="1412"/>
      <c r="BJ24" s="1412">
        <v>0</v>
      </c>
      <c r="BK24" s="1412"/>
      <c r="BL24" s="1412">
        <v>0</v>
      </c>
      <c r="BM24" s="1412"/>
      <c r="BN24" s="1412"/>
      <c r="BO24" s="1412"/>
      <c r="BP24" s="1412"/>
      <c r="BQ24" s="1412">
        <v>0</v>
      </c>
      <c r="BR24" s="1412"/>
      <c r="BS24" s="1412">
        <v>0</v>
      </c>
      <c r="BT24" s="1412"/>
      <c r="BU24" s="1412"/>
      <c r="BV24" s="1412"/>
      <c r="BW24" s="1412"/>
      <c r="BX24" s="1412">
        <v>0</v>
      </c>
      <c r="BY24" s="1412"/>
      <c r="BZ24" s="1412"/>
      <c r="CA24" s="1412"/>
      <c r="CB24" s="1412"/>
      <c r="CC24" s="1412"/>
      <c r="CD24" s="1412">
        <v>0</v>
      </c>
      <c r="CE24" s="1412">
        <v>0</v>
      </c>
      <c r="CF24" s="1412"/>
      <c r="CG24" s="1412"/>
      <c r="CH24" s="1412">
        <v>0</v>
      </c>
      <c r="CI24" s="1412"/>
      <c r="CJ24" s="1412"/>
      <c r="CK24" s="1412"/>
      <c r="CL24" s="1412">
        <v>0</v>
      </c>
      <c r="CM24" s="1412"/>
      <c r="CN24" s="1412"/>
      <c r="CO24" s="1412"/>
      <c r="CP24" s="1412"/>
      <c r="CQ24" s="1412">
        <v>0</v>
      </c>
      <c r="CR24" s="1412">
        <v>0</v>
      </c>
      <c r="CS24" s="1412"/>
      <c r="CT24" s="1412"/>
      <c r="CU24" s="1412">
        <v>0</v>
      </c>
      <c r="CV24" s="1412"/>
      <c r="CW24" s="1412"/>
      <c r="CX24" s="1412"/>
      <c r="CY24" s="1412">
        <v>277102</v>
      </c>
      <c r="CZ24" s="1412"/>
      <c r="DA24" s="1412">
        <v>0</v>
      </c>
      <c r="DB24" s="1412">
        <v>0</v>
      </c>
      <c r="DC24" s="1412"/>
      <c r="DD24" s="1412"/>
      <c r="DE24" s="1412"/>
      <c r="DF24" s="1412"/>
      <c r="DG24" s="1412"/>
      <c r="DH24" s="1412">
        <v>35212421</v>
      </c>
      <c r="DI24" s="1412">
        <v>6094140</v>
      </c>
      <c r="DJ24" s="1412">
        <v>3264031</v>
      </c>
      <c r="DK24" s="1412">
        <v>2510674</v>
      </c>
      <c r="DL24" s="1412">
        <v>23343576</v>
      </c>
      <c r="DM24" s="1412"/>
      <c r="DN24" s="1412">
        <v>7926709</v>
      </c>
      <c r="DO24" s="1412"/>
      <c r="DP24" s="1412"/>
      <c r="DQ24" s="1412">
        <v>147318533</v>
      </c>
      <c r="DR24" s="1363"/>
      <c r="DS24" s="1363"/>
      <c r="DT24" s="1363">
        <v>0</v>
      </c>
    </row>
    <row r="25" spans="2:124">
      <c r="B25" s="1208">
        <v>42491</v>
      </c>
      <c r="C25" s="1412">
        <v>79203426</v>
      </c>
      <c r="D25" s="1412">
        <v>79203426</v>
      </c>
      <c r="E25" s="1412">
        <v>64952084</v>
      </c>
      <c r="F25" s="1412">
        <v>14251342</v>
      </c>
      <c r="G25" s="1412"/>
      <c r="H25" s="1412"/>
      <c r="I25" s="1412"/>
      <c r="J25" s="1412"/>
      <c r="K25" s="1412"/>
      <c r="L25" s="1412"/>
      <c r="M25" s="1412"/>
      <c r="N25" s="1412"/>
      <c r="O25" s="1412">
        <v>26943395</v>
      </c>
      <c r="P25" s="1412">
        <v>11414019</v>
      </c>
      <c r="Q25" s="1412">
        <v>2257875</v>
      </c>
      <c r="R25" s="1412">
        <v>1565135</v>
      </c>
      <c r="S25" s="1412">
        <v>692740</v>
      </c>
      <c r="T25" s="1412"/>
      <c r="U25" s="1412">
        <v>9156144</v>
      </c>
      <c r="V25" s="1412">
        <v>757273</v>
      </c>
      <c r="W25" s="1412">
        <v>8398871</v>
      </c>
      <c r="X25" s="1412"/>
      <c r="Y25" s="1412">
        <v>0</v>
      </c>
      <c r="Z25" s="1412"/>
      <c r="AA25" s="1412"/>
      <c r="AB25" s="1412"/>
      <c r="AC25" s="1412">
        <v>512503</v>
      </c>
      <c r="AD25" s="1412"/>
      <c r="AE25" s="1412">
        <v>512503</v>
      </c>
      <c r="AF25" s="1412"/>
      <c r="AG25" s="1412">
        <v>5274709</v>
      </c>
      <c r="AH25" s="1412">
        <v>2060834</v>
      </c>
      <c r="AI25" s="1412">
        <v>3213875</v>
      </c>
      <c r="AJ25" s="1412"/>
      <c r="AK25" s="1412">
        <v>1580339</v>
      </c>
      <c r="AL25" s="1412">
        <v>1580339</v>
      </c>
      <c r="AM25" s="1412"/>
      <c r="AN25" s="1412"/>
      <c r="AO25" s="1412">
        <v>3543702</v>
      </c>
      <c r="AP25" s="1412">
        <v>2919884</v>
      </c>
      <c r="AQ25" s="1412">
        <v>623818</v>
      </c>
      <c r="AR25" s="1412"/>
      <c r="AS25" s="1412">
        <v>4618123</v>
      </c>
      <c r="AT25" s="1412">
        <v>609362</v>
      </c>
      <c r="AU25" s="1412">
        <v>4008761</v>
      </c>
      <c r="AV25" s="1412"/>
      <c r="AW25" s="1412">
        <v>0</v>
      </c>
      <c r="AX25" s="1412"/>
      <c r="AY25" s="1412"/>
      <c r="AZ25" s="1412"/>
      <c r="BA25" s="1412"/>
      <c r="BB25" s="1412">
        <v>0</v>
      </c>
      <c r="BC25" s="1412">
        <v>0</v>
      </c>
      <c r="BD25" s="1412"/>
      <c r="BE25" s="1412">
        <v>0</v>
      </c>
      <c r="BF25" s="1412"/>
      <c r="BG25" s="1412"/>
      <c r="BH25" s="1412"/>
      <c r="BI25" s="1412"/>
      <c r="BJ25" s="1412">
        <v>0</v>
      </c>
      <c r="BK25" s="1412"/>
      <c r="BL25" s="1412">
        <v>0</v>
      </c>
      <c r="BM25" s="1412"/>
      <c r="BN25" s="1412"/>
      <c r="BO25" s="1412"/>
      <c r="BP25" s="1412"/>
      <c r="BQ25" s="1412">
        <v>0</v>
      </c>
      <c r="BR25" s="1412"/>
      <c r="BS25" s="1412">
        <v>0</v>
      </c>
      <c r="BT25" s="1412"/>
      <c r="BU25" s="1412"/>
      <c r="BV25" s="1412"/>
      <c r="BW25" s="1412"/>
      <c r="BX25" s="1412">
        <v>0</v>
      </c>
      <c r="BY25" s="1412"/>
      <c r="BZ25" s="1412"/>
      <c r="CA25" s="1412"/>
      <c r="CB25" s="1412"/>
      <c r="CC25" s="1412"/>
      <c r="CD25" s="1412">
        <v>0</v>
      </c>
      <c r="CE25" s="1412">
        <v>0</v>
      </c>
      <c r="CF25" s="1412"/>
      <c r="CG25" s="1412"/>
      <c r="CH25" s="1412">
        <v>0</v>
      </c>
      <c r="CI25" s="1412"/>
      <c r="CJ25" s="1412"/>
      <c r="CK25" s="1412"/>
      <c r="CL25" s="1412">
        <v>0</v>
      </c>
      <c r="CM25" s="1412"/>
      <c r="CN25" s="1412"/>
      <c r="CO25" s="1412"/>
      <c r="CP25" s="1412"/>
      <c r="CQ25" s="1412">
        <v>0</v>
      </c>
      <c r="CR25" s="1412">
        <v>0</v>
      </c>
      <c r="CS25" s="1412"/>
      <c r="CT25" s="1412"/>
      <c r="CU25" s="1412">
        <v>0</v>
      </c>
      <c r="CV25" s="1412"/>
      <c r="CW25" s="1412"/>
      <c r="CX25" s="1412"/>
      <c r="CY25" s="1412">
        <v>139960</v>
      </c>
      <c r="CZ25" s="1412"/>
      <c r="DA25" s="1412">
        <v>0</v>
      </c>
      <c r="DB25" s="1412">
        <v>0</v>
      </c>
      <c r="DC25" s="1412"/>
      <c r="DD25" s="1412"/>
      <c r="DE25" s="1412"/>
      <c r="DF25" s="1412"/>
      <c r="DG25" s="1412"/>
      <c r="DH25" s="1412">
        <v>34448593</v>
      </c>
      <c r="DI25" s="1412">
        <v>5895771</v>
      </c>
      <c r="DJ25" s="1412">
        <v>3246321</v>
      </c>
      <c r="DK25" s="1412">
        <v>3715979</v>
      </c>
      <c r="DL25" s="1412">
        <v>21590522</v>
      </c>
      <c r="DM25" s="1412"/>
      <c r="DN25" s="1412">
        <v>5607380</v>
      </c>
      <c r="DO25" s="1412"/>
      <c r="DP25" s="1412"/>
      <c r="DQ25" s="1412">
        <v>146342754</v>
      </c>
      <c r="DR25" s="1363"/>
      <c r="DS25" s="1363"/>
      <c r="DT25" s="1363">
        <v>0</v>
      </c>
    </row>
    <row r="26" spans="2:124">
      <c r="B26" s="1208">
        <v>42522</v>
      </c>
      <c r="C26" s="1412">
        <v>79502732</v>
      </c>
      <c r="D26" s="1412">
        <v>79502732</v>
      </c>
      <c r="E26" s="1412">
        <v>67315372</v>
      </c>
      <c r="F26" s="1412">
        <v>12187360</v>
      </c>
      <c r="G26" s="1412"/>
      <c r="H26" s="1412"/>
      <c r="I26" s="1412"/>
      <c r="J26" s="1412"/>
      <c r="K26" s="1412"/>
      <c r="L26" s="1412"/>
      <c r="M26" s="1412"/>
      <c r="N26" s="1412"/>
      <c r="O26" s="1412">
        <v>28788053</v>
      </c>
      <c r="P26" s="1412">
        <v>13587837</v>
      </c>
      <c r="Q26" s="1412">
        <v>2177985</v>
      </c>
      <c r="R26" s="1412">
        <v>1738874</v>
      </c>
      <c r="S26" s="1412">
        <v>439111</v>
      </c>
      <c r="T26" s="1412"/>
      <c r="U26" s="1412">
        <v>11409852</v>
      </c>
      <c r="V26" s="1412">
        <v>5056098</v>
      </c>
      <c r="W26" s="1412">
        <v>6353754</v>
      </c>
      <c r="X26" s="1412"/>
      <c r="Y26" s="1412">
        <v>0</v>
      </c>
      <c r="Z26" s="1412"/>
      <c r="AA26" s="1412"/>
      <c r="AB26" s="1412"/>
      <c r="AC26" s="1412">
        <v>613140</v>
      </c>
      <c r="AD26" s="1412"/>
      <c r="AE26" s="1412">
        <v>613140</v>
      </c>
      <c r="AF26" s="1412"/>
      <c r="AG26" s="1412">
        <v>5175684</v>
      </c>
      <c r="AH26" s="1412">
        <v>1038392</v>
      </c>
      <c r="AI26" s="1412">
        <v>4137292</v>
      </c>
      <c r="AJ26" s="1412"/>
      <c r="AK26" s="1412">
        <v>1594284</v>
      </c>
      <c r="AL26" s="1412">
        <v>1594284</v>
      </c>
      <c r="AM26" s="1412"/>
      <c r="AN26" s="1412"/>
      <c r="AO26" s="1412">
        <v>3209793</v>
      </c>
      <c r="AP26" s="1412">
        <v>3156422</v>
      </c>
      <c r="AQ26" s="1412">
        <v>53371</v>
      </c>
      <c r="AR26" s="1412"/>
      <c r="AS26" s="1412">
        <v>4607315</v>
      </c>
      <c r="AT26" s="1412">
        <v>1318345</v>
      </c>
      <c r="AU26" s="1412">
        <v>3288970</v>
      </c>
      <c r="AV26" s="1412"/>
      <c r="AW26" s="1412">
        <v>0</v>
      </c>
      <c r="AX26" s="1412"/>
      <c r="AY26" s="1412"/>
      <c r="AZ26" s="1412"/>
      <c r="BA26" s="1412"/>
      <c r="BB26" s="1412">
        <v>0</v>
      </c>
      <c r="BC26" s="1412">
        <v>0</v>
      </c>
      <c r="BD26" s="1412"/>
      <c r="BE26" s="1412">
        <v>0</v>
      </c>
      <c r="BF26" s="1412"/>
      <c r="BG26" s="1412"/>
      <c r="BH26" s="1412"/>
      <c r="BI26" s="1412"/>
      <c r="BJ26" s="1412">
        <v>0</v>
      </c>
      <c r="BK26" s="1412"/>
      <c r="BL26" s="1412">
        <v>0</v>
      </c>
      <c r="BM26" s="1412"/>
      <c r="BN26" s="1412"/>
      <c r="BO26" s="1412"/>
      <c r="BP26" s="1412"/>
      <c r="BQ26" s="1412">
        <v>0</v>
      </c>
      <c r="BR26" s="1412"/>
      <c r="BS26" s="1412">
        <v>0</v>
      </c>
      <c r="BT26" s="1412"/>
      <c r="BU26" s="1412"/>
      <c r="BV26" s="1412"/>
      <c r="BW26" s="1412"/>
      <c r="BX26" s="1412">
        <v>0</v>
      </c>
      <c r="BY26" s="1412"/>
      <c r="BZ26" s="1412"/>
      <c r="CA26" s="1412"/>
      <c r="CB26" s="1412"/>
      <c r="CC26" s="1412"/>
      <c r="CD26" s="1412">
        <v>0</v>
      </c>
      <c r="CE26" s="1412">
        <v>0</v>
      </c>
      <c r="CF26" s="1412"/>
      <c r="CG26" s="1412"/>
      <c r="CH26" s="1412">
        <v>0</v>
      </c>
      <c r="CI26" s="1412"/>
      <c r="CJ26" s="1412"/>
      <c r="CK26" s="1412"/>
      <c r="CL26" s="1412">
        <v>0</v>
      </c>
      <c r="CM26" s="1412"/>
      <c r="CN26" s="1412"/>
      <c r="CO26" s="1412"/>
      <c r="CP26" s="1412"/>
      <c r="CQ26" s="1412">
        <v>0</v>
      </c>
      <c r="CR26" s="1412">
        <v>0</v>
      </c>
      <c r="CS26" s="1412"/>
      <c r="CT26" s="1412"/>
      <c r="CU26" s="1412">
        <v>0</v>
      </c>
      <c r="CV26" s="1412"/>
      <c r="CW26" s="1412"/>
      <c r="CX26" s="1412"/>
      <c r="CY26" s="1412">
        <v>0</v>
      </c>
      <c r="CZ26" s="1412"/>
      <c r="DA26" s="1412">
        <v>0</v>
      </c>
      <c r="DB26" s="1412">
        <v>0</v>
      </c>
      <c r="DC26" s="1412"/>
      <c r="DD26" s="1412"/>
      <c r="DE26" s="1412"/>
      <c r="DF26" s="1412"/>
      <c r="DG26" s="1412"/>
      <c r="DH26" s="1412">
        <v>34878707</v>
      </c>
      <c r="DI26" s="1412">
        <v>5950908</v>
      </c>
      <c r="DJ26" s="1412">
        <v>3263934</v>
      </c>
      <c r="DK26" s="1412">
        <v>4173221</v>
      </c>
      <c r="DL26" s="1412">
        <v>21490644</v>
      </c>
      <c r="DM26" s="1412"/>
      <c r="DN26" s="1412">
        <v>5780983</v>
      </c>
      <c r="DO26" s="1412"/>
      <c r="DP26" s="1412"/>
      <c r="DQ26" s="1412">
        <v>148950475</v>
      </c>
      <c r="DR26" s="1363"/>
      <c r="DS26" s="1363"/>
      <c r="DT26" s="1363">
        <v>0</v>
      </c>
    </row>
    <row r="27" spans="2:124">
      <c r="B27" s="1208">
        <v>42552</v>
      </c>
      <c r="C27" s="1412">
        <v>75483286</v>
      </c>
      <c r="D27" s="1412">
        <v>75483286</v>
      </c>
      <c r="E27" s="1412">
        <v>65951690</v>
      </c>
      <c r="F27" s="1412">
        <v>9531596</v>
      </c>
      <c r="G27" s="1412"/>
      <c r="H27" s="1412"/>
      <c r="I27" s="1412"/>
      <c r="J27" s="1412"/>
      <c r="K27" s="1412"/>
      <c r="L27" s="1412"/>
      <c r="M27" s="1412"/>
      <c r="N27" s="1412"/>
      <c r="O27" s="1412">
        <v>29902843</v>
      </c>
      <c r="P27" s="1412">
        <v>13440652</v>
      </c>
      <c r="Q27" s="1412">
        <v>2087558</v>
      </c>
      <c r="R27" s="1412">
        <v>1553477</v>
      </c>
      <c r="S27" s="1412">
        <v>534081</v>
      </c>
      <c r="T27" s="1412"/>
      <c r="U27" s="1412">
        <v>11353094</v>
      </c>
      <c r="V27" s="1412">
        <v>5008063</v>
      </c>
      <c r="W27" s="1412">
        <v>6345031</v>
      </c>
      <c r="X27" s="1412"/>
      <c r="Y27" s="1412">
        <v>0</v>
      </c>
      <c r="Z27" s="1412"/>
      <c r="AA27" s="1412"/>
      <c r="AB27" s="1412"/>
      <c r="AC27" s="1412">
        <v>11560</v>
      </c>
      <c r="AD27" s="1412"/>
      <c r="AE27" s="1412">
        <v>11560</v>
      </c>
      <c r="AF27" s="1412"/>
      <c r="AG27" s="1412">
        <v>4206923</v>
      </c>
      <c r="AH27" s="1412">
        <v>1394509</v>
      </c>
      <c r="AI27" s="1412">
        <v>2812414</v>
      </c>
      <c r="AJ27" s="1412"/>
      <c r="AK27" s="1412">
        <v>1603156</v>
      </c>
      <c r="AL27" s="1412">
        <v>1603156</v>
      </c>
      <c r="AM27" s="1412"/>
      <c r="AN27" s="1412"/>
      <c r="AO27" s="1412">
        <v>6220421</v>
      </c>
      <c r="AP27" s="1412">
        <v>6220421</v>
      </c>
      <c r="AQ27" s="1412">
        <v>0</v>
      </c>
      <c r="AR27" s="1412"/>
      <c r="AS27" s="1412">
        <v>4420131</v>
      </c>
      <c r="AT27" s="1412">
        <v>2297185</v>
      </c>
      <c r="AU27" s="1412">
        <v>2122946</v>
      </c>
      <c r="AV27" s="1412"/>
      <c r="AW27" s="1412">
        <v>0</v>
      </c>
      <c r="AX27" s="1412"/>
      <c r="AY27" s="1412"/>
      <c r="AZ27" s="1412"/>
      <c r="BA27" s="1412"/>
      <c r="BB27" s="1412">
        <v>0</v>
      </c>
      <c r="BC27" s="1412">
        <v>0</v>
      </c>
      <c r="BD27" s="1412"/>
      <c r="BE27" s="1412">
        <v>0</v>
      </c>
      <c r="BF27" s="1412"/>
      <c r="BG27" s="1412"/>
      <c r="BH27" s="1412"/>
      <c r="BI27" s="1412"/>
      <c r="BJ27" s="1412">
        <v>0</v>
      </c>
      <c r="BK27" s="1412"/>
      <c r="BL27" s="1412">
        <v>0</v>
      </c>
      <c r="BM27" s="1412"/>
      <c r="BN27" s="1412"/>
      <c r="BO27" s="1412"/>
      <c r="BP27" s="1412"/>
      <c r="BQ27" s="1412">
        <v>0</v>
      </c>
      <c r="BR27" s="1412"/>
      <c r="BS27" s="1412">
        <v>0</v>
      </c>
      <c r="BT27" s="1412"/>
      <c r="BU27" s="1412"/>
      <c r="BV27" s="1412"/>
      <c r="BW27" s="1412"/>
      <c r="BX27" s="1412">
        <v>0</v>
      </c>
      <c r="BY27" s="1412"/>
      <c r="BZ27" s="1412"/>
      <c r="CA27" s="1412"/>
      <c r="CB27" s="1412"/>
      <c r="CC27" s="1412"/>
      <c r="CD27" s="1412">
        <v>0</v>
      </c>
      <c r="CE27" s="1412">
        <v>0</v>
      </c>
      <c r="CF27" s="1412"/>
      <c r="CG27" s="1412"/>
      <c r="CH27" s="1412">
        <v>0</v>
      </c>
      <c r="CI27" s="1412"/>
      <c r="CJ27" s="1412"/>
      <c r="CK27" s="1412"/>
      <c r="CL27" s="1412">
        <v>0</v>
      </c>
      <c r="CM27" s="1412"/>
      <c r="CN27" s="1412"/>
      <c r="CO27" s="1412"/>
      <c r="CP27" s="1412"/>
      <c r="CQ27" s="1412">
        <v>0</v>
      </c>
      <c r="CR27" s="1412">
        <v>0</v>
      </c>
      <c r="CS27" s="1412"/>
      <c r="CT27" s="1412"/>
      <c r="CU27" s="1412">
        <v>0</v>
      </c>
      <c r="CV27" s="1412"/>
      <c r="CW27" s="1412"/>
      <c r="CX27" s="1412"/>
      <c r="CY27" s="1412">
        <v>0</v>
      </c>
      <c r="CZ27" s="1412"/>
      <c r="DA27" s="1412">
        <v>0</v>
      </c>
      <c r="DB27" s="1412">
        <v>0</v>
      </c>
      <c r="DC27" s="1412"/>
      <c r="DD27" s="1412"/>
      <c r="DE27" s="1412"/>
      <c r="DF27" s="1412"/>
      <c r="DG27" s="1412"/>
      <c r="DH27" s="1412">
        <v>35715373</v>
      </c>
      <c r="DI27" s="1412">
        <v>6216400</v>
      </c>
      <c r="DJ27" s="1412">
        <v>3231828</v>
      </c>
      <c r="DK27" s="1412">
        <v>5114291</v>
      </c>
      <c r="DL27" s="1412">
        <v>21152854</v>
      </c>
      <c r="DM27" s="1412"/>
      <c r="DN27" s="1412">
        <v>6340905</v>
      </c>
      <c r="DO27" s="1412"/>
      <c r="DP27" s="1412"/>
      <c r="DQ27" s="1412">
        <v>147442407</v>
      </c>
      <c r="DR27" s="1363"/>
      <c r="DS27" s="1363"/>
      <c r="DT27" s="1363">
        <v>-1</v>
      </c>
    </row>
    <row r="28" spans="2:124">
      <c r="B28" s="1208">
        <v>42583</v>
      </c>
      <c r="C28" s="1412">
        <v>74820394</v>
      </c>
      <c r="D28" s="1412">
        <v>74820394</v>
      </c>
      <c r="E28" s="1412">
        <v>63462960</v>
      </c>
      <c r="F28" s="1412">
        <v>11357434</v>
      </c>
      <c r="G28" s="1412"/>
      <c r="H28" s="1412"/>
      <c r="I28" s="1412"/>
      <c r="J28" s="1412"/>
      <c r="K28" s="1412"/>
      <c r="L28" s="1412"/>
      <c r="M28" s="1412"/>
      <c r="N28" s="1412"/>
      <c r="O28" s="1412">
        <v>30579613</v>
      </c>
      <c r="P28" s="1412">
        <v>13712410</v>
      </c>
      <c r="Q28" s="1412">
        <v>1597030</v>
      </c>
      <c r="R28" s="1412">
        <v>952733</v>
      </c>
      <c r="S28" s="1412">
        <v>644297</v>
      </c>
      <c r="T28" s="1412"/>
      <c r="U28" s="1412">
        <v>12115380</v>
      </c>
      <c r="V28" s="1412">
        <v>557585</v>
      </c>
      <c r="W28" s="1412">
        <v>11557795</v>
      </c>
      <c r="X28" s="1412"/>
      <c r="Y28" s="1412">
        <v>0</v>
      </c>
      <c r="Z28" s="1412"/>
      <c r="AA28" s="1412"/>
      <c r="AB28" s="1412"/>
      <c r="AC28" s="1412">
        <v>0</v>
      </c>
      <c r="AD28" s="1412"/>
      <c r="AE28" s="1412">
        <v>0</v>
      </c>
      <c r="AF28" s="1412"/>
      <c r="AG28" s="1412">
        <v>6747459</v>
      </c>
      <c r="AH28" s="1412">
        <v>2833078</v>
      </c>
      <c r="AI28" s="1412">
        <v>3914381</v>
      </c>
      <c r="AJ28" s="1412"/>
      <c r="AK28" s="1412">
        <v>1612360</v>
      </c>
      <c r="AL28" s="1412">
        <v>1612360</v>
      </c>
      <c r="AM28" s="1412"/>
      <c r="AN28" s="1412"/>
      <c r="AO28" s="1412">
        <v>3787227</v>
      </c>
      <c r="AP28" s="1412">
        <v>3480610</v>
      </c>
      <c r="AQ28" s="1412">
        <v>306617</v>
      </c>
      <c r="AR28" s="1412"/>
      <c r="AS28" s="1412">
        <v>4720157</v>
      </c>
      <c r="AT28" s="1412">
        <v>1306780</v>
      </c>
      <c r="AU28" s="1412">
        <v>3413377</v>
      </c>
      <c r="AV28" s="1412"/>
      <c r="AW28" s="1412">
        <v>0</v>
      </c>
      <c r="AX28" s="1412"/>
      <c r="AY28" s="1412"/>
      <c r="AZ28" s="1412"/>
      <c r="BA28" s="1412"/>
      <c r="BB28" s="1412">
        <v>0</v>
      </c>
      <c r="BC28" s="1412">
        <v>0</v>
      </c>
      <c r="BD28" s="1412"/>
      <c r="BE28" s="1412">
        <v>0</v>
      </c>
      <c r="BF28" s="1412"/>
      <c r="BG28" s="1412"/>
      <c r="BH28" s="1412"/>
      <c r="BI28" s="1412"/>
      <c r="BJ28" s="1412">
        <v>0</v>
      </c>
      <c r="BK28" s="1412"/>
      <c r="BL28" s="1412">
        <v>0</v>
      </c>
      <c r="BM28" s="1412"/>
      <c r="BN28" s="1412"/>
      <c r="BO28" s="1412"/>
      <c r="BP28" s="1412"/>
      <c r="BQ28" s="1412">
        <v>0</v>
      </c>
      <c r="BR28" s="1412"/>
      <c r="BS28" s="1412">
        <v>0</v>
      </c>
      <c r="BT28" s="1412"/>
      <c r="BU28" s="1412"/>
      <c r="BV28" s="1412"/>
      <c r="BW28" s="1412"/>
      <c r="BX28" s="1412">
        <v>0</v>
      </c>
      <c r="BY28" s="1412"/>
      <c r="BZ28" s="1412"/>
      <c r="CA28" s="1412"/>
      <c r="CB28" s="1412"/>
      <c r="CC28" s="1412"/>
      <c r="CD28" s="1412">
        <v>0</v>
      </c>
      <c r="CE28" s="1412">
        <v>0</v>
      </c>
      <c r="CF28" s="1412"/>
      <c r="CG28" s="1412"/>
      <c r="CH28" s="1412">
        <v>0</v>
      </c>
      <c r="CI28" s="1412"/>
      <c r="CJ28" s="1412"/>
      <c r="CK28" s="1412"/>
      <c r="CL28" s="1412">
        <v>0</v>
      </c>
      <c r="CM28" s="1412"/>
      <c r="CN28" s="1412"/>
      <c r="CO28" s="1412"/>
      <c r="CP28" s="1412"/>
      <c r="CQ28" s="1412">
        <v>0</v>
      </c>
      <c r="CR28" s="1412">
        <v>0</v>
      </c>
      <c r="CS28" s="1412"/>
      <c r="CT28" s="1412"/>
      <c r="CU28" s="1412">
        <v>0</v>
      </c>
      <c r="CV28" s="1412"/>
      <c r="CW28" s="1412"/>
      <c r="CX28" s="1412"/>
      <c r="CY28" s="1412">
        <v>0</v>
      </c>
      <c r="CZ28" s="1412"/>
      <c r="DA28" s="1412">
        <v>0</v>
      </c>
      <c r="DB28" s="1412">
        <v>0</v>
      </c>
      <c r="DC28" s="1412"/>
      <c r="DD28" s="1412"/>
      <c r="DE28" s="1412"/>
      <c r="DF28" s="1412"/>
      <c r="DG28" s="1412"/>
      <c r="DH28" s="1412">
        <v>36531974</v>
      </c>
      <c r="DI28" s="1412">
        <v>6484809</v>
      </c>
      <c r="DJ28" s="1412">
        <v>3175860</v>
      </c>
      <c r="DK28" s="1412">
        <v>5926657</v>
      </c>
      <c r="DL28" s="1412">
        <v>20944648</v>
      </c>
      <c r="DM28" s="1412"/>
      <c r="DN28" s="1412">
        <v>6904205</v>
      </c>
      <c r="DO28" s="1412"/>
      <c r="DP28" s="1412"/>
      <c r="DQ28" s="1412">
        <v>148836186</v>
      </c>
      <c r="DR28" s="1363"/>
      <c r="DS28" s="1363"/>
      <c r="DT28" s="1363">
        <v>0</v>
      </c>
    </row>
    <row r="29" spans="2:124">
      <c r="B29" s="1208">
        <v>42614</v>
      </c>
      <c r="C29" s="1412">
        <v>74238601</v>
      </c>
      <c r="D29" s="1412">
        <v>74238601</v>
      </c>
      <c r="E29" s="1412">
        <v>62101740</v>
      </c>
      <c r="F29" s="1412">
        <v>12136861</v>
      </c>
      <c r="G29" s="1412"/>
      <c r="H29" s="1412"/>
      <c r="I29" s="1412"/>
      <c r="J29" s="1412"/>
      <c r="K29" s="1412"/>
      <c r="L29" s="1412"/>
      <c r="M29" s="1412"/>
      <c r="N29" s="1412"/>
      <c r="O29" s="1412">
        <v>30126769</v>
      </c>
      <c r="P29" s="1412">
        <v>12746186</v>
      </c>
      <c r="Q29" s="1412">
        <v>1786358</v>
      </c>
      <c r="R29" s="1412">
        <v>1420196</v>
      </c>
      <c r="S29" s="1412">
        <v>366162</v>
      </c>
      <c r="T29" s="1412"/>
      <c r="U29" s="1412">
        <v>10959828</v>
      </c>
      <c r="V29" s="1412">
        <v>354612</v>
      </c>
      <c r="W29" s="1412">
        <v>10605216</v>
      </c>
      <c r="X29" s="1412"/>
      <c r="Y29" s="1412">
        <v>0</v>
      </c>
      <c r="Z29" s="1412"/>
      <c r="AA29" s="1412"/>
      <c r="AB29" s="1412"/>
      <c r="AC29" s="1412">
        <v>0</v>
      </c>
      <c r="AD29" s="1412"/>
      <c r="AE29" s="1412">
        <v>0</v>
      </c>
      <c r="AF29" s="1412"/>
      <c r="AG29" s="1412">
        <v>6276593</v>
      </c>
      <c r="AH29" s="1412">
        <v>2337377</v>
      </c>
      <c r="AI29" s="1412">
        <v>3939216</v>
      </c>
      <c r="AJ29" s="1412"/>
      <c r="AK29" s="1412">
        <v>1618522</v>
      </c>
      <c r="AL29" s="1412">
        <v>1618522</v>
      </c>
      <c r="AM29" s="1412"/>
      <c r="AN29" s="1412"/>
      <c r="AO29" s="1412">
        <v>5004748</v>
      </c>
      <c r="AP29" s="1412">
        <v>3623679</v>
      </c>
      <c r="AQ29" s="1412">
        <v>1381069</v>
      </c>
      <c r="AR29" s="1412"/>
      <c r="AS29" s="1412">
        <v>4480720</v>
      </c>
      <c r="AT29" s="1412">
        <v>1524031</v>
      </c>
      <c r="AU29" s="1412">
        <v>2956689</v>
      </c>
      <c r="AV29" s="1412"/>
      <c r="AW29" s="1412">
        <v>0</v>
      </c>
      <c r="AX29" s="1412"/>
      <c r="AY29" s="1412"/>
      <c r="AZ29" s="1412"/>
      <c r="BA29" s="1412"/>
      <c r="BB29" s="1412">
        <v>0</v>
      </c>
      <c r="BC29" s="1412">
        <v>0</v>
      </c>
      <c r="BD29" s="1412"/>
      <c r="BE29" s="1412">
        <v>0</v>
      </c>
      <c r="BF29" s="1412"/>
      <c r="BG29" s="1412"/>
      <c r="BH29" s="1412"/>
      <c r="BI29" s="1412"/>
      <c r="BJ29" s="1412">
        <v>0</v>
      </c>
      <c r="BK29" s="1412"/>
      <c r="BL29" s="1412">
        <v>0</v>
      </c>
      <c r="BM29" s="1412"/>
      <c r="BN29" s="1412"/>
      <c r="BO29" s="1412"/>
      <c r="BP29" s="1412"/>
      <c r="BQ29" s="1412">
        <v>0</v>
      </c>
      <c r="BR29" s="1412"/>
      <c r="BS29" s="1412">
        <v>0</v>
      </c>
      <c r="BT29" s="1412"/>
      <c r="BU29" s="1412"/>
      <c r="BV29" s="1412"/>
      <c r="BW29" s="1412"/>
      <c r="BX29" s="1412">
        <v>0</v>
      </c>
      <c r="BY29" s="1412"/>
      <c r="BZ29" s="1412"/>
      <c r="CA29" s="1412"/>
      <c r="CB29" s="1412"/>
      <c r="CC29" s="1412"/>
      <c r="CD29" s="1412">
        <v>0</v>
      </c>
      <c r="CE29" s="1412">
        <v>0</v>
      </c>
      <c r="CF29" s="1412"/>
      <c r="CG29" s="1412"/>
      <c r="CH29" s="1412">
        <v>0</v>
      </c>
      <c r="CI29" s="1412"/>
      <c r="CJ29" s="1412"/>
      <c r="CK29" s="1412"/>
      <c r="CL29" s="1412">
        <v>0</v>
      </c>
      <c r="CM29" s="1412"/>
      <c r="CN29" s="1412"/>
      <c r="CO29" s="1412"/>
      <c r="CP29" s="1412"/>
      <c r="CQ29" s="1412">
        <v>0</v>
      </c>
      <c r="CR29" s="1412">
        <v>0</v>
      </c>
      <c r="CS29" s="1412"/>
      <c r="CT29" s="1412"/>
      <c r="CU29" s="1412">
        <v>0</v>
      </c>
      <c r="CV29" s="1412"/>
      <c r="CW29" s="1412"/>
      <c r="CX29" s="1412"/>
      <c r="CY29" s="1412">
        <v>0</v>
      </c>
      <c r="CZ29" s="1412"/>
      <c r="DA29" s="1412">
        <v>0</v>
      </c>
      <c r="DB29" s="1412">
        <v>0</v>
      </c>
      <c r="DC29" s="1412"/>
      <c r="DD29" s="1412"/>
      <c r="DE29" s="1412"/>
      <c r="DF29" s="1412"/>
      <c r="DG29" s="1412"/>
      <c r="DH29" s="1412">
        <v>37472840</v>
      </c>
      <c r="DI29" s="1412">
        <v>5944828</v>
      </c>
      <c r="DJ29" s="1412">
        <v>3117394</v>
      </c>
      <c r="DK29" s="1412">
        <v>6863501</v>
      </c>
      <c r="DL29" s="1412">
        <v>21547117</v>
      </c>
      <c r="DM29" s="1412"/>
      <c r="DN29" s="1412">
        <v>13855085</v>
      </c>
      <c r="DO29" s="1412"/>
      <c r="DP29" s="1412"/>
      <c r="DQ29" s="1412">
        <v>155693295</v>
      </c>
      <c r="DR29" s="1363"/>
      <c r="DS29" s="1363"/>
      <c r="DT29" s="1363">
        <v>0</v>
      </c>
    </row>
    <row r="30" spans="2:124">
      <c r="B30" s="1208">
        <v>42644</v>
      </c>
      <c r="C30" s="1412">
        <v>70818067</v>
      </c>
      <c r="D30" s="1412">
        <v>70818067</v>
      </c>
      <c r="E30" s="1412">
        <v>58980599</v>
      </c>
      <c r="F30" s="1412">
        <v>11837468</v>
      </c>
      <c r="G30" s="1412"/>
      <c r="H30" s="1412"/>
      <c r="I30" s="1412"/>
      <c r="J30" s="1412"/>
      <c r="K30" s="1412"/>
      <c r="L30" s="1412"/>
      <c r="M30" s="1412"/>
      <c r="N30" s="1412"/>
      <c r="O30" s="1412">
        <v>32425862</v>
      </c>
      <c r="P30" s="1412">
        <v>13025973</v>
      </c>
      <c r="Q30" s="1412">
        <v>2095610</v>
      </c>
      <c r="R30" s="1412">
        <v>1498861</v>
      </c>
      <c r="S30" s="1412">
        <v>596749</v>
      </c>
      <c r="T30" s="1412"/>
      <c r="U30" s="1412">
        <v>10930363</v>
      </c>
      <c r="V30" s="1412">
        <v>268667</v>
      </c>
      <c r="W30" s="1412">
        <v>10661696</v>
      </c>
      <c r="X30" s="1412"/>
      <c r="Y30" s="1412">
        <v>0</v>
      </c>
      <c r="Z30" s="1412"/>
      <c r="AA30" s="1412"/>
      <c r="AB30" s="1412"/>
      <c r="AC30" s="1412">
        <v>0</v>
      </c>
      <c r="AD30" s="1412"/>
      <c r="AE30" s="1412">
        <v>0</v>
      </c>
      <c r="AF30" s="1412"/>
      <c r="AG30" s="1412">
        <v>8040065</v>
      </c>
      <c r="AH30" s="1412">
        <v>5811560</v>
      </c>
      <c r="AI30" s="1412">
        <v>2228505</v>
      </c>
      <c r="AJ30" s="1412"/>
      <c r="AK30" s="1412">
        <v>1630042</v>
      </c>
      <c r="AL30" s="1412">
        <v>1630042</v>
      </c>
      <c r="AM30" s="1412"/>
      <c r="AN30" s="1412"/>
      <c r="AO30" s="1412">
        <v>5278243</v>
      </c>
      <c r="AP30" s="1412">
        <v>4061660</v>
      </c>
      <c r="AQ30" s="1412">
        <v>1216583</v>
      </c>
      <c r="AR30" s="1412"/>
      <c r="AS30" s="1412">
        <v>4451539</v>
      </c>
      <c r="AT30" s="1412">
        <v>2107076</v>
      </c>
      <c r="AU30" s="1412">
        <v>2344463</v>
      </c>
      <c r="AV30" s="1412"/>
      <c r="AW30" s="1412">
        <v>0</v>
      </c>
      <c r="AX30" s="1412"/>
      <c r="AY30" s="1412"/>
      <c r="AZ30" s="1412"/>
      <c r="BA30" s="1412"/>
      <c r="BB30" s="1412">
        <v>0</v>
      </c>
      <c r="BC30" s="1412">
        <v>0</v>
      </c>
      <c r="BD30" s="1412"/>
      <c r="BE30" s="1412">
        <v>0</v>
      </c>
      <c r="BF30" s="1412"/>
      <c r="BG30" s="1412"/>
      <c r="BH30" s="1412"/>
      <c r="BI30" s="1412"/>
      <c r="BJ30" s="1412">
        <v>0</v>
      </c>
      <c r="BK30" s="1412"/>
      <c r="BL30" s="1412">
        <v>0</v>
      </c>
      <c r="BM30" s="1412"/>
      <c r="BN30" s="1412"/>
      <c r="BO30" s="1412"/>
      <c r="BP30" s="1412"/>
      <c r="BQ30" s="1412">
        <v>0</v>
      </c>
      <c r="BR30" s="1412"/>
      <c r="BS30" s="1412">
        <v>0</v>
      </c>
      <c r="BT30" s="1412"/>
      <c r="BU30" s="1412"/>
      <c r="BV30" s="1412"/>
      <c r="BW30" s="1412"/>
      <c r="BX30" s="1412">
        <v>0</v>
      </c>
      <c r="BY30" s="1412"/>
      <c r="BZ30" s="1412"/>
      <c r="CA30" s="1412"/>
      <c r="CB30" s="1412"/>
      <c r="CC30" s="1412"/>
      <c r="CD30" s="1412">
        <v>0</v>
      </c>
      <c r="CE30" s="1412">
        <v>0</v>
      </c>
      <c r="CF30" s="1412"/>
      <c r="CG30" s="1412"/>
      <c r="CH30" s="1412">
        <v>0</v>
      </c>
      <c r="CI30" s="1412"/>
      <c r="CJ30" s="1412"/>
      <c r="CK30" s="1412"/>
      <c r="CL30" s="1412">
        <v>0</v>
      </c>
      <c r="CM30" s="1412"/>
      <c r="CN30" s="1412"/>
      <c r="CO30" s="1412"/>
      <c r="CP30" s="1412"/>
      <c r="CQ30" s="1412">
        <v>0</v>
      </c>
      <c r="CR30" s="1412">
        <v>0</v>
      </c>
      <c r="CS30" s="1412"/>
      <c r="CT30" s="1412"/>
      <c r="CU30" s="1412">
        <v>0</v>
      </c>
      <c r="CV30" s="1412"/>
      <c r="CW30" s="1412"/>
      <c r="CX30" s="1412"/>
      <c r="CY30" s="1412">
        <v>0</v>
      </c>
      <c r="CZ30" s="1412"/>
      <c r="DA30" s="1412">
        <v>0</v>
      </c>
      <c r="DB30" s="1412">
        <v>0</v>
      </c>
      <c r="DC30" s="1412"/>
      <c r="DD30" s="1412"/>
      <c r="DE30" s="1412"/>
      <c r="DF30" s="1412"/>
      <c r="DG30" s="1412"/>
      <c r="DH30" s="1412">
        <v>38641751</v>
      </c>
      <c r="DI30" s="1412">
        <v>6111126</v>
      </c>
      <c r="DJ30" s="1412">
        <v>3034810</v>
      </c>
      <c r="DK30" s="1412">
        <v>7881272</v>
      </c>
      <c r="DL30" s="1412">
        <v>21614543</v>
      </c>
      <c r="DM30" s="1412"/>
      <c r="DN30" s="1412">
        <v>6918032</v>
      </c>
      <c r="DO30" s="1412"/>
      <c r="DP30" s="1412"/>
      <c r="DQ30" s="1412">
        <v>148803712</v>
      </c>
      <c r="DR30" s="1363"/>
      <c r="DS30" s="1363"/>
      <c r="DT30" s="1363">
        <v>0</v>
      </c>
    </row>
    <row r="31" spans="2:124">
      <c r="B31" s="1208">
        <v>42675</v>
      </c>
      <c r="C31" s="1412">
        <v>74466932</v>
      </c>
      <c r="D31" s="1412">
        <v>74466932</v>
      </c>
      <c r="E31" s="1412">
        <v>62356949</v>
      </c>
      <c r="F31" s="1412">
        <v>12109983</v>
      </c>
      <c r="G31" s="1412"/>
      <c r="H31" s="1412"/>
      <c r="I31" s="1412"/>
      <c r="J31" s="1412"/>
      <c r="K31" s="1412"/>
      <c r="L31" s="1412"/>
      <c r="M31" s="1412"/>
      <c r="N31" s="1412"/>
      <c r="O31" s="1412">
        <v>32027846</v>
      </c>
      <c r="P31" s="1412">
        <v>13935259</v>
      </c>
      <c r="Q31" s="1412">
        <v>1717468</v>
      </c>
      <c r="R31" s="1412">
        <v>1144661</v>
      </c>
      <c r="S31" s="1412">
        <v>572807</v>
      </c>
      <c r="T31" s="1412"/>
      <c r="U31" s="1412">
        <v>12217791</v>
      </c>
      <c r="V31" s="1412">
        <v>2537910</v>
      </c>
      <c r="W31" s="1412">
        <v>9679881</v>
      </c>
      <c r="X31" s="1412"/>
      <c r="Y31" s="1412">
        <v>0</v>
      </c>
      <c r="Z31" s="1412"/>
      <c r="AA31" s="1412"/>
      <c r="AB31" s="1412"/>
      <c r="AC31" s="1412">
        <v>3</v>
      </c>
      <c r="AD31" s="1412"/>
      <c r="AE31" s="1412">
        <v>3</v>
      </c>
      <c r="AF31" s="1412"/>
      <c r="AG31" s="1412">
        <v>7651158</v>
      </c>
      <c r="AH31" s="1412">
        <v>6121943</v>
      </c>
      <c r="AI31" s="1412">
        <v>1529215</v>
      </c>
      <c r="AJ31" s="1412"/>
      <c r="AK31" s="1412">
        <v>1637563</v>
      </c>
      <c r="AL31" s="1412">
        <v>1637563</v>
      </c>
      <c r="AM31" s="1412"/>
      <c r="AN31" s="1412"/>
      <c r="AO31" s="1412">
        <v>4548216</v>
      </c>
      <c r="AP31" s="1412">
        <v>4548216</v>
      </c>
      <c r="AQ31" s="1412">
        <v>0</v>
      </c>
      <c r="AR31" s="1412"/>
      <c r="AS31" s="1412">
        <v>4255647</v>
      </c>
      <c r="AT31" s="1412">
        <v>548547</v>
      </c>
      <c r="AU31" s="1412">
        <v>3707100</v>
      </c>
      <c r="AV31" s="1412"/>
      <c r="AW31" s="1412">
        <v>0</v>
      </c>
      <c r="AX31" s="1412"/>
      <c r="AY31" s="1412"/>
      <c r="AZ31" s="1412"/>
      <c r="BA31" s="1412"/>
      <c r="BB31" s="1412">
        <v>0</v>
      </c>
      <c r="BC31" s="1412">
        <v>0</v>
      </c>
      <c r="BD31" s="1412"/>
      <c r="BE31" s="1412">
        <v>0</v>
      </c>
      <c r="BF31" s="1412"/>
      <c r="BG31" s="1412"/>
      <c r="BH31" s="1412"/>
      <c r="BI31" s="1412"/>
      <c r="BJ31" s="1412">
        <v>0</v>
      </c>
      <c r="BK31" s="1412"/>
      <c r="BL31" s="1412">
        <v>0</v>
      </c>
      <c r="BM31" s="1412"/>
      <c r="BN31" s="1412"/>
      <c r="BO31" s="1412"/>
      <c r="BP31" s="1412"/>
      <c r="BQ31" s="1412">
        <v>0</v>
      </c>
      <c r="BR31" s="1412"/>
      <c r="BS31" s="1412">
        <v>0</v>
      </c>
      <c r="BT31" s="1412"/>
      <c r="BU31" s="1412"/>
      <c r="BV31" s="1412"/>
      <c r="BW31" s="1412"/>
      <c r="BX31" s="1412">
        <v>0</v>
      </c>
      <c r="BY31" s="1412"/>
      <c r="BZ31" s="1412"/>
      <c r="CA31" s="1412"/>
      <c r="CB31" s="1412"/>
      <c r="CC31" s="1412"/>
      <c r="CD31" s="1412">
        <v>0</v>
      </c>
      <c r="CE31" s="1412">
        <v>0</v>
      </c>
      <c r="CF31" s="1412"/>
      <c r="CG31" s="1412"/>
      <c r="CH31" s="1412">
        <v>0</v>
      </c>
      <c r="CI31" s="1412"/>
      <c r="CJ31" s="1412"/>
      <c r="CK31" s="1412"/>
      <c r="CL31" s="1412">
        <v>0</v>
      </c>
      <c r="CM31" s="1412"/>
      <c r="CN31" s="1412"/>
      <c r="CO31" s="1412"/>
      <c r="CP31" s="1412"/>
      <c r="CQ31" s="1412">
        <v>0</v>
      </c>
      <c r="CR31" s="1412">
        <v>0</v>
      </c>
      <c r="CS31" s="1412"/>
      <c r="CT31" s="1412"/>
      <c r="CU31" s="1412">
        <v>0</v>
      </c>
      <c r="CV31" s="1412"/>
      <c r="CW31" s="1412"/>
      <c r="CX31" s="1412"/>
      <c r="CY31" s="1412">
        <v>0</v>
      </c>
      <c r="CZ31" s="1412"/>
      <c r="DA31" s="1412">
        <v>0</v>
      </c>
      <c r="DB31" s="1412">
        <v>0</v>
      </c>
      <c r="DC31" s="1412"/>
      <c r="DD31" s="1412"/>
      <c r="DE31" s="1412"/>
      <c r="DF31" s="1412"/>
      <c r="DG31" s="1412"/>
      <c r="DH31" s="1412">
        <v>39326072</v>
      </c>
      <c r="DI31" s="1412">
        <v>6142312</v>
      </c>
      <c r="DJ31" s="1412">
        <v>3089131</v>
      </c>
      <c r="DK31" s="1412">
        <v>8484863</v>
      </c>
      <c r="DL31" s="1412">
        <v>21609766</v>
      </c>
      <c r="DM31" s="1412"/>
      <c r="DN31" s="1412">
        <v>6912488</v>
      </c>
      <c r="DO31" s="1412"/>
      <c r="DP31" s="1412"/>
      <c r="DQ31" s="1412">
        <v>152733338</v>
      </c>
      <c r="DR31" s="1363"/>
      <c r="DS31" s="1363"/>
      <c r="DT31" s="1363">
        <v>0</v>
      </c>
    </row>
    <row r="32" spans="2:124">
      <c r="B32" s="1208">
        <v>42705</v>
      </c>
      <c r="C32" s="1412">
        <v>77733107</v>
      </c>
      <c r="D32" s="1412">
        <v>77733107</v>
      </c>
      <c r="E32" s="1412">
        <v>63039731</v>
      </c>
      <c r="F32" s="1412">
        <v>14693376</v>
      </c>
      <c r="G32" s="1412"/>
      <c r="H32" s="1412"/>
      <c r="I32" s="1412"/>
      <c r="J32" s="1412"/>
      <c r="K32" s="1412"/>
      <c r="L32" s="1412"/>
      <c r="M32" s="1412"/>
      <c r="N32" s="1412"/>
      <c r="O32" s="1412">
        <v>37421538</v>
      </c>
      <c r="P32" s="1412">
        <v>14396998</v>
      </c>
      <c r="Q32" s="1412">
        <v>1682975</v>
      </c>
      <c r="R32" s="1412">
        <v>1303772</v>
      </c>
      <c r="S32" s="1412">
        <v>379203</v>
      </c>
      <c r="T32" s="1412"/>
      <c r="U32" s="1412">
        <v>12714023</v>
      </c>
      <c r="V32" s="1412">
        <v>6281772</v>
      </c>
      <c r="W32" s="1412">
        <v>6432251</v>
      </c>
      <c r="X32" s="1412"/>
      <c r="Y32" s="1412">
        <v>0</v>
      </c>
      <c r="Z32" s="1412"/>
      <c r="AA32" s="1412"/>
      <c r="AB32" s="1412"/>
      <c r="AC32" s="1412">
        <v>3</v>
      </c>
      <c r="AD32" s="1412"/>
      <c r="AE32" s="1412">
        <v>3</v>
      </c>
      <c r="AF32" s="1412"/>
      <c r="AG32" s="1412">
        <v>4248183</v>
      </c>
      <c r="AH32" s="1412">
        <v>3197337</v>
      </c>
      <c r="AI32" s="1412">
        <v>1050846</v>
      </c>
      <c r="AJ32" s="1412"/>
      <c r="AK32" s="1412">
        <v>5983107</v>
      </c>
      <c r="AL32" s="1412">
        <v>5983107</v>
      </c>
      <c r="AM32" s="1412"/>
      <c r="AN32" s="1412"/>
      <c r="AO32" s="1412">
        <v>8352714</v>
      </c>
      <c r="AP32" s="1412">
        <v>8352714</v>
      </c>
      <c r="AQ32" s="1412">
        <v>0</v>
      </c>
      <c r="AR32" s="1412"/>
      <c r="AS32" s="1412">
        <v>4440533</v>
      </c>
      <c r="AT32" s="1412">
        <v>1938517</v>
      </c>
      <c r="AU32" s="1412">
        <v>2502016</v>
      </c>
      <c r="AV32" s="1412"/>
      <c r="AW32" s="1412">
        <v>0</v>
      </c>
      <c r="AX32" s="1412"/>
      <c r="AY32" s="1412"/>
      <c r="AZ32" s="1412"/>
      <c r="BA32" s="1412"/>
      <c r="BB32" s="1412">
        <v>0</v>
      </c>
      <c r="BC32" s="1412">
        <v>0</v>
      </c>
      <c r="BD32" s="1412"/>
      <c r="BE32" s="1412">
        <v>0</v>
      </c>
      <c r="BF32" s="1412"/>
      <c r="BG32" s="1412"/>
      <c r="BH32" s="1412"/>
      <c r="BI32" s="1412"/>
      <c r="BJ32" s="1412">
        <v>0</v>
      </c>
      <c r="BK32" s="1412"/>
      <c r="BL32" s="1412">
        <v>0</v>
      </c>
      <c r="BM32" s="1412"/>
      <c r="BN32" s="1412"/>
      <c r="BO32" s="1412"/>
      <c r="BP32" s="1412"/>
      <c r="BQ32" s="1412">
        <v>0</v>
      </c>
      <c r="BR32" s="1412"/>
      <c r="BS32" s="1412">
        <v>0</v>
      </c>
      <c r="BT32" s="1412"/>
      <c r="BU32" s="1412"/>
      <c r="BV32" s="1412"/>
      <c r="BW32" s="1412"/>
      <c r="BX32" s="1412">
        <v>0</v>
      </c>
      <c r="BY32" s="1412"/>
      <c r="BZ32" s="1412"/>
      <c r="CA32" s="1412"/>
      <c r="CB32" s="1412"/>
      <c r="CC32" s="1412"/>
      <c r="CD32" s="1412">
        <v>0</v>
      </c>
      <c r="CE32" s="1412">
        <v>0</v>
      </c>
      <c r="CF32" s="1412"/>
      <c r="CG32" s="1412"/>
      <c r="CH32" s="1412">
        <v>0</v>
      </c>
      <c r="CI32" s="1412"/>
      <c r="CJ32" s="1412"/>
      <c r="CK32" s="1412"/>
      <c r="CL32" s="1412">
        <v>0</v>
      </c>
      <c r="CM32" s="1412"/>
      <c r="CN32" s="1412"/>
      <c r="CO32" s="1412"/>
      <c r="CP32" s="1412"/>
      <c r="CQ32" s="1412">
        <v>0</v>
      </c>
      <c r="CR32" s="1412">
        <v>0</v>
      </c>
      <c r="CS32" s="1412"/>
      <c r="CT32" s="1412"/>
      <c r="CU32" s="1412">
        <v>0</v>
      </c>
      <c r="CV32" s="1412"/>
      <c r="CW32" s="1412"/>
      <c r="CX32" s="1412"/>
      <c r="CY32" s="1412">
        <v>0</v>
      </c>
      <c r="CZ32" s="1412"/>
      <c r="DA32" s="1412">
        <v>0</v>
      </c>
      <c r="DB32" s="1412">
        <v>0</v>
      </c>
      <c r="DC32" s="1412"/>
      <c r="DD32" s="1412"/>
      <c r="DE32" s="1412"/>
      <c r="DF32" s="1412"/>
      <c r="DG32" s="1412"/>
      <c r="DH32" s="1412">
        <v>41188576</v>
      </c>
      <c r="DI32" s="1412">
        <v>6145743</v>
      </c>
      <c r="DJ32" s="1412">
        <v>3144367</v>
      </c>
      <c r="DK32" s="1412">
        <v>9672804</v>
      </c>
      <c r="DL32" s="1412">
        <v>22225662</v>
      </c>
      <c r="DM32" s="1412"/>
      <c r="DN32" s="1412">
        <v>7986066</v>
      </c>
      <c r="DO32" s="1412"/>
      <c r="DP32" s="1412"/>
      <c r="DQ32" s="1412">
        <v>164329287</v>
      </c>
      <c r="DR32" s="1363"/>
      <c r="DS32" s="1363"/>
      <c r="DT32" s="1363">
        <v>-0.43000000715255737</v>
      </c>
    </row>
    <row r="33" spans="2:124">
      <c r="C33" s="1413"/>
      <c r="D33" s="1413"/>
      <c r="E33" s="1413"/>
      <c r="F33" s="1413"/>
      <c r="G33" s="1413"/>
      <c r="H33" s="1413"/>
      <c r="I33" s="1413"/>
      <c r="J33" s="1413"/>
      <c r="K33" s="1413"/>
      <c r="L33" s="1413"/>
      <c r="M33" s="1413"/>
      <c r="N33" s="1413"/>
      <c r="O33" s="1413"/>
      <c r="P33" s="1413"/>
      <c r="Q33" s="1413"/>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1413"/>
      <c r="AV33" s="1413"/>
      <c r="AW33" s="1413"/>
      <c r="AX33" s="1413"/>
      <c r="AY33" s="1413"/>
      <c r="AZ33" s="1413"/>
      <c r="BA33" s="1413"/>
      <c r="BB33" s="1413"/>
      <c r="BC33" s="1413"/>
      <c r="BD33" s="1413"/>
      <c r="BE33" s="1413"/>
      <c r="BF33" s="1413"/>
      <c r="BG33" s="1413"/>
      <c r="BH33" s="1413"/>
      <c r="BI33" s="1413"/>
      <c r="BJ33" s="1413"/>
      <c r="BK33" s="1413"/>
      <c r="BL33" s="1413"/>
      <c r="BM33" s="1413"/>
      <c r="BN33" s="1413"/>
      <c r="BO33" s="1413"/>
      <c r="BP33" s="1413"/>
      <c r="BQ33" s="1413"/>
      <c r="BR33" s="1413"/>
      <c r="BS33" s="1413"/>
      <c r="BT33" s="1413"/>
      <c r="BU33" s="1413"/>
      <c r="BV33" s="1413"/>
      <c r="BW33" s="1413"/>
      <c r="BX33" s="1413"/>
      <c r="BY33" s="1413"/>
      <c r="BZ33" s="1413"/>
      <c r="CA33" s="1413"/>
      <c r="CB33" s="1413"/>
      <c r="CC33" s="1413"/>
      <c r="CD33" s="1413"/>
      <c r="CE33" s="1413"/>
      <c r="CF33" s="1413"/>
      <c r="CG33" s="1413"/>
      <c r="CH33" s="1413"/>
      <c r="CI33" s="1413"/>
      <c r="CJ33" s="1413"/>
      <c r="CK33" s="1413"/>
      <c r="CL33" s="1413"/>
      <c r="CM33" s="1413"/>
      <c r="CN33" s="1413"/>
      <c r="CO33" s="1413"/>
      <c r="CP33" s="1413"/>
      <c r="CQ33" s="1413"/>
      <c r="CR33" s="1413"/>
      <c r="CS33" s="1413"/>
      <c r="CT33" s="1413"/>
      <c r="CU33" s="1413"/>
      <c r="CV33" s="1413"/>
      <c r="CW33" s="1413"/>
      <c r="CX33" s="1413"/>
      <c r="CY33" s="1413"/>
      <c r="CZ33" s="1413"/>
      <c r="DA33" s="1413"/>
      <c r="DB33" s="1413"/>
      <c r="DC33" s="1413"/>
      <c r="DD33" s="1413"/>
      <c r="DE33" s="1413"/>
      <c r="DF33" s="1413"/>
      <c r="DG33" s="1413"/>
      <c r="DH33" s="1413"/>
      <c r="DI33" s="1413"/>
      <c r="DJ33" s="1413"/>
      <c r="DK33" s="1413"/>
      <c r="DL33" s="1413"/>
      <c r="DM33" s="1413"/>
      <c r="DN33" s="1413"/>
      <c r="DO33" s="1413"/>
      <c r="DP33" s="1413"/>
      <c r="DQ33" s="1413"/>
      <c r="DR33" s="1364"/>
      <c r="DS33" s="1364"/>
      <c r="DT33" s="1364"/>
    </row>
    <row r="34" spans="2:124">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1413"/>
      <c r="AV34" s="1413"/>
      <c r="AW34" s="1413"/>
      <c r="AX34" s="1413"/>
      <c r="AY34" s="1413"/>
      <c r="AZ34" s="1413"/>
      <c r="BA34" s="1413"/>
      <c r="BB34" s="1413"/>
      <c r="BC34" s="1413"/>
      <c r="BD34" s="1413"/>
      <c r="BE34" s="1413"/>
      <c r="BF34" s="1413"/>
      <c r="BG34" s="1413"/>
      <c r="BH34" s="1413"/>
      <c r="BI34" s="1413"/>
      <c r="BJ34" s="1413"/>
      <c r="BK34" s="1413"/>
      <c r="BL34" s="1413"/>
      <c r="BM34" s="1413"/>
      <c r="BN34" s="1413"/>
      <c r="BO34" s="1413"/>
      <c r="BP34" s="1413"/>
      <c r="BQ34" s="1413"/>
      <c r="BR34" s="1413"/>
      <c r="BS34" s="1413"/>
      <c r="BT34" s="1413"/>
      <c r="BU34" s="1413"/>
      <c r="BV34" s="1413"/>
      <c r="BW34" s="1413"/>
      <c r="BX34" s="1413"/>
      <c r="BY34" s="1413"/>
      <c r="BZ34" s="1413"/>
      <c r="CA34" s="1413"/>
      <c r="CB34" s="1413"/>
      <c r="CC34" s="1413"/>
      <c r="CD34" s="1413"/>
      <c r="CE34" s="1413"/>
      <c r="CF34" s="1413"/>
      <c r="CG34" s="1413"/>
      <c r="CH34" s="1413"/>
      <c r="CI34" s="1413"/>
      <c r="CJ34" s="1413"/>
      <c r="CK34" s="1413"/>
      <c r="CL34" s="1413"/>
      <c r="CM34" s="1413"/>
      <c r="CN34" s="1413"/>
      <c r="CO34" s="1413"/>
      <c r="CP34" s="1413"/>
      <c r="CQ34" s="1413"/>
      <c r="CR34" s="1413"/>
      <c r="CS34" s="1413"/>
      <c r="CT34" s="1413"/>
      <c r="CU34" s="1413"/>
      <c r="CV34" s="1413"/>
      <c r="CW34" s="1413"/>
      <c r="CX34" s="1413"/>
      <c r="CY34" s="1413"/>
      <c r="CZ34" s="1413"/>
      <c r="DA34" s="1413"/>
      <c r="DB34" s="1413"/>
      <c r="DC34" s="1413"/>
      <c r="DD34" s="1413"/>
      <c r="DE34" s="1413"/>
      <c r="DF34" s="1413"/>
      <c r="DG34" s="1413"/>
      <c r="DH34" s="1413"/>
      <c r="DI34" s="1413"/>
      <c r="DJ34" s="1413"/>
      <c r="DK34" s="1413"/>
      <c r="DL34" s="1413"/>
      <c r="DM34" s="1413"/>
      <c r="DN34" s="1413"/>
      <c r="DO34" s="1413"/>
      <c r="DP34" s="1413"/>
      <c r="DQ34" s="1413"/>
      <c r="DR34" s="1364"/>
      <c r="DS34" s="1364"/>
      <c r="DT34" s="1364"/>
    </row>
    <row r="35" spans="2:124">
      <c r="B35" s="1208">
        <v>42736</v>
      </c>
      <c r="C35" s="1412">
        <v>77253142</v>
      </c>
      <c r="D35" s="1412">
        <v>77253142</v>
      </c>
      <c r="E35" s="1412">
        <v>59595334</v>
      </c>
      <c r="F35" s="1412">
        <v>17657808</v>
      </c>
      <c r="G35" s="1412"/>
      <c r="H35" s="1412"/>
      <c r="I35" s="1412"/>
      <c r="J35" s="1412"/>
      <c r="K35" s="1412"/>
      <c r="L35" s="1412"/>
      <c r="M35" s="1412"/>
      <c r="N35" s="1412"/>
      <c r="O35" s="1412">
        <v>35835163</v>
      </c>
      <c r="P35" s="1412">
        <v>13874456</v>
      </c>
      <c r="Q35" s="1412">
        <v>1769895</v>
      </c>
      <c r="R35" s="1412">
        <v>1195189</v>
      </c>
      <c r="S35" s="1412">
        <v>574706</v>
      </c>
      <c r="T35" s="1412"/>
      <c r="U35" s="1412">
        <v>12104561</v>
      </c>
      <c r="V35" s="1412">
        <v>5673234</v>
      </c>
      <c r="W35" s="1412">
        <v>6431327</v>
      </c>
      <c r="X35" s="1412"/>
      <c r="Y35" s="1412">
        <v>0</v>
      </c>
      <c r="Z35" s="1412"/>
      <c r="AA35" s="1412"/>
      <c r="AB35" s="1412"/>
      <c r="AC35" s="1412">
        <v>0</v>
      </c>
      <c r="AD35" s="1412"/>
      <c r="AE35" s="1412">
        <v>0</v>
      </c>
      <c r="AF35" s="1412"/>
      <c r="AG35" s="1412">
        <v>3827190</v>
      </c>
      <c r="AH35" s="1412">
        <v>2110283</v>
      </c>
      <c r="AI35" s="1412">
        <v>1716907</v>
      </c>
      <c r="AJ35" s="1412"/>
      <c r="AK35" s="1412">
        <v>5995031</v>
      </c>
      <c r="AL35" s="1412">
        <v>5995031</v>
      </c>
      <c r="AM35" s="1412"/>
      <c r="AN35" s="1412"/>
      <c r="AO35" s="1412">
        <v>4909484</v>
      </c>
      <c r="AP35" s="1412">
        <v>4909484</v>
      </c>
      <c r="AQ35" s="1412">
        <v>0</v>
      </c>
      <c r="AR35" s="1412"/>
      <c r="AS35" s="1412">
        <v>7229002</v>
      </c>
      <c r="AT35" s="1412">
        <v>5652637</v>
      </c>
      <c r="AU35" s="1412">
        <v>1576365</v>
      </c>
      <c r="AV35" s="1412"/>
      <c r="AW35" s="1412">
        <v>0</v>
      </c>
      <c r="AX35" s="1412"/>
      <c r="AY35" s="1412"/>
      <c r="AZ35" s="1412"/>
      <c r="BA35" s="1412"/>
      <c r="BB35" s="1412">
        <v>0</v>
      </c>
      <c r="BC35" s="1412">
        <v>0</v>
      </c>
      <c r="BD35" s="1412"/>
      <c r="BE35" s="1412">
        <v>0</v>
      </c>
      <c r="BF35" s="1412"/>
      <c r="BG35" s="1412"/>
      <c r="BH35" s="1412"/>
      <c r="BI35" s="1412"/>
      <c r="BJ35" s="1412">
        <v>0</v>
      </c>
      <c r="BK35" s="1412"/>
      <c r="BL35" s="1412">
        <v>0</v>
      </c>
      <c r="BM35" s="1412"/>
      <c r="BN35" s="1412"/>
      <c r="BO35" s="1412"/>
      <c r="BP35" s="1412"/>
      <c r="BQ35" s="1412">
        <v>0</v>
      </c>
      <c r="BR35" s="1412"/>
      <c r="BS35" s="1412">
        <v>0</v>
      </c>
      <c r="BT35" s="1412"/>
      <c r="BU35" s="1412"/>
      <c r="BV35" s="1412"/>
      <c r="BW35" s="1412"/>
      <c r="BX35" s="1412">
        <v>0</v>
      </c>
      <c r="BY35" s="1412"/>
      <c r="BZ35" s="1412"/>
      <c r="CA35" s="1412"/>
      <c r="CB35" s="1412"/>
      <c r="CC35" s="1412"/>
      <c r="CD35" s="1412">
        <v>0</v>
      </c>
      <c r="CE35" s="1412">
        <v>0</v>
      </c>
      <c r="CF35" s="1412"/>
      <c r="CG35" s="1412"/>
      <c r="CH35" s="1412">
        <v>0</v>
      </c>
      <c r="CI35" s="1412"/>
      <c r="CJ35" s="1412"/>
      <c r="CK35" s="1412"/>
      <c r="CL35" s="1412">
        <v>0</v>
      </c>
      <c r="CM35" s="1412"/>
      <c r="CN35" s="1412"/>
      <c r="CO35" s="1412"/>
      <c r="CP35" s="1412"/>
      <c r="CQ35" s="1412">
        <v>0</v>
      </c>
      <c r="CR35" s="1412">
        <v>0</v>
      </c>
      <c r="CS35" s="1412"/>
      <c r="CT35" s="1412"/>
      <c r="CU35" s="1412">
        <v>0</v>
      </c>
      <c r="CV35" s="1412"/>
      <c r="CW35" s="1412"/>
      <c r="CX35" s="1412"/>
      <c r="CY35" s="1412">
        <v>0</v>
      </c>
      <c r="CZ35" s="1412"/>
      <c r="DA35" s="1412">
        <v>0</v>
      </c>
      <c r="DB35" s="1412">
        <v>0</v>
      </c>
      <c r="DC35" s="1412"/>
      <c r="DD35" s="1412"/>
      <c r="DE35" s="1412"/>
      <c r="DF35" s="1412"/>
      <c r="DG35" s="1412"/>
      <c r="DH35" s="1412">
        <v>41919768</v>
      </c>
      <c r="DI35" s="1412">
        <v>6486434</v>
      </c>
      <c r="DJ35" s="1412">
        <v>3084340</v>
      </c>
      <c r="DK35" s="1412">
        <v>875496</v>
      </c>
      <c r="DL35" s="1412">
        <v>31473498</v>
      </c>
      <c r="DM35" s="1412"/>
      <c r="DN35" s="1412">
        <v>6825202.6399999997</v>
      </c>
      <c r="DO35" s="1412"/>
      <c r="DP35" s="1412"/>
      <c r="DQ35" s="1412">
        <v>161833275.63999999</v>
      </c>
      <c r="DR35" s="1363"/>
      <c r="DS35" s="1363"/>
      <c r="DT35" s="1363"/>
    </row>
    <row r="36" spans="2:124">
      <c r="B36" s="1208">
        <v>42767</v>
      </c>
      <c r="C36" s="1412">
        <v>77529897</v>
      </c>
      <c r="D36" s="1412">
        <v>77529897</v>
      </c>
      <c r="E36" s="1412">
        <v>60597191</v>
      </c>
      <c r="F36" s="1412">
        <v>16932706</v>
      </c>
      <c r="G36" s="1412"/>
      <c r="H36" s="1412"/>
      <c r="I36" s="1412"/>
      <c r="J36" s="1412"/>
      <c r="K36" s="1412"/>
      <c r="L36" s="1412"/>
      <c r="M36" s="1412"/>
      <c r="N36" s="1412"/>
      <c r="O36" s="1412">
        <v>35885660</v>
      </c>
      <c r="P36" s="1412">
        <v>13988202</v>
      </c>
      <c r="Q36" s="1412">
        <v>1851552</v>
      </c>
      <c r="R36" s="1412">
        <v>1033220</v>
      </c>
      <c r="S36" s="1412">
        <v>818332</v>
      </c>
      <c r="T36" s="1412"/>
      <c r="U36" s="1412">
        <v>12136650</v>
      </c>
      <c r="V36" s="1412">
        <v>1263078</v>
      </c>
      <c r="W36" s="1412">
        <v>10873572</v>
      </c>
      <c r="X36" s="1412"/>
      <c r="Y36" s="1412">
        <v>0</v>
      </c>
      <c r="Z36" s="1412"/>
      <c r="AA36" s="1412"/>
      <c r="AB36" s="1412"/>
      <c r="AC36" s="1412">
        <v>0</v>
      </c>
      <c r="AD36" s="1412"/>
      <c r="AE36" s="1412">
        <v>0</v>
      </c>
      <c r="AF36" s="1412"/>
      <c r="AG36" s="1412">
        <v>8126726</v>
      </c>
      <c r="AH36" s="1412">
        <v>6120148</v>
      </c>
      <c r="AI36" s="1412">
        <v>2006578</v>
      </c>
      <c r="AJ36" s="1412"/>
      <c r="AK36" s="1412">
        <v>5989657</v>
      </c>
      <c r="AL36" s="1412">
        <v>5989657</v>
      </c>
      <c r="AM36" s="1412"/>
      <c r="AN36" s="1412"/>
      <c r="AO36" s="1412">
        <v>4296805</v>
      </c>
      <c r="AP36" s="1412">
        <v>4296805</v>
      </c>
      <c r="AQ36" s="1412">
        <v>0</v>
      </c>
      <c r="AR36" s="1412"/>
      <c r="AS36" s="1412">
        <v>3484270</v>
      </c>
      <c r="AT36" s="1412">
        <v>1942846</v>
      </c>
      <c r="AU36" s="1412">
        <v>1541424</v>
      </c>
      <c r="AV36" s="1412"/>
      <c r="AW36" s="1412">
        <v>0</v>
      </c>
      <c r="AX36" s="1412"/>
      <c r="AY36" s="1412"/>
      <c r="AZ36" s="1412"/>
      <c r="BA36" s="1412"/>
      <c r="BB36" s="1412">
        <v>0</v>
      </c>
      <c r="BC36" s="1412">
        <v>0</v>
      </c>
      <c r="BD36" s="1412"/>
      <c r="BE36" s="1412">
        <v>0</v>
      </c>
      <c r="BF36" s="1412"/>
      <c r="BG36" s="1412"/>
      <c r="BH36" s="1412"/>
      <c r="BI36" s="1412"/>
      <c r="BJ36" s="1412">
        <v>0</v>
      </c>
      <c r="BK36" s="1412"/>
      <c r="BL36" s="1412">
        <v>0</v>
      </c>
      <c r="BM36" s="1412"/>
      <c r="BN36" s="1412"/>
      <c r="BO36" s="1412"/>
      <c r="BP36" s="1412"/>
      <c r="BQ36" s="1412">
        <v>0</v>
      </c>
      <c r="BR36" s="1412"/>
      <c r="BS36" s="1412">
        <v>0</v>
      </c>
      <c r="BT36" s="1412"/>
      <c r="BU36" s="1412"/>
      <c r="BV36" s="1412"/>
      <c r="BW36" s="1412"/>
      <c r="BX36" s="1412">
        <v>0</v>
      </c>
      <c r="BY36" s="1412"/>
      <c r="BZ36" s="1412"/>
      <c r="CA36" s="1412"/>
      <c r="CB36" s="1412"/>
      <c r="CC36" s="1412"/>
      <c r="CD36" s="1412">
        <v>0</v>
      </c>
      <c r="CE36" s="1412">
        <v>0</v>
      </c>
      <c r="CF36" s="1412"/>
      <c r="CG36" s="1412"/>
      <c r="CH36" s="1412">
        <v>0</v>
      </c>
      <c r="CI36" s="1412"/>
      <c r="CJ36" s="1412"/>
      <c r="CK36" s="1412"/>
      <c r="CL36" s="1412">
        <v>0</v>
      </c>
      <c r="CM36" s="1412"/>
      <c r="CN36" s="1412"/>
      <c r="CO36" s="1412"/>
      <c r="CP36" s="1412"/>
      <c r="CQ36" s="1412">
        <v>0</v>
      </c>
      <c r="CR36" s="1412">
        <v>0</v>
      </c>
      <c r="CS36" s="1412"/>
      <c r="CT36" s="1412"/>
      <c r="CU36" s="1412">
        <v>0</v>
      </c>
      <c r="CV36" s="1412"/>
      <c r="CW36" s="1412"/>
      <c r="CX36" s="1412"/>
      <c r="CY36" s="1412">
        <v>0</v>
      </c>
      <c r="CZ36" s="1412"/>
      <c r="DA36" s="1412">
        <v>0</v>
      </c>
      <c r="DB36" s="1412">
        <v>0</v>
      </c>
      <c r="DC36" s="1412"/>
      <c r="DD36" s="1412"/>
      <c r="DE36" s="1412"/>
      <c r="DF36" s="1412"/>
      <c r="DG36" s="1412"/>
      <c r="DH36" s="1412">
        <v>42604985</v>
      </c>
      <c r="DI36" s="1412">
        <v>6543159</v>
      </c>
      <c r="DJ36" s="1412">
        <v>3040722</v>
      </c>
      <c r="DK36" s="1412">
        <v>1591555</v>
      </c>
      <c r="DL36" s="1412">
        <v>31429549</v>
      </c>
      <c r="DM36" s="1412"/>
      <c r="DN36" s="1412">
        <v>7387287.150000006</v>
      </c>
      <c r="DO36" s="1412"/>
      <c r="DP36" s="1412"/>
      <c r="DQ36" s="1412">
        <v>163407829.15000001</v>
      </c>
      <c r="DR36" s="1363"/>
      <c r="DS36" s="1363"/>
      <c r="DT36" s="1363"/>
    </row>
    <row r="37" spans="2:124">
      <c r="B37" s="1208">
        <v>42795</v>
      </c>
      <c r="C37" s="1412">
        <v>82627427</v>
      </c>
      <c r="D37" s="1412">
        <v>82627427</v>
      </c>
      <c r="E37" s="1412">
        <v>59964924</v>
      </c>
      <c r="F37" s="1412">
        <v>22662503</v>
      </c>
      <c r="G37" s="1412"/>
      <c r="H37" s="1412"/>
      <c r="I37" s="1412"/>
      <c r="J37" s="1412"/>
      <c r="K37" s="1412"/>
      <c r="L37" s="1412"/>
      <c r="M37" s="1412"/>
      <c r="N37" s="1412"/>
      <c r="O37" s="1412">
        <v>36087865</v>
      </c>
      <c r="P37" s="1412">
        <v>13864827</v>
      </c>
      <c r="Q37" s="1412">
        <v>1734279</v>
      </c>
      <c r="R37" s="1412">
        <v>1309338</v>
      </c>
      <c r="S37" s="1412">
        <v>424941</v>
      </c>
      <c r="T37" s="1412"/>
      <c r="U37" s="1412">
        <v>12130548</v>
      </c>
      <c r="V37" s="1412">
        <v>1199744</v>
      </c>
      <c r="W37" s="1412">
        <v>10930804</v>
      </c>
      <c r="X37" s="1412"/>
      <c r="Y37" s="1412">
        <v>0</v>
      </c>
      <c r="Z37" s="1412"/>
      <c r="AA37" s="1412"/>
      <c r="AB37" s="1412"/>
      <c r="AC37" s="1412">
        <v>0</v>
      </c>
      <c r="AD37" s="1412"/>
      <c r="AE37" s="1412">
        <v>0</v>
      </c>
      <c r="AF37" s="1412"/>
      <c r="AG37" s="1412">
        <v>8257735</v>
      </c>
      <c r="AH37" s="1412">
        <v>5425658</v>
      </c>
      <c r="AI37" s="1412">
        <v>2832077</v>
      </c>
      <c r="AJ37" s="1412"/>
      <c r="AK37" s="1412">
        <v>5978093</v>
      </c>
      <c r="AL37" s="1412">
        <v>5978093</v>
      </c>
      <c r="AM37" s="1412"/>
      <c r="AN37" s="1412"/>
      <c r="AO37" s="1412">
        <v>4510633</v>
      </c>
      <c r="AP37" s="1412">
        <v>4510633</v>
      </c>
      <c r="AQ37" s="1412">
        <v>0</v>
      </c>
      <c r="AR37" s="1412"/>
      <c r="AS37" s="1412">
        <v>3476577</v>
      </c>
      <c r="AT37" s="1412">
        <v>1874652</v>
      </c>
      <c r="AU37" s="1412">
        <v>1601925</v>
      </c>
      <c r="AV37" s="1412"/>
      <c r="AW37" s="1412">
        <v>0</v>
      </c>
      <c r="AX37" s="1412"/>
      <c r="AY37" s="1412"/>
      <c r="AZ37" s="1412"/>
      <c r="BA37" s="1412"/>
      <c r="BB37" s="1412">
        <v>0</v>
      </c>
      <c r="BC37" s="1412">
        <v>0</v>
      </c>
      <c r="BD37" s="1412"/>
      <c r="BE37" s="1412">
        <v>0</v>
      </c>
      <c r="BF37" s="1412"/>
      <c r="BG37" s="1412"/>
      <c r="BH37" s="1412"/>
      <c r="BI37" s="1412"/>
      <c r="BJ37" s="1412">
        <v>0</v>
      </c>
      <c r="BK37" s="1412"/>
      <c r="BL37" s="1412">
        <v>0</v>
      </c>
      <c r="BM37" s="1412"/>
      <c r="BN37" s="1412"/>
      <c r="BO37" s="1412"/>
      <c r="BP37" s="1412"/>
      <c r="BQ37" s="1412">
        <v>0</v>
      </c>
      <c r="BR37" s="1412"/>
      <c r="BS37" s="1412">
        <v>0</v>
      </c>
      <c r="BT37" s="1412"/>
      <c r="BU37" s="1412"/>
      <c r="BV37" s="1412"/>
      <c r="BW37" s="1412"/>
      <c r="BX37" s="1412">
        <v>0</v>
      </c>
      <c r="BY37" s="1412"/>
      <c r="BZ37" s="1412"/>
      <c r="CA37" s="1412"/>
      <c r="CB37" s="1412"/>
      <c r="CC37" s="1412"/>
      <c r="CD37" s="1412">
        <v>0</v>
      </c>
      <c r="CE37" s="1412">
        <v>0</v>
      </c>
      <c r="CF37" s="1412"/>
      <c r="CG37" s="1412"/>
      <c r="CH37" s="1412">
        <v>0</v>
      </c>
      <c r="CI37" s="1412"/>
      <c r="CJ37" s="1412"/>
      <c r="CK37" s="1412"/>
      <c r="CL37" s="1412">
        <v>0</v>
      </c>
      <c r="CM37" s="1412"/>
      <c r="CN37" s="1412"/>
      <c r="CO37" s="1412"/>
      <c r="CP37" s="1412"/>
      <c r="CQ37" s="1412">
        <v>0</v>
      </c>
      <c r="CR37" s="1412">
        <v>0</v>
      </c>
      <c r="CS37" s="1412"/>
      <c r="CT37" s="1412"/>
      <c r="CU37" s="1412">
        <v>0</v>
      </c>
      <c r="CV37" s="1412"/>
      <c r="CW37" s="1412"/>
      <c r="CX37" s="1412"/>
      <c r="CY37" s="1412">
        <v>0</v>
      </c>
      <c r="CZ37" s="1412"/>
      <c r="DA37" s="1412">
        <v>0</v>
      </c>
      <c r="DB37" s="1412">
        <v>0</v>
      </c>
      <c r="DC37" s="1412"/>
      <c r="DD37" s="1412"/>
      <c r="DE37" s="1412"/>
      <c r="DF37" s="1412"/>
      <c r="DG37" s="1412"/>
      <c r="DH37" s="1412">
        <v>43558826</v>
      </c>
      <c r="DI37" s="1412">
        <v>6571603</v>
      </c>
      <c r="DJ37" s="1412">
        <v>3010596</v>
      </c>
      <c r="DK37" s="1412">
        <v>2336608</v>
      </c>
      <c r="DL37" s="1412">
        <v>31640019</v>
      </c>
      <c r="DM37" s="1412"/>
      <c r="DN37" s="1412">
        <v>8115601.2899999917</v>
      </c>
      <c r="DO37" s="1412"/>
      <c r="DP37" s="1412"/>
      <c r="DQ37" s="1412">
        <v>170389719.28999999</v>
      </c>
      <c r="DR37" s="1363"/>
      <c r="DS37" s="1363"/>
      <c r="DT37" s="1363">
        <v>0</v>
      </c>
    </row>
    <row r="38" spans="2:124">
      <c r="B38" s="1208">
        <v>42826</v>
      </c>
      <c r="C38" s="1412">
        <v>85638050</v>
      </c>
      <c r="D38" s="1412">
        <v>85638050</v>
      </c>
      <c r="E38" s="1412">
        <v>64327419</v>
      </c>
      <c r="F38" s="1412">
        <v>21310631</v>
      </c>
      <c r="G38" s="1412"/>
      <c r="H38" s="1412"/>
      <c r="I38" s="1412"/>
      <c r="J38" s="1412"/>
      <c r="K38" s="1412"/>
      <c r="L38" s="1412"/>
      <c r="M38" s="1412"/>
      <c r="N38" s="1412"/>
      <c r="O38" s="1412">
        <v>37627100</v>
      </c>
      <c r="P38" s="1412">
        <v>14565870</v>
      </c>
      <c r="Q38" s="1412">
        <v>1852521</v>
      </c>
      <c r="R38" s="1412">
        <v>1162204</v>
      </c>
      <c r="S38" s="1412">
        <v>690317</v>
      </c>
      <c r="T38" s="1412"/>
      <c r="U38" s="1412">
        <v>12713349</v>
      </c>
      <c r="V38" s="1412">
        <v>1726112</v>
      </c>
      <c r="W38" s="1412">
        <v>10987237</v>
      </c>
      <c r="X38" s="1412"/>
      <c r="Y38" s="1412">
        <v>0</v>
      </c>
      <c r="Z38" s="1412"/>
      <c r="AA38" s="1412"/>
      <c r="AB38" s="1412"/>
      <c r="AC38" s="1412">
        <v>0</v>
      </c>
      <c r="AD38" s="1412"/>
      <c r="AE38" s="1412">
        <v>0</v>
      </c>
      <c r="AF38" s="1412"/>
      <c r="AG38" s="1412">
        <v>8695991</v>
      </c>
      <c r="AH38" s="1412">
        <v>6911598</v>
      </c>
      <c r="AI38" s="1412">
        <v>1784393</v>
      </c>
      <c r="AJ38" s="1412"/>
      <c r="AK38" s="1412">
        <v>5990123</v>
      </c>
      <c r="AL38" s="1412">
        <v>5990123</v>
      </c>
      <c r="AM38" s="1412"/>
      <c r="AN38" s="1412"/>
      <c r="AO38" s="1412">
        <v>4645368</v>
      </c>
      <c r="AP38" s="1412">
        <v>4645368</v>
      </c>
      <c r="AQ38" s="1412">
        <v>0</v>
      </c>
      <c r="AR38" s="1412"/>
      <c r="AS38" s="1412">
        <v>3729748</v>
      </c>
      <c r="AT38" s="1412">
        <v>1647484</v>
      </c>
      <c r="AU38" s="1412">
        <v>2082264</v>
      </c>
      <c r="AV38" s="1412"/>
      <c r="AW38" s="1412">
        <v>0</v>
      </c>
      <c r="AX38" s="1412"/>
      <c r="AY38" s="1412"/>
      <c r="AZ38" s="1412"/>
      <c r="BA38" s="1412"/>
      <c r="BB38" s="1412">
        <v>0</v>
      </c>
      <c r="BC38" s="1412">
        <v>0</v>
      </c>
      <c r="BD38" s="1412"/>
      <c r="BE38" s="1412">
        <v>0</v>
      </c>
      <c r="BF38" s="1412"/>
      <c r="BG38" s="1412"/>
      <c r="BH38" s="1412"/>
      <c r="BI38" s="1412"/>
      <c r="BJ38" s="1412">
        <v>0</v>
      </c>
      <c r="BK38" s="1412"/>
      <c r="BL38" s="1412">
        <v>0</v>
      </c>
      <c r="BM38" s="1412"/>
      <c r="BN38" s="1412"/>
      <c r="BO38" s="1412"/>
      <c r="BP38" s="1412"/>
      <c r="BQ38" s="1412">
        <v>0</v>
      </c>
      <c r="BR38" s="1412"/>
      <c r="BS38" s="1412">
        <v>0</v>
      </c>
      <c r="BT38" s="1412"/>
      <c r="BU38" s="1412"/>
      <c r="BV38" s="1412"/>
      <c r="BW38" s="1412"/>
      <c r="BX38" s="1412">
        <v>0</v>
      </c>
      <c r="BY38" s="1412"/>
      <c r="BZ38" s="1412"/>
      <c r="CA38" s="1412"/>
      <c r="CB38" s="1412"/>
      <c r="CC38" s="1412"/>
      <c r="CD38" s="1412">
        <v>0</v>
      </c>
      <c r="CE38" s="1412">
        <v>0</v>
      </c>
      <c r="CF38" s="1412"/>
      <c r="CG38" s="1412"/>
      <c r="CH38" s="1412">
        <v>0</v>
      </c>
      <c r="CI38" s="1412"/>
      <c r="CJ38" s="1412"/>
      <c r="CK38" s="1412"/>
      <c r="CL38" s="1412">
        <v>0</v>
      </c>
      <c r="CM38" s="1412"/>
      <c r="CN38" s="1412"/>
      <c r="CO38" s="1412"/>
      <c r="CP38" s="1412"/>
      <c r="CQ38" s="1412">
        <v>0</v>
      </c>
      <c r="CR38" s="1412">
        <v>0</v>
      </c>
      <c r="CS38" s="1412"/>
      <c r="CT38" s="1412"/>
      <c r="CU38" s="1412">
        <v>0</v>
      </c>
      <c r="CV38" s="1412"/>
      <c r="CW38" s="1412"/>
      <c r="CX38" s="1412"/>
      <c r="CY38" s="1412">
        <v>0</v>
      </c>
      <c r="CZ38" s="1412"/>
      <c r="DA38" s="1412">
        <v>0</v>
      </c>
      <c r="DB38" s="1412">
        <v>0</v>
      </c>
      <c r="DC38" s="1412"/>
      <c r="DD38" s="1412"/>
      <c r="DE38" s="1412"/>
      <c r="DF38" s="1412"/>
      <c r="DG38" s="1412"/>
      <c r="DH38" s="1412">
        <v>44223509</v>
      </c>
      <c r="DI38" s="1412">
        <v>6648238</v>
      </c>
      <c r="DJ38" s="1412">
        <v>2980547</v>
      </c>
      <c r="DK38" s="1412">
        <v>2929030</v>
      </c>
      <c r="DL38" s="1412">
        <v>31665694</v>
      </c>
      <c r="DM38" s="1412"/>
      <c r="DN38" s="1412">
        <v>9549081.9199999869</v>
      </c>
      <c r="DO38" s="1412"/>
      <c r="DP38" s="1412"/>
      <c r="DQ38" s="1412">
        <v>177037740.91999999</v>
      </c>
      <c r="DR38" s="1363"/>
      <c r="DS38" s="1363"/>
      <c r="DT38" s="1363"/>
    </row>
    <row r="39" spans="2:124">
      <c r="B39" s="1208">
        <v>42856</v>
      </c>
      <c r="C39" s="1412">
        <v>89490357</v>
      </c>
      <c r="D39" s="1412">
        <v>89490357</v>
      </c>
      <c r="E39" s="1412">
        <v>64741174</v>
      </c>
      <c r="F39" s="1412">
        <v>24749183</v>
      </c>
      <c r="G39" s="1412"/>
      <c r="H39" s="1412"/>
      <c r="I39" s="1412"/>
      <c r="J39" s="1412"/>
      <c r="K39" s="1412"/>
      <c r="L39" s="1412"/>
      <c r="M39" s="1412"/>
      <c r="N39" s="1412"/>
      <c r="O39" s="1412">
        <v>36992863</v>
      </c>
      <c r="P39" s="1412">
        <v>14468410</v>
      </c>
      <c r="Q39" s="1412">
        <v>1722651</v>
      </c>
      <c r="R39" s="1412">
        <v>1081589</v>
      </c>
      <c r="S39" s="1412">
        <v>641062</v>
      </c>
      <c r="T39" s="1412"/>
      <c r="U39" s="1412">
        <v>12745759</v>
      </c>
      <c r="V39" s="1412">
        <v>3318024</v>
      </c>
      <c r="W39" s="1412">
        <v>9427735</v>
      </c>
      <c r="X39" s="1412"/>
      <c r="Y39" s="1412">
        <v>0</v>
      </c>
      <c r="Z39" s="1412"/>
      <c r="AA39" s="1412"/>
      <c r="AB39" s="1412"/>
      <c r="AC39" s="1412">
        <v>0</v>
      </c>
      <c r="AD39" s="1412"/>
      <c r="AE39" s="1412">
        <v>0</v>
      </c>
      <c r="AF39" s="1412"/>
      <c r="AG39" s="1412">
        <v>7954832</v>
      </c>
      <c r="AH39" s="1412">
        <v>6069143</v>
      </c>
      <c r="AI39" s="1412">
        <v>1885689</v>
      </c>
      <c r="AJ39" s="1412"/>
      <c r="AK39" s="1412">
        <v>5570157</v>
      </c>
      <c r="AL39" s="1412">
        <v>5570157</v>
      </c>
      <c r="AM39" s="1412"/>
      <c r="AN39" s="1412"/>
      <c r="AO39" s="1412">
        <v>5306411</v>
      </c>
      <c r="AP39" s="1412">
        <v>4704836</v>
      </c>
      <c r="AQ39" s="1412">
        <v>601575</v>
      </c>
      <c r="AR39" s="1412"/>
      <c r="AS39" s="1412">
        <v>3693053</v>
      </c>
      <c r="AT39" s="1412">
        <v>1261570</v>
      </c>
      <c r="AU39" s="1412">
        <v>2431483</v>
      </c>
      <c r="AV39" s="1412"/>
      <c r="AW39" s="1412">
        <v>0</v>
      </c>
      <c r="AX39" s="1412"/>
      <c r="AY39" s="1412"/>
      <c r="AZ39" s="1412"/>
      <c r="BA39" s="1412"/>
      <c r="BB39" s="1412">
        <v>0</v>
      </c>
      <c r="BC39" s="1412">
        <v>0</v>
      </c>
      <c r="BD39" s="1412"/>
      <c r="BE39" s="1412">
        <v>0</v>
      </c>
      <c r="BF39" s="1412"/>
      <c r="BG39" s="1412"/>
      <c r="BH39" s="1412"/>
      <c r="BI39" s="1412"/>
      <c r="BJ39" s="1412">
        <v>0</v>
      </c>
      <c r="BK39" s="1412"/>
      <c r="BL39" s="1412">
        <v>0</v>
      </c>
      <c r="BM39" s="1412"/>
      <c r="BN39" s="1412"/>
      <c r="BO39" s="1412"/>
      <c r="BP39" s="1412"/>
      <c r="BQ39" s="1412">
        <v>0</v>
      </c>
      <c r="BR39" s="1412"/>
      <c r="BS39" s="1412">
        <v>0</v>
      </c>
      <c r="BT39" s="1412"/>
      <c r="BU39" s="1412"/>
      <c r="BV39" s="1412"/>
      <c r="BW39" s="1412"/>
      <c r="BX39" s="1412">
        <v>0</v>
      </c>
      <c r="BY39" s="1412"/>
      <c r="BZ39" s="1412"/>
      <c r="CA39" s="1412"/>
      <c r="CB39" s="1412"/>
      <c r="CC39" s="1412"/>
      <c r="CD39" s="1412">
        <v>0</v>
      </c>
      <c r="CE39" s="1412">
        <v>0</v>
      </c>
      <c r="CF39" s="1412"/>
      <c r="CG39" s="1412"/>
      <c r="CH39" s="1412">
        <v>0</v>
      </c>
      <c r="CI39" s="1412"/>
      <c r="CJ39" s="1412"/>
      <c r="CK39" s="1412"/>
      <c r="CL39" s="1412">
        <v>0</v>
      </c>
      <c r="CM39" s="1412"/>
      <c r="CN39" s="1412"/>
      <c r="CO39" s="1412"/>
      <c r="CP39" s="1412"/>
      <c r="CQ39" s="1412">
        <v>0</v>
      </c>
      <c r="CR39" s="1412">
        <v>0</v>
      </c>
      <c r="CS39" s="1412"/>
      <c r="CT39" s="1412"/>
      <c r="CU39" s="1412">
        <v>0</v>
      </c>
      <c r="CV39" s="1412"/>
      <c r="CW39" s="1412"/>
      <c r="CX39" s="1412"/>
      <c r="CY39" s="1412">
        <v>0</v>
      </c>
      <c r="CZ39" s="1412"/>
      <c r="DA39" s="1412">
        <v>0</v>
      </c>
      <c r="DB39" s="1412">
        <v>0</v>
      </c>
      <c r="DC39" s="1412"/>
      <c r="DD39" s="1412"/>
      <c r="DE39" s="1412"/>
      <c r="DF39" s="1412"/>
      <c r="DG39" s="1412"/>
      <c r="DH39" s="1412">
        <v>44842715</v>
      </c>
      <c r="DI39" s="1412">
        <v>6737512</v>
      </c>
      <c r="DJ39" s="1412">
        <v>2945601</v>
      </c>
      <c r="DK39" s="1412">
        <v>3134226</v>
      </c>
      <c r="DL39" s="1412">
        <v>32025376</v>
      </c>
      <c r="DM39" s="1412"/>
      <c r="DN39" s="1412">
        <v>9234604.1100000143</v>
      </c>
      <c r="DO39" s="1412"/>
      <c r="DP39" s="1412"/>
      <c r="DQ39" s="1412">
        <v>180560539.11000001</v>
      </c>
      <c r="DR39" s="1363"/>
      <c r="DS39" s="1363"/>
      <c r="DT39" s="1363">
        <v>0</v>
      </c>
    </row>
    <row r="40" spans="2:124" s="949" customFormat="1" ht="15.6">
      <c r="B40" s="1208">
        <v>42887</v>
      </c>
      <c r="C40" s="1412">
        <v>91088267</v>
      </c>
      <c r="D40" s="1412">
        <v>91088267</v>
      </c>
      <c r="E40" s="1412">
        <v>67869139</v>
      </c>
      <c r="F40" s="1412">
        <v>23219128</v>
      </c>
      <c r="G40" s="1412"/>
      <c r="H40" s="1412"/>
      <c r="I40" s="1412"/>
      <c r="J40" s="1412"/>
      <c r="K40" s="1412"/>
      <c r="L40" s="1412"/>
      <c r="M40" s="1412"/>
      <c r="N40" s="1412"/>
      <c r="O40" s="1412">
        <v>41875045</v>
      </c>
      <c r="P40" s="1412">
        <v>15205393</v>
      </c>
      <c r="Q40" s="1412">
        <v>1787158</v>
      </c>
      <c r="R40" s="1412">
        <v>1257013</v>
      </c>
      <c r="S40" s="1412">
        <v>530145</v>
      </c>
      <c r="T40" s="1412"/>
      <c r="U40" s="1412">
        <v>13418235</v>
      </c>
      <c r="V40" s="1412">
        <v>5900957</v>
      </c>
      <c r="W40" s="1412">
        <v>7517278</v>
      </c>
      <c r="X40" s="1412"/>
      <c r="Y40" s="1412">
        <v>0</v>
      </c>
      <c r="Z40" s="1412"/>
      <c r="AA40" s="1412"/>
      <c r="AB40" s="1412"/>
      <c r="AC40" s="1412">
        <v>3000709</v>
      </c>
      <c r="AD40" s="1412"/>
      <c r="AE40" s="1412">
        <v>3000709</v>
      </c>
      <c r="AF40" s="1412"/>
      <c r="AG40" s="1412">
        <v>4264318</v>
      </c>
      <c r="AH40" s="1412">
        <v>2377347</v>
      </c>
      <c r="AI40" s="1412">
        <v>1886971</v>
      </c>
      <c r="AJ40" s="1412"/>
      <c r="AK40" s="1412">
        <v>5514773</v>
      </c>
      <c r="AL40" s="1412">
        <v>5514773</v>
      </c>
      <c r="AM40" s="1412"/>
      <c r="AN40" s="1412"/>
      <c r="AO40" s="1412">
        <v>5573462</v>
      </c>
      <c r="AP40" s="1412">
        <v>4970137</v>
      </c>
      <c r="AQ40" s="1412">
        <v>603325</v>
      </c>
      <c r="AR40" s="1412"/>
      <c r="AS40" s="1412">
        <v>8316390</v>
      </c>
      <c r="AT40" s="1412">
        <v>5994207</v>
      </c>
      <c r="AU40" s="1412">
        <v>2322183</v>
      </c>
      <c r="AV40" s="1412"/>
      <c r="AW40" s="1412">
        <v>0</v>
      </c>
      <c r="AX40" s="1412"/>
      <c r="AY40" s="1412"/>
      <c r="AZ40" s="1412"/>
      <c r="BA40" s="1412"/>
      <c r="BB40" s="1412">
        <v>0</v>
      </c>
      <c r="BC40" s="1412">
        <v>0</v>
      </c>
      <c r="BD40" s="1412"/>
      <c r="BE40" s="1412">
        <v>0</v>
      </c>
      <c r="BF40" s="1412"/>
      <c r="BG40" s="1412"/>
      <c r="BH40" s="1412"/>
      <c r="BI40" s="1412"/>
      <c r="BJ40" s="1412">
        <v>0</v>
      </c>
      <c r="BK40" s="1412"/>
      <c r="BL40" s="1412">
        <v>0</v>
      </c>
      <c r="BM40" s="1412"/>
      <c r="BN40" s="1412"/>
      <c r="BO40" s="1412"/>
      <c r="BP40" s="1412"/>
      <c r="BQ40" s="1412">
        <v>0</v>
      </c>
      <c r="BR40" s="1412"/>
      <c r="BS40" s="1412">
        <v>0</v>
      </c>
      <c r="BT40" s="1412"/>
      <c r="BU40" s="1412"/>
      <c r="BV40" s="1412"/>
      <c r="BW40" s="1412"/>
      <c r="BX40" s="1412">
        <v>0</v>
      </c>
      <c r="BY40" s="1412"/>
      <c r="BZ40" s="1412"/>
      <c r="CA40" s="1412"/>
      <c r="CB40" s="1412"/>
      <c r="CC40" s="1412"/>
      <c r="CD40" s="1412">
        <v>0</v>
      </c>
      <c r="CE40" s="1412">
        <v>0</v>
      </c>
      <c r="CF40" s="1412"/>
      <c r="CG40" s="1412"/>
      <c r="CH40" s="1412">
        <v>0</v>
      </c>
      <c r="CI40" s="1412"/>
      <c r="CJ40" s="1412"/>
      <c r="CK40" s="1412"/>
      <c r="CL40" s="1412">
        <v>0</v>
      </c>
      <c r="CM40" s="1412"/>
      <c r="CN40" s="1412"/>
      <c r="CO40" s="1412"/>
      <c r="CP40" s="1412"/>
      <c r="CQ40" s="1412">
        <v>0</v>
      </c>
      <c r="CR40" s="1412">
        <v>0</v>
      </c>
      <c r="CS40" s="1412"/>
      <c r="CT40" s="1412"/>
      <c r="CU40" s="1412">
        <v>0</v>
      </c>
      <c r="CV40" s="1412"/>
      <c r="CW40" s="1412"/>
      <c r="CX40" s="1412"/>
      <c r="CY40" s="1412">
        <v>0</v>
      </c>
      <c r="CZ40" s="1412"/>
      <c r="DA40" s="1412">
        <v>0</v>
      </c>
      <c r="DB40" s="1412">
        <v>0</v>
      </c>
      <c r="DC40" s="1412"/>
      <c r="DD40" s="1412"/>
      <c r="DE40" s="1412"/>
      <c r="DF40" s="1412"/>
      <c r="DG40" s="1412"/>
      <c r="DH40" s="1412">
        <v>45505500.120000005</v>
      </c>
      <c r="DI40" s="1412">
        <v>6764789</v>
      </c>
      <c r="DJ40" s="1412">
        <v>2910511</v>
      </c>
      <c r="DK40" s="1412">
        <v>3834206</v>
      </c>
      <c r="DL40" s="1412">
        <v>31995994.120000001</v>
      </c>
      <c r="DM40" s="1412"/>
      <c r="DN40" s="1412">
        <v>10284720</v>
      </c>
      <c r="DO40" s="1412"/>
      <c r="DP40" s="1412"/>
      <c r="DQ40" s="1412">
        <v>188753532.12</v>
      </c>
      <c r="DR40" s="1363"/>
      <c r="DS40" s="1363"/>
      <c r="DT40" s="1363"/>
    </row>
    <row r="41" spans="2:124" s="949" customFormat="1" ht="15.6">
      <c r="B41" s="1208">
        <v>42917</v>
      </c>
      <c r="C41" s="1412">
        <v>80896162</v>
      </c>
      <c r="D41" s="1412">
        <v>80896162</v>
      </c>
      <c r="E41" s="1412">
        <v>64202600</v>
      </c>
      <c r="F41" s="1412">
        <v>16693562</v>
      </c>
      <c r="G41" s="1412"/>
      <c r="H41" s="1412"/>
      <c r="I41" s="1412"/>
      <c r="J41" s="1412"/>
      <c r="K41" s="1412"/>
      <c r="L41" s="1412"/>
      <c r="M41" s="1412"/>
      <c r="N41" s="1412"/>
      <c r="O41" s="1412">
        <v>41375455</v>
      </c>
      <c r="P41" s="1412">
        <v>15177546</v>
      </c>
      <c r="Q41" s="1412">
        <v>1663658</v>
      </c>
      <c r="R41" s="1412">
        <v>993840</v>
      </c>
      <c r="S41" s="1412">
        <v>669818</v>
      </c>
      <c r="T41" s="1412"/>
      <c r="U41" s="1412">
        <v>13513888</v>
      </c>
      <c r="V41" s="1412">
        <v>5971575</v>
      </c>
      <c r="W41" s="1412">
        <v>7542313</v>
      </c>
      <c r="X41" s="1412"/>
      <c r="Y41" s="1412">
        <v>0</v>
      </c>
      <c r="Z41" s="1412"/>
      <c r="AA41" s="1412"/>
      <c r="AB41" s="1412"/>
      <c r="AC41" s="1412">
        <v>0</v>
      </c>
      <c r="AD41" s="1412"/>
      <c r="AE41" s="1412">
        <v>0</v>
      </c>
      <c r="AF41" s="1412"/>
      <c r="AG41" s="1412">
        <v>9087827</v>
      </c>
      <c r="AH41" s="1412">
        <v>7974419</v>
      </c>
      <c r="AI41" s="1412">
        <v>1113408</v>
      </c>
      <c r="AJ41" s="1412"/>
      <c r="AK41" s="1412">
        <v>5771855</v>
      </c>
      <c r="AL41" s="1412">
        <v>5771855</v>
      </c>
      <c r="AM41" s="1412"/>
      <c r="AN41" s="1412"/>
      <c r="AO41" s="1412">
        <v>6658499</v>
      </c>
      <c r="AP41" s="1412">
        <v>6658499</v>
      </c>
      <c r="AQ41" s="1412">
        <v>0</v>
      </c>
      <c r="AR41" s="1412"/>
      <c r="AS41" s="1412">
        <v>4679728</v>
      </c>
      <c r="AT41" s="1412">
        <v>1350982</v>
      </c>
      <c r="AU41" s="1412">
        <v>3328746</v>
      </c>
      <c r="AV41" s="1412"/>
      <c r="AW41" s="1412">
        <v>0</v>
      </c>
      <c r="AX41" s="1412"/>
      <c r="AY41" s="1412"/>
      <c r="AZ41" s="1412"/>
      <c r="BA41" s="1412"/>
      <c r="BB41" s="1412">
        <v>0</v>
      </c>
      <c r="BC41" s="1412">
        <v>0</v>
      </c>
      <c r="BD41" s="1412"/>
      <c r="BE41" s="1412">
        <v>0</v>
      </c>
      <c r="BF41" s="1412"/>
      <c r="BG41" s="1412"/>
      <c r="BH41" s="1412"/>
      <c r="BI41" s="1412"/>
      <c r="BJ41" s="1412">
        <v>0</v>
      </c>
      <c r="BK41" s="1412"/>
      <c r="BL41" s="1412">
        <v>0</v>
      </c>
      <c r="BM41" s="1412"/>
      <c r="BN41" s="1412"/>
      <c r="BO41" s="1412"/>
      <c r="BP41" s="1412"/>
      <c r="BQ41" s="1412">
        <v>0</v>
      </c>
      <c r="BR41" s="1412"/>
      <c r="BS41" s="1412">
        <v>0</v>
      </c>
      <c r="BT41" s="1412"/>
      <c r="BU41" s="1412"/>
      <c r="BV41" s="1412"/>
      <c r="BW41" s="1412"/>
      <c r="BX41" s="1412">
        <v>0</v>
      </c>
      <c r="BY41" s="1412"/>
      <c r="BZ41" s="1412"/>
      <c r="CA41" s="1412"/>
      <c r="CB41" s="1412"/>
      <c r="CC41" s="1412"/>
      <c r="CD41" s="1412">
        <v>0</v>
      </c>
      <c r="CE41" s="1412">
        <v>0</v>
      </c>
      <c r="CF41" s="1412"/>
      <c r="CG41" s="1412"/>
      <c r="CH41" s="1412">
        <v>0</v>
      </c>
      <c r="CI41" s="1412"/>
      <c r="CJ41" s="1412"/>
      <c r="CK41" s="1412"/>
      <c r="CL41" s="1412">
        <v>0</v>
      </c>
      <c r="CM41" s="1412"/>
      <c r="CN41" s="1412"/>
      <c r="CO41" s="1412"/>
      <c r="CP41" s="1412"/>
      <c r="CQ41" s="1412">
        <v>0</v>
      </c>
      <c r="CR41" s="1412">
        <v>0</v>
      </c>
      <c r="CS41" s="1412"/>
      <c r="CT41" s="1412"/>
      <c r="CU41" s="1412">
        <v>0</v>
      </c>
      <c r="CV41" s="1412"/>
      <c r="CW41" s="1412"/>
      <c r="CX41" s="1412"/>
      <c r="CY41" s="1412">
        <v>0</v>
      </c>
      <c r="CZ41" s="1412"/>
      <c r="DA41" s="1412">
        <v>0</v>
      </c>
      <c r="DB41" s="1412">
        <v>0</v>
      </c>
      <c r="DC41" s="1412"/>
      <c r="DD41" s="1412"/>
      <c r="DE41" s="1412"/>
      <c r="DF41" s="1412"/>
      <c r="DG41" s="1412"/>
      <c r="DH41" s="1412">
        <v>46604936</v>
      </c>
      <c r="DI41" s="1412">
        <v>6675370</v>
      </c>
      <c r="DJ41" s="1412">
        <v>2884840</v>
      </c>
      <c r="DK41" s="1412">
        <v>4821952</v>
      </c>
      <c r="DL41" s="1412">
        <v>32222774</v>
      </c>
      <c r="DM41" s="1412"/>
      <c r="DN41" s="1412">
        <v>8798216.6399999857</v>
      </c>
      <c r="DO41" s="1412"/>
      <c r="DP41" s="1412"/>
      <c r="DQ41" s="1412">
        <v>177674769.63999999</v>
      </c>
      <c r="DR41" s="1363"/>
      <c r="DS41" s="1363"/>
      <c r="DT41" s="1363">
        <v>0</v>
      </c>
    </row>
    <row r="42" spans="2:124">
      <c r="B42" s="1208">
        <v>42948</v>
      </c>
      <c r="C42" s="1412">
        <v>89506213</v>
      </c>
      <c r="D42" s="1412">
        <v>89506213</v>
      </c>
      <c r="E42" s="1412">
        <v>68495104</v>
      </c>
      <c r="F42" s="1412">
        <v>21011109</v>
      </c>
      <c r="G42" s="1412"/>
      <c r="H42" s="1412"/>
      <c r="I42" s="1412"/>
      <c r="J42" s="1412"/>
      <c r="K42" s="1412"/>
      <c r="L42" s="1412"/>
      <c r="M42" s="1412"/>
      <c r="N42" s="1412"/>
      <c r="O42" s="1412">
        <v>42554971</v>
      </c>
      <c r="P42" s="1412">
        <v>15589809</v>
      </c>
      <c r="Q42" s="1412">
        <v>1672236</v>
      </c>
      <c r="R42" s="1412">
        <v>1014613</v>
      </c>
      <c r="S42" s="1412">
        <v>657623</v>
      </c>
      <c r="T42" s="1412"/>
      <c r="U42" s="1412">
        <v>13917573</v>
      </c>
      <c r="V42" s="1412">
        <v>2035926</v>
      </c>
      <c r="W42" s="1412">
        <v>11881647</v>
      </c>
      <c r="X42" s="1412"/>
      <c r="Y42" s="1412">
        <v>0</v>
      </c>
      <c r="Z42" s="1412"/>
      <c r="AA42" s="1412"/>
      <c r="AB42" s="1412"/>
      <c r="AC42" s="1412">
        <v>0</v>
      </c>
      <c r="AD42" s="1412"/>
      <c r="AE42" s="1412">
        <v>0</v>
      </c>
      <c r="AF42" s="1412"/>
      <c r="AG42" s="1412">
        <v>5089723</v>
      </c>
      <c r="AH42" s="1412">
        <v>1950595</v>
      </c>
      <c r="AI42" s="1412">
        <v>3139128</v>
      </c>
      <c r="AJ42" s="1412"/>
      <c r="AK42" s="1412">
        <v>5783361</v>
      </c>
      <c r="AL42" s="1412">
        <v>5783361</v>
      </c>
      <c r="AM42" s="1412"/>
      <c r="AN42" s="1412"/>
      <c r="AO42" s="1412">
        <v>6749221</v>
      </c>
      <c r="AP42" s="1412">
        <v>6749221</v>
      </c>
      <c r="AQ42" s="1412">
        <v>0</v>
      </c>
      <c r="AR42" s="1412"/>
      <c r="AS42" s="1412">
        <v>9342857</v>
      </c>
      <c r="AT42" s="1412">
        <v>6022023</v>
      </c>
      <c r="AU42" s="1412">
        <v>3320834</v>
      </c>
      <c r="AV42" s="1412"/>
      <c r="AW42" s="1412">
        <v>0</v>
      </c>
      <c r="AX42" s="1412"/>
      <c r="AY42" s="1412"/>
      <c r="AZ42" s="1412"/>
      <c r="BA42" s="1412"/>
      <c r="BB42" s="1412">
        <v>0</v>
      </c>
      <c r="BC42" s="1412">
        <v>0</v>
      </c>
      <c r="BD42" s="1412"/>
      <c r="BE42" s="1412">
        <v>0</v>
      </c>
      <c r="BF42" s="1412"/>
      <c r="BG42" s="1412"/>
      <c r="BH42" s="1412"/>
      <c r="BI42" s="1412"/>
      <c r="BJ42" s="1412">
        <v>0</v>
      </c>
      <c r="BK42" s="1412"/>
      <c r="BL42" s="1412">
        <v>0</v>
      </c>
      <c r="BM42" s="1412"/>
      <c r="BN42" s="1412"/>
      <c r="BO42" s="1412"/>
      <c r="BP42" s="1412"/>
      <c r="BQ42" s="1412">
        <v>0</v>
      </c>
      <c r="BR42" s="1412"/>
      <c r="BS42" s="1412">
        <v>0</v>
      </c>
      <c r="BT42" s="1412"/>
      <c r="BU42" s="1412"/>
      <c r="BV42" s="1412"/>
      <c r="BW42" s="1412"/>
      <c r="BX42" s="1412">
        <v>0</v>
      </c>
      <c r="BY42" s="1412"/>
      <c r="BZ42" s="1412"/>
      <c r="CA42" s="1412"/>
      <c r="CB42" s="1412"/>
      <c r="CC42" s="1412"/>
      <c r="CD42" s="1412">
        <v>0</v>
      </c>
      <c r="CE42" s="1412">
        <v>0</v>
      </c>
      <c r="CF42" s="1412"/>
      <c r="CG42" s="1412"/>
      <c r="CH42" s="1412">
        <v>0</v>
      </c>
      <c r="CI42" s="1412"/>
      <c r="CJ42" s="1412"/>
      <c r="CK42" s="1412"/>
      <c r="CL42" s="1412">
        <v>0</v>
      </c>
      <c r="CM42" s="1412"/>
      <c r="CN42" s="1412"/>
      <c r="CO42" s="1412"/>
      <c r="CP42" s="1412"/>
      <c r="CQ42" s="1412">
        <v>0</v>
      </c>
      <c r="CR42" s="1412">
        <v>0</v>
      </c>
      <c r="CS42" s="1412"/>
      <c r="CT42" s="1412"/>
      <c r="CU42" s="1412">
        <v>0</v>
      </c>
      <c r="CV42" s="1412"/>
      <c r="CW42" s="1412"/>
      <c r="CX42" s="1412"/>
      <c r="CY42" s="1412">
        <v>0</v>
      </c>
      <c r="CZ42" s="1412"/>
      <c r="DA42" s="1412">
        <v>0</v>
      </c>
      <c r="DB42" s="1412">
        <v>0</v>
      </c>
      <c r="DC42" s="1412"/>
      <c r="DD42" s="1412"/>
      <c r="DE42" s="1412"/>
      <c r="DF42" s="1412"/>
      <c r="DG42" s="1412"/>
      <c r="DH42" s="1412">
        <v>47962485</v>
      </c>
      <c r="DI42" s="1412">
        <v>6754692</v>
      </c>
      <c r="DJ42" s="1412">
        <v>2865656</v>
      </c>
      <c r="DK42" s="1412">
        <v>5914824</v>
      </c>
      <c r="DL42" s="1412">
        <v>32427313</v>
      </c>
      <c r="DM42" s="1412"/>
      <c r="DN42" s="1412">
        <v>9397898.3100000005</v>
      </c>
      <c r="DO42" s="1412"/>
      <c r="DP42" s="1412"/>
      <c r="DQ42" s="1412">
        <v>189421567.31</v>
      </c>
      <c r="DR42" s="1363"/>
      <c r="DS42" s="1363"/>
      <c r="DT42" s="1363"/>
    </row>
    <row r="43" spans="2:124">
      <c r="B43" s="1208">
        <v>42979</v>
      </c>
      <c r="C43" s="1413">
        <v>88309171</v>
      </c>
      <c r="D43" s="1413">
        <v>88309171</v>
      </c>
      <c r="E43" s="1413">
        <v>68798614</v>
      </c>
      <c r="F43" s="1413">
        <v>19510557</v>
      </c>
      <c r="G43" s="1413"/>
      <c r="H43" s="1413"/>
      <c r="I43" s="1413"/>
      <c r="J43" s="1413"/>
      <c r="K43" s="1413"/>
      <c r="L43" s="1413"/>
      <c r="M43" s="1413"/>
      <c r="N43" s="1413"/>
      <c r="O43" s="1413">
        <v>44320304</v>
      </c>
      <c r="P43" s="1413">
        <v>16668834</v>
      </c>
      <c r="Q43" s="1413">
        <v>1610694</v>
      </c>
      <c r="R43" s="1413">
        <v>1358504</v>
      </c>
      <c r="S43" s="1413">
        <v>252190</v>
      </c>
      <c r="T43" s="1413"/>
      <c r="U43" s="1413">
        <v>15058140</v>
      </c>
      <c r="V43" s="1413">
        <v>7081209</v>
      </c>
      <c r="W43" s="1413">
        <v>7976931</v>
      </c>
      <c r="X43" s="1413"/>
      <c r="Y43" s="1413">
        <v>0</v>
      </c>
      <c r="Z43" s="1413"/>
      <c r="AA43" s="1413"/>
      <c r="AB43" s="1413"/>
      <c r="AC43" s="1413">
        <v>0</v>
      </c>
      <c r="AD43" s="1413"/>
      <c r="AE43" s="1413">
        <v>0</v>
      </c>
      <c r="AF43" s="1413"/>
      <c r="AG43" s="1413">
        <v>5602116</v>
      </c>
      <c r="AH43" s="1413">
        <v>5044684</v>
      </c>
      <c r="AI43" s="1413">
        <v>557432</v>
      </c>
      <c r="AJ43" s="1413"/>
      <c r="AK43" s="1413">
        <v>5798293</v>
      </c>
      <c r="AL43" s="1413">
        <v>5798293</v>
      </c>
      <c r="AM43" s="1413"/>
      <c r="AN43" s="1413"/>
      <c r="AO43" s="1413">
        <v>6804747</v>
      </c>
      <c r="AP43" s="1413">
        <v>6804747</v>
      </c>
      <c r="AQ43" s="1413">
        <v>0</v>
      </c>
      <c r="AR43" s="1413"/>
      <c r="AS43" s="1413">
        <v>9446314</v>
      </c>
      <c r="AT43" s="1413">
        <v>7333417</v>
      </c>
      <c r="AU43" s="1413">
        <v>2112897</v>
      </c>
      <c r="AV43" s="1413"/>
      <c r="AW43" s="1413">
        <v>0</v>
      </c>
      <c r="AX43" s="1413"/>
      <c r="AY43" s="1413"/>
      <c r="AZ43" s="1413"/>
      <c r="BA43" s="1413"/>
      <c r="BB43" s="1413">
        <v>0</v>
      </c>
      <c r="BC43" s="1413">
        <v>0</v>
      </c>
      <c r="BD43" s="1413"/>
      <c r="BE43" s="1413">
        <v>0</v>
      </c>
      <c r="BF43" s="1413"/>
      <c r="BG43" s="1413"/>
      <c r="BH43" s="1413"/>
      <c r="BI43" s="1413"/>
      <c r="BJ43" s="1413">
        <v>0</v>
      </c>
      <c r="BK43" s="1413"/>
      <c r="BL43" s="1413">
        <v>0</v>
      </c>
      <c r="BM43" s="1413"/>
      <c r="BN43" s="1413"/>
      <c r="BO43" s="1413"/>
      <c r="BP43" s="1413"/>
      <c r="BQ43" s="1413">
        <v>0</v>
      </c>
      <c r="BR43" s="1413"/>
      <c r="BS43" s="1413">
        <v>0</v>
      </c>
      <c r="BT43" s="1413"/>
      <c r="BU43" s="1413"/>
      <c r="BV43" s="1413"/>
      <c r="BW43" s="1413"/>
      <c r="BX43" s="1413">
        <v>0</v>
      </c>
      <c r="BY43" s="1413"/>
      <c r="BZ43" s="1413"/>
      <c r="CA43" s="1413"/>
      <c r="CB43" s="1413"/>
      <c r="CC43" s="1413"/>
      <c r="CD43" s="1413">
        <v>0</v>
      </c>
      <c r="CE43" s="1413">
        <v>0</v>
      </c>
      <c r="CF43" s="1413"/>
      <c r="CG43" s="1413"/>
      <c r="CH43" s="1413">
        <v>0</v>
      </c>
      <c r="CI43" s="1413"/>
      <c r="CJ43" s="1413"/>
      <c r="CK43" s="1413"/>
      <c r="CL43" s="1413">
        <v>0</v>
      </c>
      <c r="CM43" s="1413"/>
      <c r="CN43" s="1413"/>
      <c r="CO43" s="1413"/>
      <c r="CP43" s="1413"/>
      <c r="CQ43" s="1413">
        <v>0</v>
      </c>
      <c r="CR43" s="1413">
        <v>0</v>
      </c>
      <c r="CS43" s="1413"/>
      <c r="CT43" s="1413"/>
      <c r="CU43" s="1413">
        <v>0</v>
      </c>
      <c r="CV43" s="1413"/>
      <c r="CW43" s="1413"/>
      <c r="CX43" s="1413"/>
      <c r="CY43" s="1413">
        <v>0</v>
      </c>
      <c r="CZ43" s="1413"/>
      <c r="DA43" s="1413">
        <v>0</v>
      </c>
      <c r="DB43" s="1413">
        <v>0</v>
      </c>
      <c r="DC43" s="1413"/>
      <c r="DD43" s="1413"/>
      <c r="DE43" s="1413"/>
      <c r="DF43" s="1413"/>
      <c r="DG43" s="1413"/>
      <c r="DH43" s="1413">
        <v>50250917</v>
      </c>
      <c r="DI43" s="1413">
        <v>6879726</v>
      </c>
      <c r="DJ43" s="1413">
        <v>2857730</v>
      </c>
      <c r="DK43" s="1413">
        <v>6854803</v>
      </c>
      <c r="DL43" s="1413">
        <v>33658658</v>
      </c>
      <c r="DM43" s="1413"/>
      <c r="DN43" s="1413">
        <v>10513927.029999999</v>
      </c>
      <c r="DO43" s="1413"/>
      <c r="DP43" s="1413"/>
      <c r="DQ43" s="1413">
        <v>193394319.03</v>
      </c>
      <c r="DR43" s="1364"/>
      <c r="DS43" s="1364"/>
      <c r="DT43" s="1364"/>
    </row>
    <row r="44" spans="2:124">
      <c r="B44" s="1211">
        <v>43009</v>
      </c>
      <c r="C44" s="1414">
        <v>86940666</v>
      </c>
      <c r="D44" s="1414">
        <v>86940666</v>
      </c>
      <c r="E44" s="1414">
        <v>69011822</v>
      </c>
      <c r="F44" s="1414">
        <v>17928844</v>
      </c>
      <c r="G44" s="1414"/>
      <c r="H44" s="1414"/>
      <c r="I44" s="1414"/>
      <c r="J44" s="1414"/>
      <c r="K44" s="1414"/>
      <c r="L44" s="1414"/>
      <c r="M44" s="1414"/>
      <c r="N44" s="1414"/>
      <c r="O44" s="1414">
        <v>52314191</v>
      </c>
      <c r="P44" s="1414">
        <v>25856227</v>
      </c>
      <c r="Q44" s="1414">
        <v>1697153</v>
      </c>
      <c r="R44" s="1414">
        <v>1126458</v>
      </c>
      <c r="S44" s="1414">
        <v>570695</v>
      </c>
      <c r="T44" s="1414"/>
      <c r="U44" s="1414">
        <v>24159074</v>
      </c>
      <c r="V44" s="1414">
        <v>6674643</v>
      </c>
      <c r="W44" s="1414">
        <v>17484431</v>
      </c>
      <c r="X44" s="1414"/>
      <c r="Y44" s="1414">
        <v>0</v>
      </c>
      <c r="Z44" s="1414"/>
      <c r="AA44" s="1414"/>
      <c r="AB44" s="1414"/>
      <c r="AC44" s="1414">
        <v>0</v>
      </c>
      <c r="AD44" s="1414"/>
      <c r="AE44" s="1414">
        <v>0</v>
      </c>
      <c r="AF44" s="1414"/>
      <c r="AG44" s="1414">
        <v>9471214</v>
      </c>
      <c r="AH44" s="1414">
        <v>7180864</v>
      </c>
      <c r="AI44" s="1414">
        <v>2290350</v>
      </c>
      <c r="AJ44" s="1414"/>
      <c r="AK44" s="1414">
        <v>5797165</v>
      </c>
      <c r="AL44" s="1414">
        <v>5797165</v>
      </c>
      <c r="AM44" s="1414"/>
      <c r="AN44" s="1414"/>
      <c r="AO44" s="1414">
        <v>6850866</v>
      </c>
      <c r="AP44" s="1414">
        <v>6850866</v>
      </c>
      <c r="AQ44" s="1414">
        <v>0</v>
      </c>
      <c r="AR44" s="1414"/>
      <c r="AS44" s="1414">
        <v>4338719</v>
      </c>
      <c r="AT44" s="1414">
        <v>2256007</v>
      </c>
      <c r="AU44" s="1414">
        <v>2082712</v>
      </c>
      <c r="AV44" s="1414"/>
      <c r="AW44" s="1414">
        <v>0</v>
      </c>
      <c r="AX44" s="1414"/>
      <c r="AY44" s="1414"/>
      <c r="AZ44" s="1414"/>
      <c r="BA44" s="1414"/>
      <c r="BB44" s="1414">
        <v>0</v>
      </c>
      <c r="BC44" s="1414">
        <v>0</v>
      </c>
      <c r="BD44" s="1414"/>
      <c r="BE44" s="1414">
        <v>0</v>
      </c>
      <c r="BF44" s="1414"/>
      <c r="BG44" s="1414"/>
      <c r="BH44" s="1414"/>
      <c r="BI44" s="1414"/>
      <c r="BJ44" s="1414">
        <v>0</v>
      </c>
      <c r="BK44" s="1414"/>
      <c r="BL44" s="1414">
        <v>0</v>
      </c>
      <c r="BM44" s="1414"/>
      <c r="BN44" s="1414"/>
      <c r="BO44" s="1414"/>
      <c r="BP44" s="1414"/>
      <c r="BQ44" s="1414">
        <v>0</v>
      </c>
      <c r="BR44" s="1414"/>
      <c r="BS44" s="1414">
        <v>0</v>
      </c>
      <c r="BT44" s="1414"/>
      <c r="BU44" s="1414"/>
      <c r="BV44" s="1414"/>
      <c r="BW44" s="1414"/>
      <c r="BX44" s="1414">
        <v>0</v>
      </c>
      <c r="BY44" s="1414"/>
      <c r="BZ44" s="1414"/>
      <c r="CA44" s="1414"/>
      <c r="CB44" s="1414"/>
      <c r="CC44" s="1414"/>
      <c r="CD44" s="1414">
        <v>0</v>
      </c>
      <c r="CE44" s="1414">
        <v>0</v>
      </c>
      <c r="CF44" s="1414"/>
      <c r="CG44" s="1414"/>
      <c r="CH44" s="1414">
        <v>0</v>
      </c>
      <c r="CI44" s="1414"/>
      <c r="CJ44" s="1414"/>
      <c r="CK44" s="1414"/>
      <c r="CL44" s="1414">
        <v>0</v>
      </c>
      <c r="CM44" s="1414"/>
      <c r="CN44" s="1414"/>
      <c r="CO44" s="1414"/>
      <c r="CP44" s="1414"/>
      <c r="CQ44" s="1414">
        <v>0</v>
      </c>
      <c r="CR44" s="1414">
        <v>0</v>
      </c>
      <c r="CS44" s="1414"/>
      <c r="CT44" s="1414"/>
      <c r="CU44" s="1414">
        <v>0</v>
      </c>
      <c r="CV44" s="1414"/>
      <c r="CW44" s="1414"/>
      <c r="CX44" s="1414"/>
      <c r="CY44" s="1414">
        <v>0</v>
      </c>
      <c r="CZ44" s="1414"/>
      <c r="DA44" s="1414">
        <v>0</v>
      </c>
      <c r="DB44" s="1414">
        <v>0</v>
      </c>
      <c r="DC44" s="1414"/>
      <c r="DD44" s="1414"/>
      <c r="DE44" s="1414"/>
      <c r="DF44" s="1414"/>
      <c r="DG44" s="1414"/>
      <c r="DH44" s="1414">
        <v>53419145</v>
      </c>
      <c r="DI44" s="1414">
        <v>6758261</v>
      </c>
      <c r="DJ44" s="1414">
        <v>2835460</v>
      </c>
      <c r="DK44" s="1414">
        <v>8098470</v>
      </c>
      <c r="DL44" s="1414">
        <v>35726954</v>
      </c>
      <c r="DM44" s="1414"/>
      <c r="DN44" s="1414">
        <v>10636894.74</v>
      </c>
      <c r="DO44" s="1414"/>
      <c r="DP44" s="1414"/>
      <c r="DQ44" s="1414">
        <v>203310896.74000001</v>
      </c>
      <c r="DR44" s="1365"/>
      <c r="DS44" s="1365"/>
      <c r="DT44" s="1365"/>
    </row>
    <row r="45" spans="2:124" s="1366" customFormat="1">
      <c r="B45" s="1367">
        <v>43040</v>
      </c>
      <c r="C45" s="1417">
        <v>97477577</v>
      </c>
      <c r="D45" s="1417">
        <v>97477577</v>
      </c>
      <c r="E45" s="1417">
        <v>73304162</v>
      </c>
      <c r="F45" s="1417">
        <v>24173415</v>
      </c>
      <c r="G45" s="1417"/>
      <c r="H45" s="1417"/>
      <c r="I45" s="1417"/>
      <c r="J45" s="1417"/>
      <c r="K45" s="1417"/>
      <c r="L45" s="1417"/>
      <c r="M45" s="1417"/>
      <c r="N45" s="1417"/>
      <c r="O45" s="1417">
        <v>52341375</v>
      </c>
      <c r="P45" s="1417">
        <v>24863850</v>
      </c>
      <c r="Q45" s="1417">
        <v>1186347</v>
      </c>
      <c r="R45" s="1417">
        <v>711023</v>
      </c>
      <c r="S45" s="1417">
        <v>475324</v>
      </c>
      <c r="T45" s="1417"/>
      <c r="U45" s="1417">
        <v>23677503</v>
      </c>
      <c r="V45" s="1417">
        <v>4215048</v>
      </c>
      <c r="W45" s="1417">
        <v>19462455</v>
      </c>
      <c r="X45" s="1417"/>
      <c r="Y45" s="1417">
        <v>0</v>
      </c>
      <c r="Z45" s="1417"/>
      <c r="AA45" s="1417"/>
      <c r="AB45" s="1417"/>
      <c r="AC45" s="1417">
        <v>0</v>
      </c>
      <c r="AD45" s="1417"/>
      <c r="AE45" s="1417">
        <v>0</v>
      </c>
      <c r="AF45" s="1417"/>
      <c r="AG45" s="1417">
        <v>11883467</v>
      </c>
      <c r="AH45" s="1417">
        <v>10366779</v>
      </c>
      <c r="AI45" s="1417">
        <v>1516688</v>
      </c>
      <c r="AJ45" s="1417"/>
      <c r="AK45" s="1417">
        <v>5795536</v>
      </c>
      <c r="AL45" s="1417">
        <v>5795536</v>
      </c>
      <c r="AM45" s="1417"/>
      <c r="AN45" s="1417"/>
      <c r="AO45" s="1417">
        <v>5386079</v>
      </c>
      <c r="AP45" s="1417">
        <v>5386079</v>
      </c>
      <c r="AQ45" s="1417">
        <v>0</v>
      </c>
      <c r="AR45" s="1417"/>
      <c r="AS45" s="1417">
        <v>4412443</v>
      </c>
      <c r="AT45" s="1417">
        <v>911424</v>
      </c>
      <c r="AU45" s="1417">
        <v>3501019</v>
      </c>
      <c r="AV45" s="1417"/>
      <c r="AW45" s="1417">
        <v>0</v>
      </c>
      <c r="AX45" s="1417"/>
      <c r="AY45" s="1417"/>
      <c r="AZ45" s="1417"/>
      <c r="BA45" s="1417"/>
      <c r="BB45" s="1417">
        <v>0</v>
      </c>
      <c r="BC45" s="1417">
        <v>0</v>
      </c>
      <c r="BD45" s="1417"/>
      <c r="BE45" s="1417">
        <v>0</v>
      </c>
      <c r="BF45" s="1417"/>
      <c r="BG45" s="1417"/>
      <c r="BH45" s="1417"/>
      <c r="BI45" s="1417"/>
      <c r="BJ45" s="1417">
        <v>0</v>
      </c>
      <c r="BK45" s="1417"/>
      <c r="BL45" s="1417">
        <v>0</v>
      </c>
      <c r="BM45" s="1417"/>
      <c r="BN45" s="1417"/>
      <c r="BO45" s="1417"/>
      <c r="BP45" s="1417"/>
      <c r="BQ45" s="1417">
        <v>0</v>
      </c>
      <c r="BR45" s="1417"/>
      <c r="BS45" s="1417">
        <v>0</v>
      </c>
      <c r="BT45" s="1417"/>
      <c r="BU45" s="1417"/>
      <c r="BV45" s="1417"/>
      <c r="BW45" s="1417"/>
      <c r="BX45" s="1417">
        <v>0</v>
      </c>
      <c r="BY45" s="1417"/>
      <c r="BZ45" s="1417"/>
      <c r="CA45" s="1417"/>
      <c r="CB45" s="1417"/>
      <c r="CC45" s="1417"/>
      <c r="CD45" s="1417">
        <v>0</v>
      </c>
      <c r="CE45" s="1417">
        <v>0</v>
      </c>
      <c r="CF45" s="1417"/>
      <c r="CG45" s="1417"/>
      <c r="CH45" s="1417">
        <v>0</v>
      </c>
      <c r="CI45" s="1417"/>
      <c r="CJ45" s="1417"/>
      <c r="CK45" s="1417"/>
      <c r="CL45" s="1417">
        <v>0</v>
      </c>
      <c r="CM45" s="1417"/>
      <c r="CN45" s="1417"/>
      <c r="CO45" s="1417"/>
      <c r="CP45" s="1417"/>
      <c r="CQ45" s="1417">
        <v>0</v>
      </c>
      <c r="CR45" s="1417">
        <v>0</v>
      </c>
      <c r="CS45" s="1417"/>
      <c r="CT45" s="1417"/>
      <c r="CU45" s="1417">
        <v>0</v>
      </c>
      <c r="CV45" s="1417"/>
      <c r="CW45" s="1417"/>
      <c r="CX45" s="1417"/>
      <c r="CY45" s="1417">
        <v>0</v>
      </c>
      <c r="CZ45" s="1417"/>
      <c r="DA45" s="1417">
        <v>0</v>
      </c>
      <c r="DB45" s="1417">
        <v>0</v>
      </c>
      <c r="DC45" s="1417"/>
      <c r="DD45" s="1417"/>
      <c r="DE45" s="1417"/>
      <c r="DF45" s="1417"/>
      <c r="DG45" s="1417"/>
      <c r="DH45" s="1417">
        <v>53042917</v>
      </c>
      <c r="DI45" s="1417">
        <v>6839561</v>
      </c>
      <c r="DJ45" s="1417">
        <v>2819147</v>
      </c>
      <c r="DK45" s="1417">
        <v>9369164</v>
      </c>
      <c r="DL45" s="1417">
        <v>34015045</v>
      </c>
      <c r="DM45" s="1417"/>
      <c r="DN45" s="1417">
        <v>10957352.15</v>
      </c>
      <c r="DO45" s="1417"/>
      <c r="DP45" s="1417"/>
      <c r="DQ45" s="1417">
        <v>213819221.15000001</v>
      </c>
      <c r="DR45" s="1371"/>
      <c r="DS45" s="1371"/>
      <c r="DT45" s="1371"/>
    </row>
    <row r="46" spans="2:124" s="1358" customFormat="1">
      <c r="B46" s="1359">
        <v>43070</v>
      </c>
      <c r="C46" s="1409">
        <v>110028286</v>
      </c>
      <c r="D46" s="1409">
        <v>110028286</v>
      </c>
      <c r="E46" s="1409">
        <v>77940481</v>
      </c>
      <c r="F46" s="1409">
        <v>32087805</v>
      </c>
      <c r="G46" s="1409"/>
      <c r="H46" s="1409"/>
      <c r="I46" s="1409"/>
      <c r="J46" s="1409"/>
      <c r="K46" s="1409"/>
      <c r="L46" s="1409"/>
      <c r="M46" s="1409"/>
      <c r="N46" s="1409"/>
      <c r="O46" s="1409">
        <v>49500604</v>
      </c>
      <c r="P46" s="1409">
        <v>22673501</v>
      </c>
      <c r="Q46" s="1409">
        <v>1454568</v>
      </c>
      <c r="R46" s="1409">
        <v>1315113</v>
      </c>
      <c r="S46" s="1409">
        <v>139455</v>
      </c>
      <c r="T46" s="1409"/>
      <c r="U46" s="1409">
        <v>21218933</v>
      </c>
      <c r="V46" s="1409">
        <v>6356934</v>
      </c>
      <c r="W46" s="1409">
        <v>14861999</v>
      </c>
      <c r="X46" s="1409"/>
      <c r="Y46" s="1409">
        <v>0</v>
      </c>
      <c r="Z46" s="1409"/>
      <c r="AA46" s="1409"/>
      <c r="AB46" s="1409"/>
      <c r="AC46" s="1409">
        <v>0</v>
      </c>
      <c r="AD46" s="1409"/>
      <c r="AE46" s="1409">
        <v>0</v>
      </c>
      <c r="AF46" s="1409"/>
      <c r="AG46" s="1409">
        <v>12184585</v>
      </c>
      <c r="AH46" s="1409">
        <v>9862823</v>
      </c>
      <c r="AI46" s="1409">
        <v>2321762</v>
      </c>
      <c r="AJ46" s="1409"/>
      <c r="AK46" s="1409">
        <v>5989693</v>
      </c>
      <c r="AL46" s="1409">
        <v>5989693</v>
      </c>
      <c r="AM46" s="1409"/>
      <c r="AN46" s="1409"/>
      <c r="AO46" s="1409">
        <v>4819465</v>
      </c>
      <c r="AP46" s="1409">
        <v>4272090</v>
      </c>
      <c r="AQ46" s="1409">
        <v>547375</v>
      </c>
      <c r="AR46" s="1409"/>
      <c r="AS46" s="1409">
        <v>3833360</v>
      </c>
      <c r="AT46" s="1409">
        <v>1489939</v>
      </c>
      <c r="AU46" s="1409">
        <v>2343421</v>
      </c>
      <c r="AV46" s="1409"/>
      <c r="AW46" s="1409">
        <v>0</v>
      </c>
      <c r="AX46" s="1409"/>
      <c r="AY46" s="1409"/>
      <c r="AZ46" s="1409"/>
      <c r="BA46" s="1409"/>
      <c r="BB46" s="1409">
        <v>0</v>
      </c>
      <c r="BC46" s="1409">
        <v>0</v>
      </c>
      <c r="BD46" s="1409"/>
      <c r="BE46" s="1409">
        <v>0</v>
      </c>
      <c r="BF46" s="1409"/>
      <c r="BG46" s="1409"/>
      <c r="BH46" s="1409"/>
      <c r="BI46" s="1409"/>
      <c r="BJ46" s="1409">
        <v>0</v>
      </c>
      <c r="BK46" s="1409"/>
      <c r="BL46" s="1409">
        <v>0</v>
      </c>
      <c r="BM46" s="1409"/>
      <c r="BN46" s="1409"/>
      <c r="BO46" s="1409"/>
      <c r="BP46" s="1409"/>
      <c r="BQ46" s="1409">
        <v>0</v>
      </c>
      <c r="BR46" s="1409"/>
      <c r="BS46" s="1409">
        <v>0</v>
      </c>
      <c r="BT46" s="1409"/>
      <c r="BU46" s="1409"/>
      <c r="BV46" s="1409"/>
      <c r="BW46" s="1409"/>
      <c r="BX46" s="1409">
        <v>0</v>
      </c>
      <c r="BY46" s="1409"/>
      <c r="BZ46" s="1409"/>
      <c r="CA46" s="1409"/>
      <c r="CB46" s="1409"/>
      <c r="CC46" s="1409"/>
      <c r="CD46" s="1409">
        <v>0</v>
      </c>
      <c r="CE46" s="1409">
        <v>0</v>
      </c>
      <c r="CF46" s="1409"/>
      <c r="CG46" s="1409"/>
      <c r="CH46" s="1409">
        <v>0</v>
      </c>
      <c r="CI46" s="1409"/>
      <c r="CJ46" s="1409"/>
      <c r="CK46" s="1409"/>
      <c r="CL46" s="1409">
        <v>0</v>
      </c>
      <c r="CM46" s="1409"/>
      <c r="CN46" s="1409"/>
      <c r="CO46" s="1409"/>
      <c r="CP46" s="1409"/>
      <c r="CQ46" s="1409">
        <v>0</v>
      </c>
      <c r="CR46" s="1409">
        <v>0</v>
      </c>
      <c r="CS46" s="1409"/>
      <c r="CT46" s="1409"/>
      <c r="CU46" s="1409">
        <v>0</v>
      </c>
      <c r="CV46" s="1409"/>
      <c r="CW46" s="1409"/>
      <c r="CX46" s="1409"/>
      <c r="CY46" s="1409">
        <v>0</v>
      </c>
      <c r="CZ46" s="1409"/>
      <c r="DA46" s="1409">
        <v>0</v>
      </c>
      <c r="DB46" s="1409">
        <v>0</v>
      </c>
      <c r="DC46" s="1409"/>
      <c r="DD46" s="1409"/>
      <c r="DE46" s="1409"/>
      <c r="DF46" s="1409"/>
      <c r="DG46" s="1409"/>
      <c r="DH46" s="1409">
        <v>54449964.57</v>
      </c>
      <c r="DI46" s="1409">
        <v>6918830</v>
      </c>
      <c r="DJ46" s="1409">
        <v>2820797</v>
      </c>
      <c r="DK46" s="1409">
        <v>11352959</v>
      </c>
      <c r="DL46" s="1409">
        <v>33357378.57</v>
      </c>
      <c r="DM46" s="1409"/>
      <c r="DN46" s="1409">
        <v>12728165</v>
      </c>
      <c r="DO46" s="1409"/>
      <c r="DP46" s="1409"/>
      <c r="DQ46" s="1409">
        <v>226707019.56999999</v>
      </c>
      <c r="DR46" s="1360"/>
      <c r="DS46" s="1360"/>
      <c r="DT46" s="1360"/>
    </row>
    <row r="47" spans="2:124" s="1366" customFormat="1">
      <c r="C47" s="1417"/>
      <c r="D47" s="1417"/>
      <c r="E47" s="1417"/>
      <c r="F47" s="1417"/>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c r="DA47" s="1417"/>
      <c r="DB47" s="1417"/>
      <c r="DC47" s="1417"/>
      <c r="DD47" s="1417"/>
      <c r="DE47" s="1417"/>
      <c r="DF47" s="1417"/>
      <c r="DG47" s="1417"/>
      <c r="DH47" s="1417"/>
      <c r="DI47" s="1417"/>
      <c r="DJ47" s="1417"/>
      <c r="DK47" s="1417"/>
      <c r="DL47" s="1417"/>
      <c r="DM47" s="1417"/>
      <c r="DN47" s="1417"/>
      <c r="DO47" s="1417"/>
      <c r="DP47" s="1417"/>
      <c r="DQ47" s="1417"/>
      <c r="DR47" s="1371"/>
      <c r="DS47" s="1371"/>
      <c r="DT47" s="1371"/>
    </row>
    <row r="48" spans="2:124" s="1366" customFormat="1">
      <c r="C48" s="1417"/>
      <c r="D48" s="1417"/>
      <c r="E48" s="1417"/>
      <c r="F48" s="1417"/>
      <c r="G48" s="1417"/>
      <c r="H48" s="1417"/>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c r="AJ48" s="1417"/>
      <c r="AK48" s="1417"/>
      <c r="AL48" s="1417"/>
      <c r="AM48" s="1417"/>
      <c r="AN48" s="1417"/>
      <c r="AO48" s="1417"/>
      <c r="AP48" s="1417"/>
      <c r="AQ48" s="1417"/>
      <c r="AR48" s="1417"/>
      <c r="AS48" s="1417"/>
      <c r="AT48" s="1417"/>
      <c r="AU48" s="1417"/>
      <c r="AV48" s="1417"/>
      <c r="AW48" s="1417"/>
      <c r="AX48" s="1417"/>
      <c r="AY48" s="1417"/>
      <c r="AZ48" s="1417"/>
      <c r="BA48" s="1417"/>
      <c r="BB48" s="1417"/>
      <c r="BC48" s="1417"/>
      <c r="BD48" s="1417"/>
      <c r="BE48" s="1417"/>
      <c r="BF48" s="1417"/>
      <c r="BG48" s="1417"/>
      <c r="BH48" s="1417"/>
      <c r="BI48" s="1417"/>
      <c r="BJ48" s="1417"/>
      <c r="BK48" s="1417"/>
      <c r="BL48" s="1417"/>
      <c r="BM48" s="1417"/>
      <c r="BN48" s="1417"/>
      <c r="BO48" s="1417"/>
      <c r="BP48" s="1417"/>
      <c r="BQ48" s="1417"/>
      <c r="BR48" s="1417"/>
      <c r="BS48" s="1417"/>
      <c r="BT48" s="1417"/>
      <c r="BU48" s="1417"/>
      <c r="BV48" s="1417"/>
      <c r="BW48" s="1417"/>
      <c r="BX48" s="1417"/>
      <c r="BY48" s="1417"/>
      <c r="BZ48" s="1417"/>
      <c r="CA48" s="1417"/>
      <c r="CB48" s="1417"/>
      <c r="CC48" s="1417"/>
      <c r="CD48" s="1417"/>
      <c r="CE48" s="1417"/>
      <c r="CF48" s="1417"/>
      <c r="CG48" s="1417"/>
      <c r="CH48" s="1417"/>
      <c r="CI48" s="1417"/>
      <c r="CJ48" s="1417"/>
      <c r="CK48" s="1417"/>
      <c r="CL48" s="1417"/>
      <c r="CM48" s="1417"/>
      <c r="CN48" s="1417"/>
      <c r="CO48" s="1417"/>
      <c r="CP48" s="1417"/>
      <c r="CQ48" s="1417"/>
      <c r="CR48" s="1417"/>
      <c r="CS48" s="1417"/>
      <c r="CT48" s="1417"/>
      <c r="CU48" s="1417"/>
      <c r="CV48" s="1417"/>
      <c r="CW48" s="1417"/>
      <c r="CX48" s="1417"/>
      <c r="CY48" s="1417"/>
      <c r="CZ48" s="1417"/>
      <c r="DA48" s="1417"/>
      <c r="DB48" s="1417"/>
      <c r="DC48" s="1417"/>
      <c r="DD48" s="1417"/>
      <c r="DE48" s="1417"/>
      <c r="DF48" s="1417"/>
      <c r="DG48" s="1417"/>
      <c r="DH48" s="1417"/>
      <c r="DI48" s="1417"/>
      <c r="DJ48" s="1417"/>
      <c r="DK48" s="1417"/>
      <c r="DL48" s="1417"/>
      <c r="DM48" s="1417"/>
      <c r="DN48" s="1417"/>
      <c r="DO48" s="1417"/>
      <c r="DP48" s="1417"/>
      <c r="DQ48" s="1417"/>
      <c r="DR48" s="1371"/>
      <c r="DS48" s="1371"/>
      <c r="DT48" s="1371"/>
    </row>
    <row r="49" spans="2:124" s="1366" customFormat="1">
      <c r="B49" s="1359">
        <v>43101</v>
      </c>
      <c r="C49" s="1417">
        <v>94159842</v>
      </c>
      <c r="D49" s="1417">
        <v>94159842</v>
      </c>
      <c r="E49" s="1417">
        <v>72261790</v>
      </c>
      <c r="F49" s="1417">
        <v>21898052</v>
      </c>
      <c r="G49" s="1417"/>
      <c r="H49" s="1417"/>
      <c r="I49" s="1417"/>
      <c r="J49" s="1417"/>
      <c r="K49" s="1417"/>
      <c r="L49" s="1417"/>
      <c r="M49" s="1417"/>
      <c r="N49" s="1417"/>
      <c r="O49" s="1417">
        <v>48317822</v>
      </c>
      <c r="P49" s="1417">
        <v>22915699</v>
      </c>
      <c r="Q49" s="1417">
        <v>1571024</v>
      </c>
      <c r="R49" s="1417">
        <v>1044293</v>
      </c>
      <c r="S49" s="1417">
        <v>526731</v>
      </c>
      <c r="T49" s="1417"/>
      <c r="U49" s="1417">
        <v>21344675</v>
      </c>
      <c r="V49" s="1417">
        <v>6479299</v>
      </c>
      <c r="W49" s="1417">
        <v>14865376</v>
      </c>
      <c r="X49" s="1417"/>
      <c r="Y49" s="1417">
        <v>0</v>
      </c>
      <c r="Z49" s="1417"/>
      <c r="AA49" s="1417"/>
      <c r="AB49" s="1417"/>
      <c r="AC49" s="1417">
        <v>0</v>
      </c>
      <c r="AD49" s="1417"/>
      <c r="AE49" s="1417">
        <v>0</v>
      </c>
      <c r="AF49" s="1417"/>
      <c r="AG49" s="1417">
        <v>10167844</v>
      </c>
      <c r="AH49" s="1417">
        <v>8746945</v>
      </c>
      <c r="AI49" s="1417">
        <v>1420899</v>
      </c>
      <c r="AJ49" s="1417"/>
      <c r="AK49" s="1417">
        <v>5949059</v>
      </c>
      <c r="AL49" s="1417">
        <v>5949059</v>
      </c>
      <c r="AM49" s="1417"/>
      <c r="AN49" s="1417"/>
      <c r="AO49" s="1417">
        <v>4823860</v>
      </c>
      <c r="AP49" s="1417">
        <v>4770618</v>
      </c>
      <c r="AQ49" s="1417">
        <v>53242</v>
      </c>
      <c r="AR49" s="1417"/>
      <c r="AS49" s="1417">
        <v>4461360</v>
      </c>
      <c r="AT49" s="1417">
        <v>1503369</v>
      </c>
      <c r="AU49" s="1417">
        <v>2957991</v>
      </c>
      <c r="AV49" s="1417"/>
      <c r="AW49" s="1417">
        <v>0</v>
      </c>
      <c r="AX49" s="1417"/>
      <c r="AY49" s="1417"/>
      <c r="AZ49" s="1417"/>
      <c r="BA49" s="1417"/>
      <c r="BB49" s="1417">
        <v>0</v>
      </c>
      <c r="BC49" s="1417">
        <v>0</v>
      </c>
      <c r="BD49" s="1417"/>
      <c r="BE49" s="1417">
        <v>0</v>
      </c>
      <c r="BF49" s="1417"/>
      <c r="BG49" s="1417"/>
      <c r="BH49" s="1417"/>
      <c r="BI49" s="1417"/>
      <c r="BJ49" s="1417">
        <v>0</v>
      </c>
      <c r="BK49" s="1417"/>
      <c r="BL49" s="1417">
        <v>0</v>
      </c>
      <c r="BM49" s="1417"/>
      <c r="BN49" s="1417"/>
      <c r="BO49" s="1417"/>
      <c r="BP49" s="1417"/>
      <c r="BQ49" s="1417">
        <v>0</v>
      </c>
      <c r="BR49" s="1417"/>
      <c r="BS49" s="1417">
        <v>0</v>
      </c>
      <c r="BT49" s="1417"/>
      <c r="BU49" s="1417"/>
      <c r="BV49" s="1417"/>
      <c r="BW49" s="1417"/>
      <c r="BX49" s="1417">
        <v>0</v>
      </c>
      <c r="BY49" s="1417"/>
      <c r="BZ49" s="1417"/>
      <c r="CA49" s="1417"/>
      <c r="CB49" s="1417"/>
      <c r="CC49" s="1417"/>
      <c r="CD49" s="1417">
        <v>0</v>
      </c>
      <c r="CE49" s="1417">
        <v>0</v>
      </c>
      <c r="CF49" s="1417"/>
      <c r="CG49" s="1417"/>
      <c r="CH49" s="1417">
        <v>0</v>
      </c>
      <c r="CI49" s="1417"/>
      <c r="CJ49" s="1417"/>
      <c r="CK49" s="1417"/>
      <c r="CL49" s="1417">
        <v>0</v>
      </c>
      <c r="CM49" s="1417"/>
      <c r="CN49" s="1417"/>
      <c r="CO49" s="1417"/>
      <c r="CP49" s="1417"/>
      <c r="CQ49" s="1417">
        <v>0</v>
      </c>
      <c r="CR49" s="1417">
        <v>0</v>
      </c>
      <c r="CS49" s="1417"/>
      <c r="CT49" s="1417"/>
      <c r="CU49" s="1417">
        <v>0</v>
      </c>
      <c r="CV49" s="1417"/>
      <c r="CW49" s="1417"/>
      <c r="CX49" s="1417"/>
      <c r="CY49" s="1417">
        <v>0</v>
      </c>
      <c r="CZ49" s="1417"/>
      <c r="DA49" s="1417">
        <v>0</v>
      </c>
      <c r="DB49" s="1417">
        <v>0</v>
      </c>
      <c r="DC49" s="1417"/>
      <c r="DD49" s="1417"/>
      <c r="DE49" s="1417"/>
      <c r="DF49" s="1417"/>
      <c r="DG49" s="1417"/>
      <c r="DH49" s="1417">
        <v>51379435</v>
      </c>
      <c r="DI49" s="1417">
        <v>8090978</v>
      </c>
      <c r="DJ49" s="1417">
        <v>5468095</v>
      </c>
      <c r="DK49" s="1417">
        <v>1262958</v>
      </c>
      <c r="DL49" s="1417">
        <v>36557404</v>
      </c>
      <c r="DM49" s="1417"/>
      <c r="DN49" s="1417">
        <v>11516495.610000014</v>
      </c>
      <c r="DO49" s="1417"/>
      <c r="DP49" s="1417"/>
      <c r="DQ49" s="1417">
        <v>205373594.61000001</v>
      </c>
      <c r="DR49" s="1371"/>
      <c r="DS49" s="1371"/>
      <c r="DT49" s="1371"/>
    </row>
    <row r="50" spans="2:124" s="1366" customFormat="1">
      <c r="B50" s="1359">
        <v>43132</v>
      </c>
      <c r="C50" s="1417">
        <v>101419610</v>
      </c>
      <c r="D50" s="1417">
        <v>101419610</v>
      </c>
      <c r="E50" s="1417">
        <v>77228117</v>
      </c>
      <c r="F50" s="1417">
        <v>24191493</v>
      </c>
      <c r="G50" s="1417"/>
      <c r="H50" s="1417"/>
      <c r="I50" s="1417"/>
      <c r="J50" s="1417"/>
      <c r="K50" s="1417"/>
      <c r="L50" s="1417"/>
      <c r="M50" s="1417"/>
      <c r="N50" s="1417"/>
      <c r="O50" s="1417">
        <v>52663419</v>
      </c>
      <c r="P50" s="1417">
        <v>24953608</v>
      </c>
      <c r="Q50" s="1417">
        <v>2743444</v>
      </c>
      <c r="R50" s="1417">
        <v>1191061</v>
      </c>
      <c r="S50" s="1417">
        <v>1552383</v>
      </c>
      <c r="T50" s="1417"/>
      <c r="U50" s="1417">
        <v>22210164</v>
      </c>
      <c r="V50" s="1417">
        <v>6949589</v>
      </c>
      <c r="W50" s="1417">
        <v>15260575</v>
      </c>
      <c r="X50" s="1417"/>
      <c r="Y50" s="1417">
        <v>0</v>
      </c>
      <c r="Z50" s="1417"/>
      <c r="AA50" s="1417"/>
      <c r="AB50" s="1417"/>
      <c r="AC50" s="1417">
        <v>0</v>
      </c>
      <c r="AD50" s="1417"/>
      <c r="AE50" s="1417">
        <v>0</v>
      </c>
      <c r="AF50" s="1417"/>
      <c r="AG50" s="1417">
        <v>10690137</v>
      </c>
      <c r="AH50" s="1417">
        <v>7696953</v>
      </c>
      <c r="AI50" s="1417">
        <v>2993184</v>
      </c>
      <c r="AJ50" s="1417"/>
      <c r="AK50" s="1417">
        <v>5829055</v>
      </c>
      <c r="AL50" s="1417">
        <v>5717199</v>
      </c>
      <c r="AM50" s="1417">
        <v>111856</v>
      </c>
      <c r="AN50" s="1417"/>
      <c r="AO50" s="1417">
        <v>5907690</v>
      </c>
      <c r="AP50" s="1417">
        <v>4233145</v>
      </c>
      <c r="AQ50" s="1417">
        <v>1674545</v>
      </c>
      <c r="AR50" s="1417"/>
      <c r="AS50" s="1417">
        <v>5282929</v>
      </c>
      <c r="AT50" s="1417">
        <v>1633272</v>
      </c>
      <c r="AU50" s="1417">
        <v>3649657</v>
      </c>
      <c r="AV50" s="1417"/>
      <c r="AW50" s="1417">
        <v>0</v>
      </c>
      <c r="AX50" s="1417"/>
      <c r="AY50" s="1417"/>
      <c r="AZ50" s="1417"/>
      <c r="BA50" s="1417"/>
      <c r="BB50" s="1417">
        <v>0</v>
      </c>
      <c r="BC50" s="1417">
        <v>0</v>
      </c>
      <c r="BD50" s="1417"/>
      <c r="BE50" s="1417">
        <v>0</v>
      </c>
      <c r="BF50" s="1417"/>
      <c r="BG50" s="1417"/>
      <c r="BH50" s="1417"/>
      <c r="BI50" s="1417"/>
      <c r="BJ50" s="1417">
        <v>0</v>
      </c>
      <c r="BK50" s="1417"/>
      <c r="BL50" s="1417">
        <v>0</v>
      </c>
      <c r="BM50" s="1417"/>
      <c r="BN50" s="1417"/>
      <c r="BO50" s="1417"/>
      <c r="BP50" s="1417"/>
      <c r="BQ50" s="1417">
        <v>0</v>
      </c>
      <c r="BR50" s="1417"/>
      <c r="BS50" s="1417">
        <v>0</v>
      </c>
      <c r="BT50" s="1417"/>
      <c r="BU50" s="1417"/>
      <c r="BV50" s="1417"/>
      <c r="BW50" s="1417"/>
      <c r="BX50" s="1417">
        <v>0</v>
      </c>
      <c r="BY50" s="1417"/>
      <c r="BZ50" s="1417"/>
      <c r="CA50" s="1417"/>
      <c r="CB50" s="1417"/>
      <c r="CC50" s="1417"/>
      <c r="CD50" s="1417">
        <v>0</v>
      </c>
      <c r="CE50" s="1417">
        <v>0</v>
      </c>
      <c r="CF50" s="1417"/>
      <c r="CG50" s="1417"/>
      <c r="CH50" s="1417">
        <v>0</v>
      </c>
      <c r="CI50" s="1417"/>
      <c r="CJ50" s="1417"/>
      <c r="CK50" s="1417"/>
      <c r="CL50" s="1417">
        <v>0</v>
      </c>
      <c r="CM50" s="1417"/>
      <c r="CN50" s="1417"/>
      <c r="CO50" s="1417"/>
      <c r="CP50" s="1417"/>
      <c r="CQ50" s="1417">
        <v>0</v>
      </c>
      <c r="CR50" s="1417">
        <v>0</v>
      </c>
      <c r="CS50" s="1417"/>
      <c r="CT50" s="1417"/>
      <c r="CU50" s="1417">
        <v>0</v>
      </c>
      <c r="CV50" s="1417"/>
      <c r="CW50" s="1417"/>
      <c r="CX50" s="1417"/>
      <c r="CY50" s="1417">
        <v>0</v>
      </c>
      <c r="CZ50" s="1417"/>
      <c r="DA50" s="1417">
        <v>0</v>
      </c>
      <c r="DB50" s="1417">
        <v>0</v>
      </c>
      <c r="DC50" s="1417"/>
      <c r="DD50" s="1417"/>
      <c r="DE50" s="1417"/>
      <c r="DF50" s="1417"/>
      <c r="DG50" s="1417"/>
      <c r="DH50" s="1417">
        <v>52267461</v>
      </c>
      <c r="DI50" s="1417">
        <v>7453639</v>
      </c>
      <c r="DJ50" s="1417">
        <v>6221399</v>
      </c>
      <c r="DK50" s="1417">
        <v>2138147</v>
      </c>
      <c r="DL50" s="1417">
        <v>36454276</v>
      </c>
      <c r="DM50" s="1417"/>
      <c r="DN50" s="1417">
        <v>11794863.919999987</v>
      </c>
      <c r="DO50" s="1417"/>
      <c r="DP50" s="1417"/>
      <c r="DQ50" s="1417">
        <v>218145353.91999999</v>
      </c>
      <c r="DR50" s="1371"/>
      <c r="DS50" s="1371"/>
      <c r="DT50" s="1371"/>
    </row>
    <row r="51" spans="2:124" s="1366" customFormat="1">
      <c r="B51" s="1359">
        <v>43160</v>
      </c>
      <c r="C51" s="1417">
        <v>103537422</v>
      </c>
      <c r="D51" s="1417">
        <v>103537422</v>
      </c>
      <c r="E51" s="1417">
        <v>76002643</v>
      </c>
      <c r="F51" s="1417">
        <v>27534779</v>
      </c>
      <c r="G51" s="1417"/>
      <c r="H51" s="1417"/>
      <c r="I51" s="1417"/>
      <c r="J51" s="1417"/>
      <c r="K51" s="1417"/>
      <c r="L51" s="1417"/>
      <c r="M51" s="1417"/>
      <c r="N51" s="1417"/>
      <c r="O51" s="1417">
        <v>47012822</v>
      </c>
      <c r="P51" s="1417">
        <v>18212835</v>
      </c>
      <c r="Q51" s="1417">
        <v>1724433</v>
      </c>
      <c r="R51" s="1417">
        <v>1544239</v>
      </c>
      <c r="S51" s="1417">
        <v>180194</v>
      </c>
      <c r="T51" s="1417"/>
      <c r="U51" s="1417">
        <v>16488402</v>
      </c>
      <c r="V51" s="1417">
        <v>10899705</v>
      </c>
      <c r="W51" s="1417">
        <v>5588697</v>
      </c>
      <c r="X51" s="1417"/>
      <c r="Y51" s="1417">
        <v>0</v>
      </c>
      <c r="Z51" s="1417"/>
      <c r="AA51" s="1417"/>
      <c r="AB51" s="1417"/>
      <c r="AC51" s="1417">
        <v>0</v>
      </c>
      <c r="AD51" s="1417"/>
      <c r="AE51" s="1417">
        <v>0</v>
      </c>
      <c r="AF51" s="1417"/>
      <c r="AG51" s="1417">
        <v>13962753</v>
      </c>
      <c r="AH51" s="1417">
        <v>11337660</v>
      </c>
      <c r="AI51" s="1417">
        <v>2625093</v>
      </c>
      <c r="AJ51" s="1417"/>
      <c r="AK51" s="1417">
        <v>5798769</v>
      </c>
      <c r="AL51" s="1417">
        <v>5686528</v>
      </c>
      <c r="AM51" s="1417">
        <v>112241</v>
      </c>
      <c r="AN51" s="1417"/>
      <c r="AO51" s="1417">
        <v>5097824</v>
      </c>
      <c r="AP51" s="1417">
        <v>4661108</v>
      </c>
      <c r="AQ51" s="1417">
        <v>436716</v>
      </c>
      <c r="AR51" s="1417"/>
      <c r="AS51" s="1417">
        <v>3940641</v>
      </c>
      <c r="AT51" s="1417">
        <v>2289794</v>
      </c>
      <c r="AU51" s="1417">
        <v>1650847</v>
      </c>
      <c r="AV51" s="1417"/>
      <c r="AW51" s="1417">
        <v>0</v>
      </c>
      <c r="AX51" s="1417"/>
      <c r="AY51" s="1417"/>
      <c r="AZ51" s="1417"/>
      <c r="BA51" s="1417"/>
      <c r="BB51" s="1417">
        <v>0</v>
      </c>
      <c r="BC51" s="1417">
        <v>0</v>
      </c>
      <c r="BD51" s="1417"/>
      <c r="BE51" s="1417">
        <v>0</v>
      </c>
      <c r="BF51" s="1417"/>
      <c r="BG51" s="1417"/>
      <c r="BH51" s="1417"/>
      <c r="BI51" s="1417"/>
      <c r="BJ51" s="1417">
        <v>0</v>
      </c>
      <c r="BK51" s="1417"/>
      <c r="BL51" s="1417">
        <v>0</v>
      </c>
      <c r="BM51" s="1417"/>
      <c r="BN51" s="1417"/>
      <c r="BO51" s="1417"/>
      <c r="BP51" s="1417"/>
      <c r="BQ51" s="1417">
        <v>0</v>
      </c>
      <c r="BR51" s="1417"/>
      <c r="BS51" s="1417">
        <v>0</v>
      </c>
      <c r="BT51" s="1417"/>
      <c r="BU51" s="1417"/>
      <c r="BV51" s="1417"/>
      <c r="BW51" s="1417"/>
      <c r="BX51" s="1417">
        <v>0</v>
      </c>
      <c r="BY51" s="1417"/>
      <c r="BZ51" s="1417"/>
      <c r="CA51" s="1417"/>
      <c r="CB51" s="1417"/>
      <c r="CC51" s="1417"/>
      <c r="CD51" s="1417">
        <v>0</v>
      </c>
      <c r="CE51" s="1417">
        <v>0</v>
      </c>
      <c r="CF51" s="1417"/>
      <c r="CG51" s="1417"/>
      <c r="CH51" s="1417">
        <v>0</v>
      </c>
      <c r="CI51" s="1417"/>
      <c r="CJ51" s="1417"/>
      <c r="CK51" s="1417"/>
      <c r="CL51" s="1417">
        <v>0</v>
      </c>
      <c r="CM51" s="1417"/>
      <c r="CN51" s="1417"/>
      <c r="CO51" s="1417"/>
      <c r="CP51" s="1417"/>
      <c r="CQ51" s="1417">
        <v>0</v>
      </c>
      <c r="CR51" s="1417">
        <v>0</v>
      </c>
      <c r="CS51" s="1417"/>
      <c r="CT51" s="1417"/>
      <c r="CU51" s="1417">
        <v>0</v>
      </c>
      <c r="CV51" s="1417"/>
      <c r="CW51" s="1417"/>
      <c r="CX51" s="1417"/>
      <c r="CY51" s="1417">
        <v>0</v>
      </c>
      <c r="CZ51" s="1417"/>
      <c r="DA51" s="1417">
        <v>0</v>
      </c>
      <c r="DB51" s="1417">
        <v>0</v>
      </c>
      <c r="DC51" s="1417"/>
      <c r="DD51" s="1417"/>
      <c r="DE51" s="1417"/>
      <c r="DF51" s="1417"/>
      <c r="DG51" s="1417"/>
      <c r="DH51" s="1417">
        <v>53176904</v>
      </c>
      <c r="DI51" s="1417">
        <v>7972999</v>
      </c>
      <c r="DJ51" s="1417">
        <v>6165707</v>
      </c>
      <c r="DK51" s="1417">
        <v>2921781</v>
      </c>
      <c r="DL51" s="1417">
        <v>36116417</v>
      </c>
      <c r="DM51" s="1417"/>
      <c r="DN51" s="1417">
        <v>14643797.479999989</v>
      </c>
      <c r="DO51" s="1417"/>
      <c r="DP51" s="1417"/>
      <c r="DQ51" s="1417">
        <v>218370945.47999999</v>
      </c>
      <c r="DR51" s="1371"/>
      <c r="DS51" s="1371"/>
      <c r="DT51" s="1371"/>
    </row>
    <row r="52" spans="2:124" s="1366" customFormat="1">
      <c r="B52" s="1359">
        <v>43191</v>
      </c>
      <c r="C52" s="1417">
        <v>104276397</v>
      </c>
      <c r="D52" s="1417">
        <v>104276397</v>
      </c>
      <c r="E52" s="1417">
        <v>77136703</v>
      </c>
      <c r="F52" s="1417">
        <v>27139694</v>
      </c>
      <c r="G52" s="1417"/>
      <c r="H52" s="1417"/>
      <c r="I52" s="1417"/>
      <c r="J52" s="1417"/>
      <c r="K52" s="1417"/>
      <c r="L52" s="1417"/>
      <c r="M52" s="1417"/>
      <c r="N52" s="1417"/>
      <c r="O52" s="1417">
        <v>41804426</v>
      </c>
      <c r="P52" s="1417">
        <v>14993227</v>
      </c>
      <c r="Q52" s="1417">
        <v>1490403</v>
      </c>
      <c r="R52" s="1417">
        <v>1143172</v>
      </c>
      <c r="S52" s="1417">
        <v>347231</v>
      </c>
      <c r="T52" s="1417"/>
      <c r="U52" s="1417">
        <v>13502824</v>
      </c>
      <c r="V52" s="1417">
        <v>1493404</v>
      </c>
      <c r="W52" s="1417">
        <v>12009420</v>
      </c>
      <c r="X52" s="1417"/>
      <c r="Y52" s="1417">
        <v>0</v>
      </c>
      <c r="Z52" s="1417"/>
      <c r="AA52" s="1417"/>
      <c r="AB52" s="1417"/>
      <c r="AC52" s="1417">
        <v>0</v>
      </c>
      <c r="AD52" s="1417"/>
      <c r="AE52" s="1417">
        <v>0</v>
      </c>
      <c r="AF52" s="1417"/>
      <c r="AG52" s="1417">
        <v>14283735</v>
      </c>
      <c r="AH52" s="1417">
        <v>11619137</v>
      </c>
      <c r="AI52" s="1417">
        <v>2664598</v>
      </c>
      <c r="AJ52" s="1417"/>
      <c r="AK52" s="1417">
        <v>5786801</v>
      </c>
      <c r="AL52" s="1417">
        <v>5786801</v>
      </c>
      <c r="AM52" s="1417">
        <v>0</v>
      </c>
      <c r="AN52" s="1417"/>
      <c r="AO52" s="1417">
        <v>4043872</v>
      </c>
      <c r="AP52" s="1417">
        <v>4043872</v>
      </c>
      <c r="AQ52" s="1417">
        <v>0</v>
      </c>
      <c r="AR52" s="1417"/>
      <c r="AS52" s="1417">
        <v>2696791</v>
      </c>
      <c r="AT52" s="1417">
        <v>992126</v>
      </c>
      <c r="AU52" s="1417">
        <v>1704665</v>
      </c>
      <c r="AV52" s="1417"/>
      <c r="AW52" s="1417">
        <v>0</v>
      </c>
      <c r="AX52" s="1417"/>
      <c r="AY52" s="1417"/>
      <c r="AZ52" s="1417"/>
      <c r="BA52" s="1417"/>
      <c r="BB52" s="1417">
        <v>0</v>
      </c>
      <c r="BC52" s="1417">
        <v>0</v>
      </c>
      <c r="BD52" s="1417"/>
      <c r="BE52" s="1417">
        <v>0</v>
      </c>
      <c r="BF52" s="1417"/>
      <c r="BG52" s="1417"/>
      <c r="BH52" s="1417"/>
      <c r="BI52" s="1417"/>
      <c r="BJ52" s="1417">
        <v>0</v>
      </c>
      <c r="BK52" s="1417"/>
      <c r="BL52" s="1417">
        <v>0</v>
      </c>
      <c r="BM52" s="1417"/>
      <c r="BN52" s="1417"/>
      <c r="BO52" s="1417"/>
      <c r="BP52" s="1417"/>
      <c r="BQ52" s="1417">
        <v>0</v>
      </c>
      <c r="BR52" s="1417"/>
      <c r="BS52" s="1417">
        <v>0</v>
      </c>
      <c r="BT52" s="1417"/>
      <c r="BU52" s="1417"/>
      <c r="BV52" s="1417"/>
      <c r="BW52" s="1417"/>
      <c r="BX52" s="1417">
        <v>0</v>
      </c>
      <c r="BY52" s="1417"/>
      <c r="BZ52" s="1417"/>
      <c r="CA52" s="1417"/>
      <c r="CB52" s="1417"/>
      <c r="CC52" s="1417"/>
      <c r="CD52" s="1417">
        <v>0</v>
      </c>
      <c r="CE52" s="1417">
        <v>0</v>
      </c>
      <c r="CF52" s="1417"/>
      <c r="CG52" s="1417"/>
      <c r="CH52" s="1417">
        <v>0</v>
      </c>
      <c r="CI52" s="1417"/>
      <c r="CJ52" s="1417"/>
      <c r="CK52" s="1417"/>
      <c r="CL52" s="1417">
        <v>0</v>
      </c>
      <c r="CM52" s="1417"/>
      <c r="CN52" s="1417"/>
      <c r="CO52" s="1417"/>
      <c r="CP52" s="1417"/>
      <c r="CQ52" s="1417">
        <v>0</v>
      </c>
      <c r="CR52" s="1417">
        <v>0</v>
      </c>
      <c r="CS52" s="1417"/>
      <c r="CT52" s="1417"/>
      <c r="CU52" s="1417">
        <v>0</v>
      </c>
      <c r="CV52" s="1417"/>
      <c r="CW52" s="1417"/>
      <c r="CX52" s="1417"/>
      <c r="CY52" s="1417">
        <v>0</v>
      </c>
      <c r="CZ52" s="1417"/>
      <c r="DA52" s="1417">
        <v>0</v>
      </c>
      <c r="DB52" s="1417">
        <v>0</v>
      </c>
      <c r="DC52" s="1417"/>
      <c r="DD52" s="1417"/>
      <c r="DE52" s="1417"/>
      <c r="DF52" s="1417"/>
      <c r="DG52" s="1417"/>
      <c r="DH52" s="1417">
        <v>54891366</v>
      </c>
      <c r="DI52" s="1417">
        <v>8009063</v>
      </c>
      <c r="DJ52" s="1417">
        <v>6273826</v>
      </c>
      <c r="DK52" s="1417">
        <v>4121652</v>
      </c>
      <c r="DL52" s="1417">
        <v>36486825</v>
      </c>
      <c r="DM52" s="1417"/>
      <c r="DN52" s="1417">
        <v>11843736</v>
      </c>
      <c r="DO52" s="1417"/>
      <c r="DP52" s="1417"/>
      <c r="DQ52" s="1417">
        <v>212815925</v>
      </c>
      <c r="DR52" s="1371"/>
      <c r="DS52" s="1371"/>
      <c r="DT52" s="1371"/>
    </row>
    <row r="53" spans="2:124" s="1372" customFormat="1">
      <c r="B53" s="1359">
        <v>43221</v>
      </c>
      <c r="C53" s="1409">
        <v>108252670</v>
      </c>
      <c r="D53" s="1409">
        <v>108252670</v>
      </c>
      <c r="E53" s="1409">
        <v>80086517</v>
      </c>
      <c r="F53" s="1409">
        <v>28166153</v>
      </c>
      <c r="G53" s="1409"/>
      <c r="H53" s="1409"/>
      <c r="I53" s="1409"/>
      <c r="J53" s="1409"/>
      <c r="K53" s="1409"/>
      <c r="L53" s="1409"/>
      <c r="M53" s="1409"/>
      <c r="N53" s="1409"/>
      <c r="O53" s="1409">
        <v>44576170</v>
      </c>
      <c r="P53" s="1409">
        <v>17472842</v>
      </c>
      <c r="Q53" s="1409">
        <v>1610292</v>
      </c>
      <c r="R53" s="1409">
        <v>1311812</v>
      </c>
      <c r="S53" s="1409">
        <v>298480</v>
      </c>
      <c r="T53" s="1409"/>
      <c r="U53" s="1409">
        <v>15862550</v>
      </c>
      <c r="V53" s="1409">
        <v>4104424</v>
      </c>
      <c r="W53" s="1409">
        <v>11758126</v>
      </c>
      <c r="X53" s="1409"/>
      <c r="Y53" s="1409">
        <v>0</v>
      </c>
      <c r="Z53" s="1409"/>
      <c r="AA53" s="1409"/>
      <c r="AB53" s="1409"/>
      <c r="AC53" s="1409">
        <v>0</v>
      </c>
      <c r="AD53" s="1409"/>
      <c r="AE53" s="1409">
        <v>0</v>
      </c>
      <c r="AF53" s="1409"/>
      <c r="AG53" s="1409">
        <v>13924346</v>
      </c>
      <c r="AH53" s="1409">
        <v>11158908</v>
      </c>
      <c r="AI53" s="1409">
        <v>2765438</v>
      </c>
      <c r="AJ53" s="1409"/>
      <c r="AK53" s="1409">
        <v>5778654</v>
      </c>
      <c r="AL53" s="1409">
        <v>5778654</v>
      </c>
      <c r="AM53" s="1409">
        <v>0</v>
      </c>
      <c r="AN53" s="1409"/>
      <c r="AO53" s="1409">
        <v>5850216</v>
      </c>
      <c r="AP53" s="1409">
        <v>5248349</v>
      </c>
      <c r="AQ53" s="1409">
        <v>601867</v>
      </c>
      <c r="AR53" s="1409"/>
      <c r="AS53" s="1409">
        <v>1550112</v>
      </c>
      <c r="AT53" s="1409">
        <v>1196381</v>
      </c>
      <c r="AU53" s="1409">
        <v>353731</v>
      </c>
      <c r="AV53" s="1409"/>
      <c r="AW53" s="1409">
        <v>0</v>
      </c>
      <c r="AX53" s="1409"/>
      <c r="AY53" s="1409"/>
      <c r="AZ53" s="1409"/>
      <c r="BA53" s="1409"/>
      <c r="BB53" s="1409">
        <v>0</v>
      </c>
      <c r="BC53" s="1409">
        <v>0</v>
      </c>
      <c r="BD53" s="1409"/>
      <c r="BE53" s="1409">
        <v>0</v>
      </c>
      <c r="BF53" s="1409"/>
      <c r="BG53" s="1409"/>
      <c r="BH53" s="1409"/>
      <c r="BI53" s="1409"/>
      <c r="BJ53" s="1409">
        <v>0</v>
      </c>
      <c r="BK53" s="1409"/>
      <c r="BL53" s="1409">
        <v>0</v>
      </c>
      <c r="BM53" s="1409"/>
      <c r="BN53" s="1409"/>
      <c r="BO53" s="1409"/>
      <c r="BP53" s="1409"/>
      <c r="BQ53" s="1409">
        <v>0</v>
      </c>
      <c r="BR53" s="1409"/>
      <c r="BS53" s="1409">
        <v>0</v>
      </c>
      <c r="BT53" s="1409"/>
      <c r="BU53" s="1409"/>
      <c r="BV53" s="1409"/>
      <c r="BW53" s="1409"/>
      <c r="BX53" s="1409">
        <v>0</v>
      </c>
      <c r="BY53" s="1409"/>
      <c r="BZ53" s="1409"/>
      <c r="CA53" s="1409"/>
      <c r="CB53" s="1409"/>
      <c r="CC53" s="1409"/>
      <c r="CD53" s="1409">
        <v>0</v>
      </c>
      <c r="CE53" s="1409">
        <v>0</v>
      </c>
      <c r="CF53" s="1409"/>
      <c r="CG53" s="1409"/>
      <c r="CH53" s="1409">
        <v>0</v>
      </c>
      <c r="CI53" s="1409"/>
      <c r="CJ53" s="1409"/>
      <c r="CK53" s="1409"/>
      <c r="CL53" s="1409">
        <v>0</v>
      </c>
      <c r="CM53" s="1409"/>
      <c r="CN53" s="1409"/>
      <c r="CO53" s="1409"/>
      <c r="CP53" s="1409"/>
      <c r="CQ53" s="1409">
        <v>0</v>
      </c>
      <c r="CR53" s="1409">
        <v>0</v>
      </c>
      <c r="CS53" s="1409"/>
      <c r="CT53" s="1409"/>
      <c r="CU53" s="1409">
        <v>0</v>
      </c>
      <c r="CV53" s="1409"/>
      <c r="CW53" s="1409"/>
      <c r="CX53" s="1409"/>
      <c r="CY53" s="1409">
        <v>0</v>
      </c>
      <c r="CZ53" s="1409"/>
      <c r="DA53" s="1409">
        <v>0</v>
      </c>
      <c r="DB53" s="1409">
        <v>0</v>
      </c>
      <c r="DC53" s="1409"/>
      <c r="DD53" s="1409"/>
      <c r="DE53" s="1409"/>
      <c r="DF53" s="1409"/>
      <c r="DG53" s="1409"/>
      <c r="DH53" s="1409">
        <v>56806550</v>
      </c>
      <c r="DI53" s="1409">
        <v>9828996</v>
      </c>
      <c r="DJ53" s="1409">
        <v>4305573</v>
      </c>
      <c r="DK53" s="1409">
        <v>7294547</v>
      </c>
      <c r="DL53" s="1409">
        <v>35377434</v>
      </c>
      <c r="DM53" s="1409"/>
      <c r="DN53" s="1409">
        <v>12538606.680000007</v>
      </c>
      <c r="DO53" s="1409"/>
      <c r="DP53" s="1409"/>
      <c r="DQ53" s="1409">
        <v>222173996.68000001</v>
      </c>
      <c r="DR53" s="1371"/>
      <c r="DS53" s="1371"/>
      <c r="DT53" s="1371"/>
    </row>
    <row r="54" spans="2:124" s="1366" customFormat="1">
      <c r="B54" s="1359">
        <v>43252</v>
      </c>
      <c r="C54" s="1417">
        <v>111841107</v>
      </c>
      <c r="D54" s="1417">
        <v>111841107</v>
      </c>
      <c r="E54" s="1417">
        <v>83615943</v>
      </c>
      <c r="F54" s="1417">
        <v>28225164</v>
      </c>
      <c r="G54" s="1417"/>
      <c r="H54" s="1417"/>
      <c r="I54" s="1417"/>
      <c r="J54" s="1417"/>
      <c r="K54" s="1417"/>
      <c r="L54" s="1417"/>
      <c r="M54" s="1417"/>
      <c r="N54" s="1417"/>
      <c r="O54" s="1417">
        <v>48532758</v>
      </c>
      <c r="P54" s="1417">
        <v>21060651</v>
      </c>
      <c r="Q54" s="1417">
        <v>1430073</v>
      </c>
      <c r="R54" s="1417">
        <v>1187737</v>
      </c>
      <c r="S54" s="1417">
        <v>242336</v>
      </c>
      <c r="T54" s="1417"/>
      <c r="U54" s="1417">
        <v>19630578</v>
      </c>
      <c r="V54" s="1417">
        <v>1504859</v>
      </c>
      <c r="W54" s="1417">
        <v>18125719</v>
      </c>
      <c r="X54" s="1417"/>
      <c r="Y54" s="1417">
        <v>0</v>
      </c>
      <c r="Z54" s="1417"/>
      <c r="AA54" s="1417"/>
      <c r="AB54" s="1417"/>
      <c r="AC54" s="1417">
        <v>0</v>
      </c>
      <c r="AD54" s="1417"/>
      <c r="AE54" s="1417">
        <v>0</v>
      </c>
      <c r="AF54" s="1417"/>
      <c r="AG54" s="1417">
        <v>14754274</v>
      </c>
      <c r="AH54" s="1417">
        <v>10574959</v>
      </c>
      <c r="AI54" s="1417">
        <v>4179315</v>
      </c>
      <c r="AJ54" s="1417"/>
      <c r="AK54" s="1417">
        <v>5956498</v>
      </c>
      <c r="AL54" s="1417">
        <v>5956498</v>
      </c>
      <c r="AM54" s="1417">
        <v>0</v>
      </c>
      <c r="AN54" s="1417"/>
      <c r="AO54" s="1417">
        <v>5429942</v>
      </c>
      <c r="AP54" s="1417">
        <v>5429942</v>
      </c>
      <c r="AQ54" s="1417">
        <v>0</v>
      </c>
      <c r="AR54" s="1417"/>
      <c r="AS54" s="1417">
        <v>1331393</v>
      </c>
      <c r="AT54" s="1417">
        <v>727776</v>
      </c>
      <c r="AU54" s="1417">
        <v>603617</v>
      </c>
      <c r="AV54" s="1417"/>
      <c r="AW54" s="1417">
        <v>0</v>
      </c>
      <c r="AX54" s="1417"/>
      <c r="AY54" s="1417"/>
      <c r="AZ54" s="1417"/>
      <c r="BA54" s="1417"/>
      <c r="BB54" s="1417">
        <v>0</v>
      </c>
      <c r="BC54" s="1417">
        <v>0</v>
      </c>
      <c r="BD54" s="1417"/>
      <c r="BE54" s="1417">
        <v>0</v>
      </c>
      <c r="BF54" s="1417"/>
      <c r="BG54" s="1417"/>
      <c r="BH54" s="1417"/>
      <c r="BI54" s="1417"/>
      <c r="BJ54" s="1417">
        <v>0</v>
      </c>
      <c r="BK54" s="1417"/>
      <c r="BL54" s="1417">
        <v>0</v>
      </c>
      <c r="BM54" s="1417"/>
      <c r="BN54" s="1417"/>
      <c r="BO54" s="1417"/>
      <c r="BP54" s="1417"/>
      <c r="BQ54" s="1417">
        <v>0</v>
      </c>
      <c r="BR54" s="1417"/>
      <c r="BS54" s="1417">
        <v>0</v>
      </c>
      <c r="BT54" s="1417"/>
      <c r="BU54" s="1417"/>
      <c r="BV54" s="1417"/>
      <c r="BW54" s="1417"/>
      <c r="BX54" s="1417">
        <v>0</v>
      </c>
      <c r="BY54" s="1417"/>
      <c r="BZ54" s="1417"/>
      <c r="CA54" s="1417"/>
      <c r="CB54" s="1417"/>
      <c r="CC54" s="1417"/>
      <c r="CD54" s="1417">
        <v>0</v>
      </c>
      <c r="CE54" s="1417">
        <v>0</v>
      </c>
      <c r="CF54" s="1417"/>
      <c r="CG54" s="1417"/>
      <c r="CH54" s="1417">
        <v>0</v>
      </c>
      <c r="CI54" s="1417"/>
      <c r="CJ54" s="1417"/>
      <c r="CK54" s="1417"/>
      <c r="CL54" s="1417">
        <v>0</v>
      </c>
      <c r="CM54" s="1417"/>
      <c r="CN54" s="1417"/>
      <c r="CO54" s="1417"/>
      <c r="CP54" s="1417"/>
      <c r="CQ54" s="1417">
        <v>0</v>
      </c>
      <c r="CR54" s="1417">
        <v>0</v>
      </c>
      <c r="CS54" s="1417"/>
      <c r="CT54" s="1417"/>
      <c r="CU54" s="1417">
        <v>0</v>
      </c>
      <c r="CV54" s="1417"/>
      <c r="CW54" s="1417"/>
      <c r="CX54" s="1417"/>
      <c r="CY54" s="1417">
        <v>0</v>
      </c>
      <c r="CZ54" s="1417"/>
      <c r="DA54" s="1417">
        <v>0</v>
      </c>
      <c r="DB54" s="1417">
        <v>0</v>
      </c>
      <c r="DC54" s="1417"/>
      <c r="DD54" s="1417"/>
      <c r="DE54" s="1417"/>
      <c r="DF54" s="1417"/>
      <c r="DG54" s="1417"/>
      <c r="DH54" s="1417">
        <v>57708404</v>
      </c>
      <c r="DI54" s="1417">
        <v>9934672</v>
      </c>
      <c r="DJ54" s="1417">
        <v>4309333</v>
      </c>
      <c r="DK54" s="1417">
        <v>8113696</v>
      </c>
      <c r="DL54" s="1417">
        <v>35350703</v>
      </c>
      <c r="DM54" s="1417"/>
      <c r="DN54" s="1417">
        <v>14509761</v>
      </c>
      <c r="DO54" s="1417"/>
      <c r="DP54" s="1417"/>
      <c r="DQ54" s="1417">
        <v>232592030</v>
      </c>
      <c r="DR54" s="1371"/>
      <c r="DS54" s="1371"/>
      <c r="DT54" s="1371">
        <v>0</v>
      </c>
    </row>
    <row r="55" spans="2:124">
      <c r="B55" s="1359">
        <v>43282</v>
      </c>
      <c r="C55" s="1205">
        <v>118145762</v>
      </c>
      <c r="D55" s="1205">
        <v>118145762</v>
      </c>
      <c r="E55" s="1205">
        <v>91481385</v>
      </c>
      <c r="F55" s="1205">
        <v>26664377</v>
      </c>
      <c r="G55" s="1205"/>
      <c r="H55" s="1205"/>
      <c r="I55" s="1205"/>
      <c r="J55" s="1205"/>
      <c r="K55" s="1205"/>
      <c r="L55" s="1205"/>
      <c r="M55" s="1205"/>
      <c r="N55" s="1205"/>
      <c r="O55" s="1205">
        <v>52241074</v>
      </c>
      <c r="P55" s="1205">
        <v>22529296</v>
      </c>
      <c r="Q55" s="1205">
        <v>1464314</v>
      </c>
      <c r="R55" s="1205">
        <v>1137078</v>
      </c>
      <c r="S55" s="1205">
        <v>327236</v>
      </c>
      <c r="T55" s="1205"/>
      <c r="U55" s="1205">
        <v>21064982</v>
      </c>
      <c r="V55" s="1205">
        <v>5532912</v>
      </c>
      <c r="W55" s="1205">
        <v>15532070</v>
      </c>
      <c r="X55" s="1205"/>
      <c r="Y55" s="1205">
        <v>0</v>
      </c>
      <c r="Z55" s="1205"/>
      <c r="AA55" s="1205"/>
      <c r="AB55" s="1205"/>
      <c r="AC55" s="1205">
        <v>0</v>
      </c>
      <c r="AD55" s="1205"/>
      <c r="AE55" s="1205">
        <v>0</v>
      </c>
      <c r="AF55" s="1205"/>
      <c r="AG55" s="1205">
        <v>13529069</v>
      </c>
      <c r="AH55" s="1205">
        <v>11440852</v>
      </c>
      <c r="AI55" s="1205">
        <v>2088217</v>
      </c>
      <c r="AJ55" s="1205"/>
      <c r="AK55" s="1205">
        <v>5933628</v>
      </c>
      <c r="AL55" s="1205">
        <v>5933628</v>
      </c>
      <c r="AM55" s="1205">
        <v>0</v>
      </c>
      <c r="AN55" s="1205"/>
      <c r="AO55" s="1205">
        <v>6740063</v>
      </c>
      <c r="AP55" s="1205">
        <v>6740063</v>
      </c>
      <c r="AQ55" s="1205">
        <v>0</v>
      </c>
      <c r="AR55" s="1205"/>
      <c r="AS55" s="1205">
        <v>3509018</v>
      </c>
      <c r="AT55" s="1205">
        <v>343228</v>
      </c>
      <c r="AU55" s="1205">
        <v>3165790</v>
      </c>
      <c r="AV55" s="1205"/>
      <c r="AW55" s="1205">
        <v>0</v>
      </c>
      <c r="AX55" s="1205"/>
      <c r="AY55" s="1205"/>
      <c r="AZ55" s="1205"/>
      <c r="BA55" s="1205"/>
      <c r="BB55" s="1205">
        <v>0</v>
      </c>
      <c r="BC55" s="1205">
        <v>0</v>
      </c>
      <c r="BD55" s="1205"/>
      <c r="BE55" s="1205">
        <v>0</v>
      </c>
      <c r="BF55" s="1205"/>
      <c r="BG55" s="1205"/>
      <c r="BH55" s="1205"/>
      <c r="BI55" s="1205"/>
      <c r="BJ55" s="1205">
        <v>0</v>
      </c>
      <c r="BK55" s="1205"/>
      <c r="BL55" s="1205">
        <v>0</v>
      </c>
      <c r="BM55" s="1205"/>
      <c r="BN55" s="1205"/>
      <c r="BO55" s="1205"/>
      <c r="BP55" s="1205"/>
      <c r="BQ55" s="1205">
        <v>0</v>
      </c>
      <c r="BR55" s="1205"/>
      <c r="BS55" s="1205">
        <v>0</v>
      </c>
      <c r="BT55" s="1205"/>
      <c r="BU55" s="1205"/>
      <c r="BV55" s="1205"/>
      <c r="BW55" s="1205"/>
      <c r="BX55" s="1205">
        <v>0</v>
      </c>
      <c r="BY55" s="1205"/>
      <c r="BZ55" s="1205"/>
      <c r="CA55" s="1205"/>
      <c r="CB55" s="1205"/>
      <c r="CC55" s="1205"/>
      <c r="CD55" s="1205">
        <v>0</v>
      </c>
      <c r="CE55" s="1205">
        <v>0</v>
      </c>
      <c r="CF55" s="1205"/>
      <c r="CG55" s="1205"/>
      <c r="CH55" s="1205">
        <v>0</v>
      </c>
      <c r="CI55" s="1205"/>
      <c r="CJ55" s="1205"/>
      <c r="CK55" s="1205"/>
      <c r="CL55" s="1205">
        <v>0</v>
      </c>
      <c r="CM55" s="1205"/>
      <c r="CN55" s="1205"/>
      <c r="CO55" s="1205"/>
      <c r="CP55" s="1205"/>
      <c r="CQ55" s="1205">
        <v>0</v>
      </c>
      <c r="CR55" s="1205">
        <v>0</v>
      </c>
      <c r="CS55" s="1205"/>
      <c r="CT55" s="1205"/>
      <c r="CU55" s="1205">
        <v>0</v>
      </c>
      <c r="CV55" s="1205"/>
      <c r="CW55" s="1205"/>
      <c r="CX55" s="1205"/>
      <c r="CY55" s="1205">
        <v>0</v>
      </c>
      <c r="CZ55" s="1205"/>
      <c r="DA55" s="1205">
        <v>0</v>
      </c>
      <c r="DB55" s="1205">
        <v>0</v>
      </c>
      <c r="DC55" s="1205"/>
      <c r="DD55" s="1205"/>
      <c r="DE55" s="1205"/>
      <c r="DF55" s="1205"/>
      <c r="DG55" s="1205"/>
      <c r="DH55" s="1205">
        <v>59534970</v>
      </c>
      <c r="DI55" s="1205">
        <v>10144069</v>
      </c>
      <c r="DJ55" s="1205">
        <v>4383042</v>
      </c>
      <c r="DK55" s="1205">
        <v>9425557</v>
      </c>
      <c r="DL55" s="1205">
        <v>35582302</v>
      </c>
      <c r="DM55" s="1205"/>
      <c r="DN55" s="1205">
        <v>13436790.110000014</v>
      </c>
      <c r="DO55" s="1205"/>
      <c r="DP55" s="1205"/>
      <c r="DQ55" s="1205">
        <v>243358596.11000001</v>
      </c>
      <c r="DT55" s="1028">
        <v>0</v>
      </c>
    </row>
    <row r="56" spans="2:124">
      <c r="B56" s="1359">
        <v>43313</v>
      </c>
      <c r="C56" s="1205">
        <v>118379958</v>
      </c>
      <c r="D56" s="1205">
        <v>118379958</v>
      </c>
      <c r="E56" s="1205">
        <v>90793066</v>
      </c>
      <c r="F56" s="1205">
        <v>27586892</v>
      </c>
      <c r="G56" s="1205"/>
      <c r="H56" s="1205"/>
      <c r="I56" s="1205"/>
      <c r="J56" s="1205"/>
      <c r="K56" s="1205"/>
      <c r="L56" s="1205"/>
      <c r="M56" s="1205"/>
      <c r="N56" s="1205"/>
      <c r="O56" s="1205">
        <v>53458162</v>
      </c>
      <c r="P56" s="1205">
        <v>21754881</v>
      </c>
      <c r="Q56" s="1205">
        <v>1461505</v>
      </c>
      <c r="R56" s="1205">
        <v>1201587</v>
      </c>
      <c r="S56" s="1205">
        <v>259918</v>
      </c>
      <c r="T56" s="1205"/>
      <c r="U56" s="1205">
        <v>20293376</v>
      </c>
      <c r="V56" s="1205">
        <v>5085780</v>
      </c>
      <c r="W56" s="1205">
        <v>15207596</v>
      </c>
      <c r="X56" s="1205"/>
      <c r="Y56" s="1205">
        <v>0</v>
      </c>
      <c r="Z56" s="1205"/>
      <c r="AA56" s="1205"/>
      <c r="AB56" s="1205"/>
      <c r="AC56" s="1205">
        <v>0</v>
      </c>
      <c r="AD56" s="1205"/>
      <c r="AE56" s="1205">
        <v>0</v>
      </c>
      <c r="AF56" s="1205"/>
      <c r="AG56" s="1205">
        <v>6682867</v>
      </c>
      <c r="AH56" s="1205">
        <v>5064739</v>
      </c>
      <c r="AI56" s="1205">
        <v>1618128</v>
      </c>
      <c r="AJ56" s="1205"/>
      <c r="AK56" s="1205">
        <v>5907436</v>
      </c>
      <c r="AL56" s="1205">
        <v>5907436</v>
      </c>
      <c r="AM56" s="1205">
        <v>0</v>
      </c>
      <c r="AN56" s="1205"/>
      <c r="AO56" s="1205">
        <v>6547910</v>
      </c>
      <c r="AP56" s="1205">
        <v>5815286</v>
      </c>
      <c r="AQ56" s="1205">
        <v>732624</v>
      </c>
      <c r="AR56" s="1205"/>
      <c r="AS56" s="1205">
        <v>12565068</v>
      </c>
      <c r="AT56" s="1205">
        <v>7437950</v>
      </c>
      <c r="AU56" s="1205">
        <v>5127118</v>
      </c>
      <c r="AV56" s="1205"/>
      <c r="AW56" s="1205">
        <v>0</v>
      </c>
      <c r="AX56" s="1205"/>
      <c r="AY56" s="1205"/>
      <c r="AZ56" s="1205"/>
      <c r="BA56" s="1205"/>
      <c r="BB56" s="1205">
        <v>0</v>
      </c>
      <c r="BC56" s="1205">
        <v>0</v>
      </c>
      <c r="BD56" s="1205"/>
      <c r="BE56" s="1205">
        <v>0</v>
      </c>
      <c r="BF56" s="1205"/>
      <c r="BG56" s="1205"/>
      <c r="BH56" s="1205"/>
      <c r="BI56" s="1205"/>
      <c r="BJ56" s="1205">
        <v>0</v>
      </c>
      <c r="BK56" s="1205"/>
      <c r="BL56" s="1205">
        <v>0</v>
      </c>
      <c r="BM56" s="1205"/>
      <c r="BN56" s="1205"/>
      <c r="BO56" s="1205"/>
      <c r="BP56" s="1205"/>
      <c r="BQ56" s="1205">
        <v>0</v>
      </c>
      <c r="BR56" s="1205"/>
      <c r="BS56" s="1205">
        <v>0</v>
      </c>
      <c r="BT56" s="1205"/>
      <c r="BU56" s="1205"/>
      <c r="BV56" s="1205"/>
      <c r="BW56" s="1205"/>
      <c r="BX56" s="1205">
        <v>0</v>
      </c>
      <c r="BY56" s="1205"/>
      <c r="BZ56" s="1205"/>
      <c r="CA56" s="1205"/>
      <c r="CB56" s="1205"/>
      <c r="CC56" s="1205"/>
      <c r="CD56" s="1205">
        <v>0</v>
      </c>
      <c r="CE56" s="1205">
        <v>0</v>
      </c>
      <c r="CF56" s="1205"/>
      <c r="CG56" s="1205"/>
      <c r="CH56" s="1205">
        <v>0</v>
      </c>
      <c r="CI56" s="1205"/>
      <c r="CJ56" s="1205"/>
      <c r="CK56" s="1205"/>
      <c r="CL56" s="1205">
        <v>0</v>
      </c>
      <c r="CM56" s="1205"/>
      <c r="CN56" s="1205"/>
      <c r="CO56" s="1205"/>
      <c r="CP56" s="1205"/>
      <c r="CQ56" s="1205">
        <v>0</v>
      </c>
      <c r="CR56" s="1205">
        <v>0</v>
      </c>
      <c r="CS56" s="1205"/>
      <c r="CT56" s="1205"/>
      <c r="CU56" s="1205">
        <v>0</v>
      </c>
      <c r="CV56" s="1205"/>
      <c r="CW56" s="1205"/>
      <c r="CX56" s="1205"/>
      <c r="CY56" s="1205">
        <v>0</v>
      </c>
      <c r="CZ56" s="1205"/>
      <c r="DA56" s="1205">
        <v>0</v>
      </c>
      <c r="DB56" s="1205">
        <v>0</v>
      </c>
      <c r="DC56" s="1205"/>
      <c r="DD56" s="1205"/>
      <c r="DE56" s="1205"/>
      <c r="DF56" s="1205"/>
      <c r="DG56" s="1205"/>
      <c r="DH56" s="1205">
        <v>60998072</v>
      </c>
      <c r="DI56" s="1205">
        <v>10482748</v>
      </c>
      <c r="DJ56" s="1205">
        <v>4412358</v>
      </c>
      <c r="DK56" s="1205">
        <v>10889456</v>
      </c>
      <c r="DL56" s="1205">
        <v>35213510</v>
      </c>
      <c r="DM56" s="1205"/>
      <c r="DN56" s="1205">
        <v>14489905.129999995</v>
      </c>
      <c r="DO56" s="1205"/>
      <c r="DP56" s="1205"/>
      <c r="DQ56" s="1205">
        <v>247326097.13</v>
      </c>
      <c r="DT56" s="1028">
        <v>0</v>
      </c>
    </row>
    <row r="57" spans="2:124">
      <c r="B57" s="1359">
        <v>43344</v>
      </c>
      <c r="C57" s="1205">
        <v>115473737</v>
      </c>
      <c r="D57" s="1205">
        <v>115473737</v>
      </c>
      <c r="E57" s="1205">
        <v>86737056</v>
      </c>
      <c r="F57" s="1205">
        <v>28736681</v>
      </c>
      <c r="G57" s="1205"/>
      <c r="H57" s="1205"/>
      <c r="I57" s="1205"/>
      <c r="J57" s="1205"/>
      <c r="K57" s="1205"/>
      <c r="L57" s="1205"/>
      <c r="M57" s="1205"/>
      <c r="N57" s="1205"/>
      <c r="O57" s="1205">
        <v>54289627</v>
      </c>
      <c r="P57" s="1205">
        <v>25518000</v>
      </c>
      <c r="Q57" s="1205">
        <v>1383288</v>
      </c>
      <c r="R57" s="1205">
        <v>1245533</v>
      </c>
      <c r="S57" s="1205">
        <v>137755</v>
      </c>
      <c r="T57" s="1205"/>
      <c r="U57" s="1205">
        <v>24134712</v>
      </c>
      <c r="V57" s="1205">
        <v>7577142</v>
      </c>
      <c r="W57" s="1205">
        <v>16557570</v>
      </c>
      <c r="X57" s="1205"/>
      <c r="Y57" s="1205">
        <v>0</v>
      </c>
      <c r="Z57" s="1205"/>
      <c r="AA57" s="1205"/>
      <c r="AB57" s="1205"/>
      <c r="AC57" s="1205">
        <v>0</v>
      </c>
      <c r="AD57" s="1205"/>
      <c r="AE57" s="1205">
        <v>0</v>
      </c>
      <c r="AF57" s="1205"/>
      <c r="AG57" s="1205">
        <v>4957980</v>
      </c>
      <c r="AH57" s="1205">
        <v>2912388</v>
      </c>
      <c r="AI57" s="1205">
        <v>2045592</v>
      </c>
      <c r="AJ57" s="1205"/>
      <c r="AK57" s="1205">
        <v>6058048</v>
      </c>
      <c r="AL57" s="1205">
        <v>2045548</v>
      </c>
      <c r="AM57" s="1205">
        <v>4012500</v>
      </c>
      <c r="AN57" s="1205"/>
      <c r="AO57" s="1205">
        <v>5892951</v>
      </c>
      <c r="AP57" s="1205">
        <v>5892951</v>
      </c>
      <c r="AQ57" s="1205">
        <v>0</v>
      </c>
      <c r="AR57" s="1205"/>
      <c r="AS57" s="1205">
        <v>11862648</v>
      </c>
      <c r="AT57" s="1205">
        <v>10077391</v>
      </c>
      <c r="AU57" s="1205">
        <v>1785257</v>
      </c>
      <c r="AV57" s="1205"/>
      <c r="AW57" s="1205">
        <v>0</v>
      </c>
      <c r="AX57" s="1205"/>
      <c r="AY57" s="1205"/>
      <c r="AZ57" s="1205"/>
      <c r="BA57" s="1205"/>
      <c r="BB57" s="1205">
        <v>0</v>
      </c>
      <c r="BC57" s="1205">
        <v>0</v>
      </c>
      <c r="BD57" s="1205"/>
      <c r="BE57" s="1205">
        <v>0</v>
      </c>
      <c r="BF57" s="1205"/>
      <c r="BG57" s="1205"/>
      <c r="BH57" s="1205"/>
      <c r="BI57" s="1205"/>
      <c r="BJ57" s="1205">
        <v>0</v>
      </c>
      <c r="BK57" s="1205"/>
      <c r="BL57" s="1205">
        <v>0</v>
      </c>
      <c r="BM57" s="1205"/>
      <c r="BN57" s="1205"/>
      <c r="BO57" s="1205"/>
      <c r="BP57" s="1205"/>
      <c r="BQ57" s="1205">
        <v>0</v>
      </c>
      <c r="BR57" s="1205"/>
      <c r="BS57" s="1205">
        <v>0</v>
      </c>
      <c r="BT57" s="1205"/>
      <c r="BU57" s="1205"/>
      <c r="BV57" s="1205"/>
      <c r="BW57" s="1205"/>
      <c r="BX57" s="1205">
        <v>0</v>
      </c>
      <c r="BY57" s="1205"/>
      <c r="BZ57" s="1205"/>
      <c r="CA57" s="1205"/>
      <c r="CB57" s="1205"/>
      <c r="CC57" s="1205"/>
      <c r="CD57" s="1205">
        <v>0</v>
      </c>
      <c r="CE57" s="1205">
        <v>0</v>
      </c>
      <c r="CF57" s="1205"/>
      <c r="CG57" s="1205"/>
      <c r="CH57" s="1205">
        <v>0</v>
      </c>
      <c r="CI57" s="1205"/>
      <c r="CJ57" s="1205"/>
      <c r="CK57" s="1205"/>
      <c r="CL57" s="1205">
        <v>0</v>
      </c>
      <c r="CM57" s="1205"/>
      <c r="CN57" s="1205"/>
      <c r="CO57" s="1205"/>
      <c r="CP57" s="1205"/>
      <c r="CQ57" s="1205">
        <v>0</v>
      </c>
      <c r="CR57" s="1205">
        <v>0</v>
      </c>
      <c r="CS57" s="1205"/>
      <c r="CT57" s="1205"/>
      <c r="CU57" s="1205">
        <v>0</v>
      </c>
      <c r="CV57" s="1205"/>
      <c r="CW57" s="1205"/>
      <c r="CX57" s="1205"/>
      <c r="CY57" s="1205">
        <v>0</v>
      </c>
      <c r="CZ57" s="1205"/>
      <c r="DA57" s="1205">
        <v>0</v>
      </c>
      <c r="DB57" s="1205">
        <v>0</v>
      </c>
      <c r="DC57" s="1205"/>
      <c r="DD57" s="1205"/>
      <c r="DE57" s="1205"/>
      <c r="DF57" s="1205"/>
      <c r="DG57" s="1205"/>
      <c r="DH57" s="1205">
        <v>62491622</v>
      </c>
      <c r="DI57" s="1205">
        <v>10516307</v>
      </c>
      <c r="DJ57" s="1205">
        <v>4317575</v>
      </c>
      <c r="DK57" s="1205">
        <v>12414829</v>
      </c>
      <c r="DL57" s="1205">
        <v>35242911</v>
      </c>
      <c r="DM57" s="1205"/>
      <c r="DN57" s="1205">
        <v>15996793.01</v>
      </c>
      <c r="DO57" s="1205"/>
      <c r="DP57" s="1205"/>
      <c r="DQ57" s="1205">
        <v>248251779.00999999</v>
      </c>
      <c r="DT57" s="1028">
        <v>0</v>
      </c>
    </row>
    <row r="58" spans="2:124" s="3" customFormat="1" ht="15">
      <c r="B58" s="1408">
        <v>43374</v>
      </c>
      <c r="C58" s="949">
        <v>113386822</v>
      </c>
      <c r="D58" s="949">
        <v>113386822</v>
      </c>
      <c r="E58" s="949">
        <v>86221912</v>
      </c>
      <c r="F58" s="949">
        <v>27164910</v>
      </c>
      <c r="G58" s="949"/>
      <c r="H58" s="949"/>
      <c r="I58" s="949"/>
      <c r="J58" s="949"/>
      <c r="K58" s="949"/>
      <c r="L58" s="949"/>
      <c r="M58" s="949"/>
      <c r="N58" s="949"/>
      <c r="O58" s="949">
        <v>52541775</v>
      </c>
      <c r="P58" s="949">
        <v>25469119</v>
      </c>
      <c r="Q58" s="949">
        <v>2516736</v>
      </c>
      <c r="R58" s="949">
        <v>2252917</v>
      </c>
      <c r="S58" s="949">
        <v>263819</v>
      </c>
      <c r="T58" s="949"/>
      <c r="U58" s="949">
        <v>22952383</v>
      </c>
      <c r="V58" s="949">
        <v>8092283</v>
      </c>
      <c r="W58" s="949">
        <v>14860100</v>
      </c>
      <c r="X58" s="949"/>
      <c r="Y58" s="949">
        <v>0</v>
      </c>
      <c r="Z58" s="949"/>
      <c r="AA58" s="949"/>
      <c r="AB58" s="949"/>
      <c r="AC58" s="949">
        <v>0</v>
      </c>
      <c r="AD58" s="949"/>
      <c r="AE58" s="949">
        <v>0</v>
      </c>
      <c r="AF58" s="949"/>
      <c r="AG58" s="949">
        <v>3741561</v>
      </c>
      <c r="AH58" s="949">
        <v>2870796</v>
      </c>
      <c r="AI58" s="949">
        <v>870765</v>
      </c>
      <c r="AJ58" s="949"/>
      <c r="AK58" s="949">
        <v>5997491</v>
      </c>
      <c r="AL58" s="949">
        <v>1969491</v>
      </c>
      <c r="AM58" s="949">
        <v>4028000</v>
      </c>
      <c r="AN58" s="949"/>
      <c r="AO58" s="949">
        <v>2477800</v>
      </c>
      <c r="AP58" s="949">
        <v>2477800</v>
      </c>
      <c r="AQ58" s="949">
        <v>0</v>
      </c>
      <c r="AR58" s="949"/>
      <c r="AS58" s="949">
        <v>14855804</v>
      </c>
      <c r="AT58" s="949">
        <v>9347793</v>
      </c>
      <c r="AU58" s="949">
        <v>5508011</v>
      </c>
      <c r="AV58" s="949"/>
      <c r="AW58" s="949">
        <v>0</v>
      </c>
      <c r="AX58" s="949"/>
      <c r="AY58" s="949"/>
      <c r="AZ58" s="949"/>
      <c r="BA58" s="949"/>
      <c r="BB58" s="949">
        <v>0</v>
      </c>
      <c r="BC58" s="949">
        <v>0</v>
      </c>
      <c r="BD58" s="949"/>
      <c r="BE58" s="949">
        <v>0</v>
      </c>
      <c r="BF58" s="949"/>
      <c r="BG58" s="949"/>
      <c r="BH58" s="949"/>
      <c r="BI58" s="949"/>
      <c r="BJ58" s="949">
        <v>0</v>
      </c>
      <c r="BK58" s="949"/>
      <c r="BL58" s="949">
        <v>0</v>
      </c>
      <c r="BM58" s="949"/>
      <c r="BN58" s="949"/>
      <c r="BO58" s="949"/>
      <c r="BP58" s="949"/>
      <c r="BQ58" s="949">
        <v>0</v>
      </c>
      <c r="BR58" s="949"/>
      <c r="BS58" s="949">
        <v>0</v>
      </c>
      <c r="BT58" s="949"/>
      <c r="BU58" s="949"/>
      <c r="BV58" s="949"/>
      <c r="BW58" s="949"/>
      <c r="BX58" s="949">
        <v>0</v>
      </c>
      <c r="BY58" s="949"/>
      <c r="BZ58" s="949"/>
      <c r="CA58" s="949"/>
      <c r="CB58" s="949"/>
      <c r="CC58" s="949"/>
      <c r="CD58" s="949">
        <v>0</v>
      </c>
      <c r="CE58" s="949">
        <v>0</v>
      </c>
      <c r="CF58" s="949"/>
      <c r="CG58" s="949"/>
      <c r="CH58" s="949">
        <v>0</v>
      </c>
      <c r="CI58" s="949"/>
      <c r="CJ58" s="949"/>
      <c r="CK58" s="949"/>
      <c r="CL58" s="949">
        <v>0</v>
      </c>
      <c r="CM58" s="949"/>
      <c r="CN58" s="949"/>
      <c r="CO58" s="949"/>
      <c r="CP58" s="949"/>
      <c r="CQ58" s="949">
        <v>0</v>
      </c>
      <c r="CR58" s="949">
        <v>0</v>
      </c>
      <c r="CS58" s="949"/>
      <c r="CT58" s="949"/>
      <c r="CU58" s="949">
        <v>0</v>
      </c>
      <c r="CV58" s="949"/>
      <c r="CW58" s="949"/>
      <c r="CX58" s="949"/>
      <c r="CY58" s="949">
        <v>0</v>
      </c>
      <c r="CZ58" s="949"/>
      <c r="DA58" s="949">
        <v>0</v>
      </c>
      <c r="DB58" s="949">
        <v>0</v>
      </c>
      <c r="DC58" s="949"/>
      <c r="DD58" s="949"/>
      <c r="DE58" s="949"/>
      <c r="DF58" s="949"/>
      <c r="DG58" s="949"/>
      <c r="DH58" s="949">
        <v>65595067</v>
      </c>
      <c r="DI58" s="949">
        <v>10676726</v>
      </c>
      <c r="DJ58" s="949">
        <v>4210689</v>
      </c>
      <c r="DK58" s="949">
        <v>13492808</v>
      </c>
      <c r="DL58" s="949">
        <v>37214844</v>
      </c>
      <c r="DM58" s="949"/>
      <c r="DN58" s="949">
        <v>13367682</v>
      </c>
      <c r="DO58" s="949"/>
      <c r="DP58" s="949"/>
      <c r="DQ58" s="949">
        <v>244891346</v>
      </c>
      <c r="DT58" s="3">
        <v>0</v>
      </c>
    </row>
    <row r="59" spans="2:124" s="3" customFormat="1" ht="15">
      <c r="B59" s="1408">
        <v>43405</v>
      </c>
      <c r="C59" s="3">
        <v>134248102</v>
      </c>
      <c r="D59" s="3">
        <v>134248102</v>
      </c>
      <c r="E59" s="3">
        <v>95965255</v>
      </c>
      <c r="F59" s="3">
        <v>38282847</v>
      </c>
      <c r="O59" s="3">
        <v>52328379</v>
      </c>
      <c r="P59" s="3">
        <v>20615123</v>
      </c>
      <c r="Q59" s="3">
        <v>1669976</v>
      </c>
      <c r="R59" s="3">
        <v>1368683</v>
      </c>
      <c r="S59" s="3">
        <v>301293</v>
      </c>
      <c r="U59" s="3">
        <v>18945147</v>
      </c>
      <c r="V59" s="3">
        <v>7026820</v>
      </c>
      <c r="W59" s="3">
        <v>11918327</v>
      </c>
      <c r="Y59" s="3">
        <v>0</v>
      </c>
      <c r="AC59" s="3">
        <v>0</v>
      </c>
      <c r="AE59" s="3">
        <v>0</v>
      </c>
      <c r="AG59" s="3">
        <v>3249105</v>
      </c>
      <c r="AH59" s="3">
        <v>1885075</v>
      </c>
      <c r="AI59" s="3">
        <v>1364030</v>
      </c>
      <c r="AK59" s="3">
        <v>6043463</v>
      </c>
      <c r="AL59" s="3">
        <v>2003963</v>
      </c>
      <c r="AM59" s="3">
        <v>4039500</v>
      </c>
      <c r="AO59" s="3">
        <v>6546614</v>
      </c>
      <c r="AP59" s="3">
        <v>6546614</v>
      </c>
      <c r="AQ59" s="3">
        <v>0</v>
      </c>
      <c r="AS59" s="3">
        <v>15874074</v>
      </c>
      <c r="AT59" s="3">
        <v>9065014</v>
      </c>
      <c r="AU59" s="3">
        <v>6809060</v>
      </c>
      <c r="AW59" s="3">
        <v>0</v>
      </c>
      <c r="BB59" s="3">
        <v>0</v>
      </c>
      <c r="BC59" s="3">
        <v>0</v>
      </c>
      <c r="BE59" s="3">
        <v>0</v>
      </c>
      <c r="BJ59" s="3">
        <v>0</v>
      </c>
      <c r="BL59" s="3">
        <v>0</v>
      </c>
      <c r="BQ59" s="3">
        <v>0</v>
      </c>
      <c r="BS59" s="3">
        <v>0</v>
      </c>
      <c r="BX59" s="3">
        <v>0</v>
      </c>
      <c r="CD59" s="3">
        <v>0</v>
      </c>
      <c r="CE59" s="3">
        <v>0</v>
      </c>
      <c r="CH59" s="3">
        <v>0</v>
      </c>
      <c r="CL59" s="3">
        <v>0</v>
      </c>
      <c r="CQ59" s="3">
        <v>0</v>
      </c>
      <c r="CR59" s="3">
        <v>0</v>
      </c>
      <c r="CU59" s="3">
        <v>0</v>
      </c>
      <c r="CY59" s="3">
        <v>0</v>
      </c>
      <c r="DA59" s="3">
        <v>0</v>
      </c>
      <c r="DB59" s="3">
        <v>0</v>
      </c>
      <c r="DH59" s="3">
        <v>66569485</v>
      </c>
      <c r="DI59" s="3">
        <v>10579253</v>
      </c>
      <c r="DJ59" s="3">
        <v>4207148</v>
      </c>
      <c r="DK59" s="3">
        <v>13492808</v>
      </c>
      <c r="DL59" s="3">
        <v>38290276</v>
      </c>
      <c r="DN59" s="3">
        <v>14854688</v>
      </c>
      <c r="DQ59" s="3">
        <v>268000654</v>
      </c>
      <c r="DT59" s="3">
        <v>0</v>
      </c>
    </row>
    <row r="60" spans="2:124" s="3" customFormat="1" ht="15">
      <c r="B60" s="1408">
        <v>43435</v>
      </c>
      <c r="C60" s="3">
        <v>132836823.97</v>
      </c>
      <c r="D60" s="3">
        <v>132836823.97</v>
      </c>
      <c r="E60" s="3">
        <v>87026137</v>
      </c>
      <c r="F60" s="3">
        <v>45810686.969999999</v>
      </c>
      <c r="O60" s="3">
        <v>53216809</v>
      </c>
      <c r="P60" s="3">
        <v>21484276</v>
      </c>
      <c r="Q60" s="3">
        <v>1651817</v>
      </c>
      <c r="R60" s="3">
        <v>1532775</v>
      </c>
      <c r="S60" s="3">
        <v>119042</v>
      </c>
      <c r="U60" s="3">
        <v>19832459</v>
      </c>
      <c r="V60" s="3">
        <v>6455338</v>
      </c>
      <c r="W60" s="3">
        <v>13377121</v>
      </c>
      <c r="Y60" s="3">
        <v>0</v>
      </c>
      <c r="AC60" s="3">
        <v>0</v>
      </c>
      <c r="AE60" s="3">
        <v>0</v>
      </c>
      <c r="AG60" s="3">
        <v>3738854</v>
      </c>
      <c r="AH60" s="3">
        <v>2401223</v>
      </c>
      <c r="AI60" s="3">
        <v>1337631</v>
      </c>
      <c r="AK60" s="3">
        <v>6475336</v>
      </c>
      <c r="AL60" s="3">
        <v>2416836</v>
      </c>
      <c r="AM60" s="3">
        <v>4058500</v>
      </c>
      <c r="AO60" s="3">
        <v>8683472</v>
      </c>
      <c r="AP60" s="3">
        <v>6720436</v>
      </c>
      <c r="AQ60" s="3">
        <v>1963036</v>
      </c>
      <c r="AS60" s="3">
        <v>12834871</v>
      </c>
      <c r="AT60" s="3">
        <v>10127630</v>
      </c>
      <c r="AU60" s="3">
        <v>2707241</v>
      </c>
      <c r="AW60" s="3">
        <v>0</v>
      </c>
      <c r="BB60" s="3">
        <v>15364.029999999999</v>
      </c>
      <c r="BC60" s="3">
        <v>15364.029999999999</v>
      </c>
      <c r="BD60" s="3">
        <v>15364.029999999999</v>
      </c>
      <c r="BE60" s="3">
        <v>0</v>
      </c>
      <c r="BJ60" s="3">
        <v>0</v>
      </c>
      <c r="BL60" s="3">
        <v>0</v>
      </c>
      <c r="BQ60" s="3">
        <v>0</v>
      </c>
      <c r="BS60" s="3">
        <v>0</v>
      </c>
      <c r="BX60" s="3">
        <v>0</v>
      </c>
      <c r="CD60" s="3">
        <v>0</v>
      </c>
      <c r="CE60" s="3">
        <v>0</v>
      </c>
      <c r="CH60" s="3">
        <v>0</v>
      </c>
      <c r="CL60" s="3">
        <v>0</v>
      </c>
      <c r="CQ60" s="3">
        <v>0</v>
      </c>
      <c r="CR60" s="3">
        <v>0</v>
      </c>
      <c r="CU60" s="3">
        <v>0</v>
      </c>
      <c r="CY60" s="3">
        <v>0</v>
      </c>
      <c r="DA60" s="3">
        <v>0</v>
      </c>
      <c r="DB60" s="3">
        <v>0</v>
      </c>
      <c r="DH60" s="3">
        <v>69741335</v>
      </c>
      <c r="DI60" s="3">
        <v>10855357</v>
      </c>
      <c r="DJ60" s="3">
        <v>4747823</v>
      </c>
      <c r="DK60" s="3">
        <v>16854813</v>
      </c>
      <c r="DL60" s="3">
        <v>37283342</v>
      </c>
      <c r="DN60" s="3">
        <v>13452779</v>
      </c>
      <c r="DQ60" s="3">
        <v>269263111</v>
      </c>
    </row>
    <row r="63" spans="2:124" s="1364" customFormat="1" ht="15.6">
      <c r="B63" s="1408">
        <v>43466</v>
      </c>
      <c r="C63" s="1364">
        <v>104266912</v>
      </c>
      <c r="D63" s="1364">
        <v>104266912</v>
      </c>
      <c r="E63" s="1364">
        <v>78882696</v>
      </c>
      <c r="F63" s="1364">
        <v>25384216</v>
      </c>
      <c r="O63" s="1364">
        <v>52414491</v>
      </c>
      <c r="P63" s="1364">
        <v>20760375</v>
      </c>
      <c r="Q63" s="1364">
        <v>2012902</v>
      </c>
      <c r="R63" s="1364">
        <v>1738512</v>
      </c>
      <c r="S63" s="1364">
        <v>274390</v>
      </c>
      <c r="U63" s="1364">
        <v>18747473</v>
      </c>
      <c r="V63" s="1364">
        <v>6525267</v>
      </c>
      <c r="W63" s="1364">
        <v>12222206</v>
      </c>
      <c r="Y63" s="1364">
        <v>0</v>
      </c>
      <c r="AC63" s="1364">
        <v>0</v>
      </c>
      <c r="AE63" s="1364">
        <v>0</v>
      </c>
      <c r="AG63" s="1364">
        <v>4518770</v>
      </c>
      <c r="AH63" s="1364">
        <v>3497784</v>
      </c>
      <c r="AI63" s="1364">
        <v>1020986</v>
      </c>
      <c r="AK63" s="1364">
        <v>6637900</v>
      </c>
      <c r="AL63" s="1364">
        <v>2563900</v>
      </c>
      <c r="AM63" s="1364">
        <v>4074000</v>
      </c>
      <c r="AO63" s="1364">
        <v>8102982</v>
      </c>
      <c r="AP63" s="1364">
        <v>8102982</v>
      </c>
      <c r="AQ63" s="1364">
        <v>0</v>
      </c>
      <c r="AS63" s="1364">
        <v>12394464</v>
      </c>
      <c r="AT63" s="1364">
        <v>11788747</v>
      </c>
      <c r="AU63" s="1364">
        <v>605717</v>
      </c>
      <c r="AW63" s="1364">
        <v>0</v>
      </c>
      <c r="BB63" s="1364">
        <v>25987</v>
      </c>
      <c r="BC63" s="1364">
        <v>25987</v>
      </c>
      <c r="BD63" s="1364">
        <v>25987</v>
      </c>
      <c r="BE63" s="1364">
        <v>0</v>
      </c>
      <c r="BJ63" s="1364">
        <v>0</v>
      </c>
      <c r="BL63" s="1364">
        <v>0</v>
      </c>
      <c r="BQ63" s="1364">
        <v>0</v>
      </c>
      <c r="BS63" s="1364">
        <v>0</v>
      </c>
      <c r="BX63" s="1364">
        <v>0</v>
      </c>
      <c r="CD63" s="1364">
        <v>0</v>
      </c>
      <c r="CE63" s="1364">
        <v>0</v>
      </c>
      <c r="CH63" s="1364">
        <v>0</v>
      </c>
      <c r="CL63" s="1364">
        <v>0</v>
      </c>
      <c r="CQ63" s="1364">
        <v>0</v>
      </c>
      <c r="CR63" s="1364">
        <v>0</v>
      </c>
      <c r="CU63" s="1364">
        <v>0</v>
      </c>
      <c r="CY63" s="1364">
        <v>0</v>
      </c>
      <c r="DA63" s="1364">
        <v>0</v>
      </c>
      <c r="DB63" s="1364">
        <v>0</v>
      </c>
      <c r="DH63" s="1364">
        <v>71524223</v>
      </c>
      <c r="DI63" s="1364">
        <v>11215050</v>
      </c>
      <c r="DJ63" s="1364">
        <v>4385850</v>
      </c>
      <c r="DK63" s="1364">
        <v>1413399</v>
      </c>
      <c r="DL63" s="1364">
        <v>54509924</v>
      </c>
      <c r="DN63" s="1364">
        <v>13066400</v>
      </c>
      <c r="DQ63" s="1364">
        <v>241298013</v>
      </c>
    </row>
    <row r="64" spans="2:124" ht="15.6">
      <c r="B64" s="1408">
        <v>43497</v>
      </c>
      <c r="C64" s="1028">
        <v>106681997</v>
      </c>
      <c r="D64" s="1028">
        <v>106681997</v>
      </c>
      <c r="E64" s="1028">
        <v>81395240</v>
      </c>
      <c r="F64" s="1028">
        <v>25286757</v>
      </c>
      <c r="O64" s="1028">
        <v>52490012</v>
      </c>
      <c r="P64" s="1028">
        <v>22969800</v>
      </c>
      <c r="Q64" s="1028">
        <v>1628671</v>
      </c>
      <c r="R64" s="1028">
        <v>1358882</v>
      </c>
      <c r="S64" s="1028">
        <v>269789</v>
      </c>
      <c r="U64" s="1028">
        <v>21341129</v>
      </c>
      <c r="V64" s="1028">
        <v>5913059</v>
      </c>
      <c r="W64" s="1028">
        <v>15428070</v>
      </c>
      <c r="Y64" s="1028">
        <v>0</v>
      </c>
      <c r="AC64" s="1028">
        <v>0</v>
      </c>
      <c r="AE64" s="1028">
        <v>0</v>
      </c>
      <c r="AG64" s="1028">
        <v>3496641</v>
      </c>
      <c r="AH64" s="1028">
        <v>2173185</v>
      </c>
      <c r="AI64" s="1028">
        <v>1323456</v>
      </c>
      <c r="AK64" s="1028">
        <v>6648234</v>
      </c>
      <c r="AL64" s="1028">
        <v>2560234</v>
      </c>
      <c r="AM64" s="1028">
        <v>4088000</v>
      </c>
      <c r="AO64" s="1028">
        <v>8230151</v>
      </c>
      <c r="AP64" s="1028">
        <v>8127801</v>
      </c>
      <c r="AQ64" s="1028">
        <v>102350</v>
      </c>
      <c r="AS64" s="1028">
        <v>11145186</v>
      </c>
      <c r="AT64" s="1028">
        <v>8577567</v>
      </c>
      <c r="AU64" s="1028">
        <v>2567619</v>
      </c>
      <c r="AW64" s="1028">
        <v>0</v>
      </c>
      <c r="BB64" s="1028">
        <v>102109</v>
      </c>
      <c r="BC64" s="1028">
        <v>102109</v>
      </c>
      <c r="BD64" s="1028">
        <v>102109</v>
      </c>
      <c r="BE64" s="1028">
        <v>0</v>
      </c>
      <c r="BJ64" s="1028">
        <v>0</v>
      </c>
      <c r="BL64" s="1028">
        <v>0</v>
      </c>
      <c r="BQ64" s="1028">
        <v>0</v>
      </c>
      <c r="BS64" s="1028">
        <v>0</v>
      </c>
      <c r="BX64" s="1028">
        <v>0</v>
      </c>
      <c r="CD64" s="1028">
        <v>0</v>
      </c>
      <c r="CE64" s="1028">
        <v>0</v>
      </c>
      <c r="CH64" s="1028">
        <v>0</v>
      </c>
      <c r="CL64" s="1028">
        <v>0</v>
      </c>
      <c r="CQ64" s="1028">
        <v>0</v>
      </c>
      <c r="CR64" s="1028">
        <v>0</v>
      </c>
      <c r="CU64" s="1028">
        <v>0</v>
      </c>
      <c r="CY64" s="1028">
        <v>0</v>
      </c>
      <c r="DA64" s="1028">
        <v>0</v>
      </c>
      <c r="DB64" s="1028">
        <v>0</v>
      </c>
      <c r="DH64" s="1028">
        <v>72354427</v>
      </c>
      <c r="DI64" s="1028">
        <v>10953359</v>
      </c>
      <c r="DJ64" s="1028">
        <v>4355703</v>
      </c>
      <c r="DK64" s="1028">
        <v>2591707</v>
      </c>
      <c r="DL64" s="1028">
        <v>54453658</v>
      </c>
      <c r="DN64" s="1028">
        <v>11669575</v>
      </c>
      <c r="DQ64" s="1028">
        <v>243298120</v>
      </c>
      <c r="DT64" s="1028">
        <v>0</v>
      </c>
    </row>
    <row r="65" spans="2:168" ht="15.6">
      <c r="B65" s="1408">
        <v>43525</v>
      </c>
      <c r="C65" s="1028">
        <v>104110286</v>
      </c>
      <c r="D65" s="1028">
        <v>104110286</v>
      </c>
      <c r="E65" s="1028">
        <v>77299331</v>
      </c>
      <c r="F65" s="1028">
        <v>26810955</v>
      </c>
      <c r="O65" s="1028">
        <v>43407626</v>
      </c>
      <c r="P65" s="1028">
        <v>15621302</v>
      </c>
      <c r="Q65" s="1028">
        <v>1609772</v>
      </c>
      <c r="R65" s="1028">
        <v>1369991</v>
      </c>
      <c r="S65" s="1028">
        <v>239781</v>
      </c>
      <c r="U65" s="1028">
        <v>14011530</v>
      </c>
      <c r="V65" s="1028">
        <v>4542048</v>
      </c>
      <c r="W65" s="1028">
        <v>9469482</v>
      </c>
      <c r="Y65" s="1028">
        <v>0</v>
      </c>
      <c r="AC65" s="1028">
        <v>0</v>
      </c>
      <c r="AE65" s="1028">
        <v>0</v>
      </c>
      <c r="AG65" s="1028">
        <v>1319729</v>
      </c>
      <c r="AH65" s="1028">
        <v>1284686</v>
      </c>
      <c r="AI65" s="1028">
        <v>35043</v>
      </c>
      <c r="AK65" s="1028">
        <v>6543698</v>
      </c>
      <c r="AL65" s="1028">
        <v>2531198</v>
      </c>
      <c r="AM65" s="1028">
        <v>4012500</v>
      </c>
      <c r="AO65" s="1028">
        <v>8184902</v>
      </c>
      <c r="AP65" s="1028">
        <v>8184902</v>
      </c>
      <c r="AQ65" s="1028">
        <v>0</v>
      </c>
      <c r="AS65" s="1028">
        <v>11737995</v>
      </c>
      <c r="AT65" s="1028">
        <v>9251979</v>
      </c>
      <c r="AU65" s="1028">
        <v>2486016</v>
      </c>
      <c r="AW65" s="1028">
        <v>0</v>
      </c>
      <c r="BB65" s="1028">
        <v>583307</v>
      </c>
      <c r="BC65" s="1028">
        <v>583307</v>
      </c>
      <c r="BD65" s="1028">
        <v>583307</v>
      </c>
      <c r="BE65" s="1028">
        <v>0</v>
      </c>
      <c r="BJ65" s="1028">
        <v>0</v>
      </c>
      <c r="BL65" s="1028">
        <v>0</v>
      </c>
      <c r="BQ65" s="1028">
        <v>0</v>
      </c>
      <c r="BS65" s="1028">
        <v>0</v>
      </c>
      <c r="BX65" s="1028">
        <v>0</v>
      </c>
      <c r="CD65" s="1028">
        <v>0</v>
      </c>
      <c r="CE65" s="1028">
        <v>0</v>
      </c>
      <c r="CH65" s="1028">
        <v>0</v>
      </c>
      <c r="CL65" s="1028">
        <v>0</v>
      </c>
      <c r="CQ65" s="1028">
        <v>0</v>
      </c>
      <c r="CR65" s="1028">
        <v>0</v>
      </c>
      <c r="CU65" s="1028">
        <v>0</v>
      </c>
      <c r="CY65" s="1028">
        <v>0</v>
      </c>
      <c r="DA65" s="1028">
        <v>0</v>
      </c>
      <c r="DB65" s="1028">
        <v>0</v>
      </c>
      <c r="DH65" s="1028">
        <v>73660624</v>
      </c>
      <c r="DI65" s="1028">
        <v>10941238</v>
      </c>
      <c r="DJ65" s="1028">
        <v>4396374</v>
      </c>
      <c r="DK65" s="1028">
        <v>5249257</v>
      </c>
      <c r="DL65" s="1028">
        <v>53073755</v>
      </c>
      <c r="DN65" s="1028">
        <v>13381963</v>
      </c>
      <c r="DQ65" s="1028">
        <v>235143806</v>
      </c>
      <c r="DT65" s="1028">
        <v>0</v>
      </c>
    </row>
    <row r="66" spans="2:168" ht="15.6">
      <c r="B66" s="1408">
        <v>43556</v>
      </c>
      <c r="C66" s="1028">
        <v>119006963</v>
      </c>
      <c r="D66" s="1028">
        <v>119006963</v>
      </c>
      <c r="E66" s="1028">
        <v>79590282</v>
      </c>
      <c r="F66" s="1028">
        <v>39416681</v>
      </c>
      <c r="O66" s="1028">
        <v>50542996</v>
      </c>
      <c r="P66" s="1028">
        <v>9544295</v>
      </c>
      <c r="Q66" s="1028">
        <v>2975120</v>
      </c>
      <c r="R66" s="1028">
        <v>2607591</v>
      </c>
      <c r="S66" s="1028">
        <v>367529</v>
      </c>
      <c r="U66" s="1028">
        <v>6569175</v>
      </c>
      <c r="V66" s="1028">
        <v>2664818</v>
      </c>
      <c r="W66" s="1028">
        <v>3904357</v>
      </c>
      <c r="Y66" s="1028">
        <v>0</v>
      </c>
      <c r="AC66" s="1028">
        <v>0</v>
      </c>
      <c r="AE66" s="1028">
        <v>0</v>
      </c>
      <c r="AG66" s="1028">
        <v>776491</v>
      </c>
      <c r="AH66" s="1028">
        <v>291600</v>
      </c>
      <c r="AI66" s="1028">
        <v>484891</v>
      </c>
      <c r="AK66" s="1028">
        <v>6550237</v>
      </c>
      <c r="AL66" s="1028">
        <v>2523253</v>
      </c>
      <c r="AM66" s="1028">
        <v>4026984</v>
      </c>
      <c r="AO66" s="1028">
        <v>9573655</v>
      </c>
      <c r="AP66" s="1028">
        <v>9573655</v>
      </c>
      <c r="AQ66" s="1028">
        <v>0</v>
      </c>
      <c r="AS66" s="1028">
        <v>24098318</v>
      </c>
      <c r="AT66" s="1028">
        <v>12604730</v>
      </c>
      <c r="AU66" s="1028">
        <v>11493588</v>
      </c>
      <c r="AW66" s="1028">
        <v>0</v>
      </c>
      <c r="BB66" s="1028">
        <v>1223422</v>
      </c>
      <c r="BC66" s="1028">
        <v>1223422</v>
      </c>
      <c r="BD66" s="1028">
        <v>1223422</v>
      </c>
      <c r="BE66" s="1028">
        <v>0</v>
      </c>
      <c r="BJ66" s="1028">
        <v>0</v>
      </c>
      <c r="BL66" s="1028">
        <v>0</v>
      </c>
      <c r="BQ66" s="1028">
        <v>0</v>
      </c>
      <c r="BS66" s="1028">
        <v>0</v>
      </c>
      <c r="BX66" s="1028">
        <v>0</v>
      </c>
      <c r="CD66" s="1028">
        <v>0</v>
      </c>
      <c r="CE66" s="1028">
        <v>0</v>
      </c>
      <c r="CH66" s="1028">
        <v>0</v>
      </c>
      <c r="CL66" s="1028">
        <v>0</v>
      </c>
      <c r="CQ66" s="1028">
        <v>0</v>
      </c>
      <c r="CR66" s="1028">
        <v>0</v>
      </c>
      <c r="CU66" s="1028">
        <v>0</v>
      </c>
      <c r="CY66" s="1028">
        <v>0</v>
      </c>
      <c r="DA66" s="1028">
        <v>0</v>
      </c>
      <c r="DB66" s="1028">
        <v>0</v>
      </c>
      <c r="DH66" s="1028">
        <v>77696852</v>
      </c>
      <c r="DI66" s="1028">
        <v>10892474</v>
      </c>
      <c r="DJ66" s="1028">
        <v>1902649</v>
      </c>
      <c r="DK66" s="1028">
        <v>9229339</v>
      </c>
      <c r="DL66" s="1028">
        <v>55672390</v>
      </c>
      <c r="DN66" s="1028">
        <v>13430347</v>
      </c>
      <c r="DQ66" s="1028">
        <v>261900580</v>
      </c>
      <c r="DT66" s="1028">
        <v>0</v>
      </c>
    </row>
    <row r="67" spans="2:168" ht="15.6">
      <c r="B67" s="1408">
        <v>43586</v>
      </c>
      <c r="C67" s="1028">
        <v>111458616</v>
      </c>
      <c r="D67" s="1028">
        <v>111458616</v>
      </c>
      <c r="E67" s="1028">
        <v>80656264</v>
      </c>
      <c r="F67" s="1028">
        <v>30802352</v>
      </c>
      <c r="O67" s="1028">
        <v>50438685</v>
      </c>
      <c r="P67" s="1028">
        <v>11498290</v>
      </c>
      <c r="Q67" s="1028">
        <v>1774932</v>
      </c>
      <c r="R67" s="1028">
        <v>1314979</v>
      </c>
      <c r="S67" s="1028">
        <v>459953</v>
      </c>
      <c r="U67" s="1028">
        <v>9723358</v>
      </c>
      <c r="V67" s="1028">
        <v>5099756</v>
      </c>
      <c r="W67" s="1028">
        <v>4623602</v>
      </c>
      <c r="Y67" s="1028">
        <v>0</v>
      </c>
      <c r="AC67" s="1028">
        <v>0</v>
      </c>
      <c r="AE67" s="1028">
        <v>0</v>
      </c>
      <c r="AG67" s="1028">
        <v>685646</v>
      </c>
      <c r="AH67" s="1028">
        <v>179524</v>
      </c>
      <c r="AI67" s="1028">
        <v>506122</v>
      </c>
      <c r="AK67" s="1028">
        <v>6310404</v>
      </c>
      <c r="AL67" s="1028">
        <v>2270014</v>
      </c>
      <c r="AM67" s="1028">
        <v>4040390</v>
      </c>
      <c r="AO67" s="1028">
        <v>8302263</v>
      </c>
      <c r="AP67" s="1028">
        <v>8302263</v>
      </c>
      <c r="AQ67" s="1028">
        <v>0</v>
      </c>
      <c r="AS67" s="1028">
        <v>23642082</v>
      </c>
      <c r="AT67" s="1028">
        <v>16229737</v>
      </c>
      <c r="AU67" s="1028">
        <v>7412345</v>
      </c>
      <c r="AW67" s="1028">
        <v>0</v>
      </c>
      <c r="BB67" s="1028">
        <v>1739348</v>
      </c>
      <c r="BC67" s="1028">
        <v>1739348</v>
      </c>
      <c r="BD67" s="1028">
        <v>1739348</v>
      </c>
      <c r="BE67" s="1028">
        <v>0</v>
      </c>
      <c r="BJ67" s="1028">
        <v>0</v>
      </c>
      <c r="BL67" s="1028">
        <v>0</v>
      </c>
      <c r="BQ67" s="1028">
        <v>0</v>
      </c>
      <c r="BS67" s="1028">
        <v>0</v>
      </c>
      <c r="BX67" s="1028">
        <v>0</v>
      </c>
      <c r="CD67" s="1028">
        <v>0</v>
      </c>
      <c r="CE67" s="1028">
        <v>0</v>
      </c>
      <c r="CH67" s="1028">
        <v>0</v>
      </c>
      <c r="CL67" s="1028">
        <v>0</v>
      </c>
      <c r="CQ67" s="1028">
        <v>0</v>
      </c>
      <c r="CR67" s="1028">
        <v>0</v>
      </c>
      <c r="CU67" s="1028">
        <v>0</v>
      </c>
      <c r="CY67" s="1028">
        <v>0</v>
      </c>
      <c r="DA67" s="1028">
        <v>0</v>
      </c>
      <c r="DB67" s="1028">
        <v>0</v>
      </c>
      <c r="DH67" s="1028">
        <v>83486336</v>
      </c>
      <c r="DI67" s="1028">
        <v>10679290</v>
      </c>
      <c r="DJ67" s="1028">
        <v>1974186</v>
      </c>
      <c r="DK67" s="1028">
        <v>12652116</v>
      </c>
      <c r="DL67" s="1028">
        <v>58180744</v>
      </c>
      <c r="DN67" s="1028">
        <v>15542498</v>
      </c>
      <c r="DQ67" s="1028">
        <v>262665483</v>
      </c>
      <c r="DT67" s="1028">
        <v>0</v>
      </c>
    </row>
    <row r="68" spans="2:168" ht="15.6">
      <c r="B68" s="1408">
        <v>43617</v>
      </c>
      <c r="C68" s="1028">
        <v>112093987</v>
      </c>
      <c r="D68" s="1028">
        <v>112093987</v>
      </c>
      <c r="E68" s="1028">
        <v>76447191</v>
      </c>
      <c r="F68" s="1028">
        <v>35646796</v>
      </c>
      <c r="O68" s="1028">
        <v>45729333</v>
      </c>
      <c r="P68" s="1028">
        <v>8848816</v>
      </c>
      <c r="Q68" s="1028">
        <v>1379085</v>
      </c>
      <c r="R68" s="1028">
        <v>929449</v>
      </c>
      <c r="S68" s="1028">
        <v>449636</v>
      </c>
      <c r="U68" s="1028">
        <v>7469731</v>
      </c>
      <c r="V68" s="1028">
        <v>3865063</v>
      </c>
      <c r="W68" s="1028">
        <v>3604668</v>
      </c>
      <c r="Y68" s="1028">
        <v>0</v>
      </c>
      <c r="AC68" s="1028">
        <v>0</v>
      </c>
      <c r="AE68" s="1028">
        <v>0</v>
      </c>
      <c r="AG68" s="1028">
        <v>935920</v>
      </c>
      <c r="AH68" s="1028">
        <v>900577</v>
      </c>
      <c r="AI68" s="1028">
        <v>35343</v>
      </c>
      <c r="AK68" s="1028">
        <v>6363873</v>
      </c>
      <c r="AL68" s="1028">
        <v>2306873</v>
      </c>
      <c r="AM68" s="1028">
        <v>4057000</v>
      </c>
      <c r="AO68" s="1028">
        <v>8358925</v>
      </c>
      <c r="AP68" s="1028">
        <v>8358925</v>
      </c>
      <c r="AQ68" s="1028">
        <v>0</v>
      </c>
      <c r="AS68" s="1028">
        <v>21221799</v>
      </c>
      <c r="AT68" s="1028">
        <v>15743707</v>
      </c>
      <c r="AU68" s="1028">
        <v>5478092</v>
      </c>
      <c r="AW68" s="1028">
        <v>0</v>
      </c>
      <c r="BB68" s="1028">
        <v>3007833</v>
      </c>
      <c r="BC68" s="1028">
        <v>3007833</v>
      </c>
      <c r="BD68" s="1028">
        <v>3007833</v>
      </c>
      <c r="BE68" s="1028">
        <v>0</v>
      </c>
      <c r="BJ68" s="1028">
        <v>0</v>
      </c>
      <c r="BL68" s="1028">
        <v>0</v>
      </c>
      <c r="BQ68" s="1028">
        <v>0</v>
      </c>
      <c r="BS68" s="1028">
        <v>0</v>
      </c>
      <c r="BX68" s="1028">
        <v>0</v>
      </c>
      <c r="CD68" s="1028">
        <v>0</v>
      </c>
      <c r="CE68" s="1028">
        <v>0</v>
      </c>
      <c r="CH68" s="1028">
        <v>0</v>
      </c>
      <c r="CL68" s="1028">
        <v>0</v>
      </c>
      <c r="CQ68" s="1028">
        <v>0</v>
      </c>
      <c r="CR68" s="1028">
        <v>0</v>
      </c>
      <c r="CU68" s="1028">
        <v>0</v>
      </c>
      <c r="CY68" s="1028">
        <v>0</v>
      </c>
      <c r="DA68" s="1028">
        <v>0</v>
      </c>
      <c r="DB68" s="1028">
        <v>0</v>
      </c>
      <c r="DH68" s="1028">
        <v>85374776</v>
      </c>
      <c r="DI68" s="1028">
        <v>10609092</v>
      </c>
      <c r="DJ68" s="1028">
        <v>1906596</v>
      </c>
      <c r="DK68" s="1028">
        <v>18316893</v>
      </c>
      <c r="DL68" s="1028">
        <v>54542195</v>
      </c>
      <c r="DN68" s="1028">
        <v>25851821</v>
      </c>
      <c r="DQ68" s="1028">
        <v>272057750</v>
      </c>
      <c r="DT68" s="1028">
        <v>0</v>
      </c>
    </row>
    <row r="69" spans="2:168" ht="15.6">
      <c r="B69" s="1408">
        <v>43647</v>
      </c>
      <c r="C69" s="1028">
        <v>131140357</v>
      </c>
      <c r="D69" s="1028">
        <v>131140357</v>
      </c>
      <c r="E69" s="1028">
        <v>94063698</v>
      </c>
      <c r="F69" s="1028">
        <v>37076659</v>
      </c>
      <c r="O69" s="1028">
        <v>38359770</v>
      </c>
      <c r="P69" s="1028">
        <v>9875352</v>
      </c>
      <c r="Q69" s="1028">
        <v>1387328</v>
      </c>
      <c r="R69" s="1028">
        <v>948993</v>
      </c>
      <c r="S69" s="1028">
        <v>438335</v>
      </c>
      <c r="U69" s="1028">
        <v>8488024</v>
      </c>
      <c r="V69" s="1028">
        <v>6791583</v>
      </c>
      <c r="W69" s="1028">
        <v>1696441</v>
      </c>
      <c r="Y69" s="1028">
        <v>0</v>
      </c>
      <c r="AC69" s="1028">
        <v>0</v>
      </c>
      <c r="AE69" s="1028">
        <v>0</v>
      </c>
      <c r="AG69" s="1028">
        <v>351216</v>
      </c>
      <c r="AH69" s="1028">
        <v>0</v>
      </c>
      <c r="AI69" s="1028">
        <v>351216</v>
      </c>
      <c r="AK69" s="1028">
        <v>6249601</v>
      </c>
      <c r="AL69" s="1028">
        <v>2176101</v>
      </c>
      <c r="AM69" s="1028">
        <v>4073500</v>
      </c>
      <c r="AO69" s="1028">
        <v>8034635</v>
      </c>
      <c r="AP69" s="1028">
        <v>8034635</v>
      </c>
      <c r="AQ69" s="1028">
        <v>0</v>
      </c>
      <c r="AS69" s="1028">
        <v>13848966</v>
      </c>
      <c r="AT69" s="1028">
        <v>13243191</v>
      </c>
      <c r="AU69" s="1028">
        <v>605775</v>
      </c>
      <c r="AW69" s="1028">
        <v>0</v>
      </c>
      <c r="BB69" s="1028">
        <v>4200297</v>
      </c>
      <c r="BC69" s="1028">
        <v>4200297</v>
      </c>
      <c r="BD69" s="1028">
        <v>4200297</v>
      </c>
      <c r="BE69" s="1028">
        <v>0</v>
      </c>
      <c r="BJ69" s="1028">
        <v>0</v>
      </c>
      <c r="BL69" s="1028">
        <v>0</v>
      </c>
      <c r="BQ69" s="1028">
        <v>0</v>
      </c>
      <c r="BS69" s="1028">
        <v>0</v>
      </c>
      <c r="BX69" s="1028">
        <v>0</v>
      </c>
      <c r="CD69" s="1028">
        <v>0</v>
      </c>
      <c r="CE69" s="1028">
        <v>0</v>
      </c>
      <c r="CH69" s="1028">
        <v>0</v>
      </c>
      <c r="CL69" s="1028">
        <v>0</v>
      </c>
      <c r="CQ69" s="1028">
        <v>0</v>
      </c>
      <c r="CR69" s="1028">
        <v>0</v>
      </c>
      <c r="CU69" s="1028">
        <v>0</v>
      </c>
      <c r="CY69" s="1028">
        <v>0</v>
      </c>
      <c r="DA69" s="1028">
        <v>0</v>
      </c>
      <c r="DB69" s="1028">
        <v>0</v>
      </c>
      <c r="DH69" s="1028">
        <v>122299430</v>
      </c>
      <c r="DI69" s="1028">
        <v>10937107</v>
      </c>
      <c r="DJ69" s="1028">
        <v>1859858</v>
      </c>
      <c r="DK69" s="1028">
        <v>24629747</v>
      </c>
      <c r="DL69" s="1028">
        <v>84872718</v>
      </c>
      <c r="DN69" s="1028">
        <v>22770594</v>
      </c>
      <c r="DQ69" s="1028">
        <v>318770448</v>
      </c>
      <c r="DT69" s="1028">
        <v>0</v>
      </c>
    </row>
    <row r="70" spans="2:168" ht="15.6">
      <c r="B70" s="1408">
        <v>43678</v>
      </c>
      <c r="C70" s="1028">
        <v>144424785</v>
      </c>
      <c r="D70" s="1028">
        <v>144424785</v>
      </c>
      <c r="E70" s="1028">
        <v>97903611</v>
      </c>
      <c r="F70" s="1028">
        <v>46521174</v>
      </c>
      <c r="O70" s="1028">
        <v>44413324</v>
      </c>
      <c r="P70" s="1028">
        <v>6310366</v>
      </c>
      <c r="Q70" s="1028">
        <v>1330106</v>
      </c>
      <c r="R70" s="1028">
        <v>1010729</v>
      </c>
      <c r="S70" s="1028">
        <v>319377</v>
      </c>
      <c r="U70" s="1028">
        <v>4980260</v>
      </c>
      <c r="V70" s="1028">
        <v>4879555</v>
      </c>
      <c r="W70" s="1028">
        <v>100705</v>
      </c>
      <c r="Y70" s="1028">
        <v>0</v>
      </c>
      <c r="AC70" s="1028">
        <v>0</v>
      </c>
      <c r="AE70" s="1028">
        <v>0</v>
      </c>
      <c r="AG70" s="1028">
        <v>0</v>
      </c>
      <c r="AH70" s="1028">
        <v>0</v>
      </c>
      <c r="AI70" s="1028">
        <v>0</v>
      </c>
      <c r="AK70" s="1028">
        <v>6143940</v>
      </c>
      <c r="AL70" s="1028">
        <v>2054940</v>
      </c>
      <c r="AM70" s="1028">
        <v>4089000</v>
      </c>
      <c r="AO70" s="1028">
        <v>454885</v>
      </c>
      <c r="AP70" s="1028">
        <v>436011</v>
      </c>
      <c r="AQ70" s="1028">
        <v>18874</v>
      </c>
      <c r="AS70" s="1028">
        <v>31504133</v>
      </c>
      <c r="AT70" s="1028">
        <v>22907693</v>
      </c>
      <c r="AU70" s="1028">
        <v>8596440</v>
      </c>
      <c r="AW70" s="1028">
        <v>0</v>
      </c>
      <c r="BB70" s="1028">
        <v>2416520</v>
      </c>
      <c r="BC70" s="1028">
        <v>2416520</v>
      </c>
      <c r="BD70" s="1028">
        <v>2416520</v>
      </c>
      <c r="BE70" s="1028">
        <v>0</v>
      </c>
      <c r="BJ70" s="1028">
        <v>0</v>
      </c>
      <c r="BL70" s="1028">
        <v>0</v>
      </c>
      <c r="BQ70" s="1028">
        <v>0</v>
      </c>
      <c r="BS70" s="1028">
        <v>0</v>
      </c>
      <c r="BX70" s="1028">
        <v>0</v>
      </c>
      <c r="CD70" s="1028">
        <v>0</v>
      </c>
      <c r="CE70" s="1028">
        <v>0</v>
      </c>
      <c r="CH70" s="1028">
        <v>0</v>
      </c>
      <c r="CL70" s="1028">
        <v>0</v>
      </c>
      <c r="CQ70" s="1028">
        <v>0</v>
      </c>
      <c r="CR70" s="1028">
        <v>0</v>
      </c>
      <c r="CU70" s="1028">
        <v>0</v>
      </c>
      <c r="CY70" s="1028">
        <v>0</v>
      </c>
      <c r="DA70" s="1028">
        <v>0</v>
      </c>
      <c r="DB70" s="1028">
        <v>0</v>
      </c>
      <c r="DH70" s="1028">
        <v>141401447</v>
      </c>
      <c r="DI70" s="1028">
        <v>11082683</v>
      </c>
      <c r="DJ70" s="1028">
        <v>1920401</v>
      </c>
      <c r="DK70" s="1028">
        <v>30912136</v>
      </c>
      <c r="DL70" s="1028">
        <v>97486227</v>
      </c>
      <c r="DN70" s="1028">
        <v>33617230</v>
      </c>
      <c r="DQ70" s="1028">
        <v>366273306</v>
      </c>
    </row>
    <row r="71" spans="2:168" s="949" customFormat="1" ht="15.6">
      <c r="B71" s="1408">
        <v>43709</v>
      </c>
      <c r="C71" s="1205">
        <v>137665092</v>
      </c>
      <c r="D71" s="1205">
        <v>137665092</v>
      </c>
      <c r="E71" s="1205">
        <v>92166323</v>
      </c>
      <c r="F71" s="1205">
        <v>45498769</v>
      </c>
      <c r="O71" s="949">
        <v>40669753</v>
      </c>
      <c r="P71" s="949">
        <v>5123359</v>
      </c>
      <c r="Q71" s="949">
        <v>1286435</v>
      </c>
      <c r="R71" s="949">
        <v>1105706</v>
      </c>
      <c r="S71" s="949">
        <v>180729</v>
      </c>
      <c r="U71" s="949">
        <v>3836924</v>
      </c>
      <c r="V71" s="949">
        <v>3588055</v>
      </c>
      <c r="W71" s="949">
        <v>248869</v>
      </c>
      <c r="Y71" s="949">
        <v>0</v>
      </c>
      <c r="AC71" s="949">
        <v>0</v>
      </c>
      <c r="AE71" s="949">
        <v>0</v>
      </c>
      <c r="AG71" s="949">
        <v>0</v>
      </c>
      <c r="AH71" s="949">
        <v>0</v>
      </c>
      <c r="AI71" s="949">
        <v>0</v>
      </c>
      <c r="AK71" s="949">
        <v>6117965</v>
      </c>
      <c r="AL71" s="949">
        <v>1647648</v>
      </c>
      <c r="AM71" s="949">
        <v>4470317</v>
      </c>
      <c r="AO71" s="949">
        <v>7242656</v>
      </c>
      <c r="AP71" s="949">
        <v>7242656</v>
      </c>
      <c r="AQ71" s="949">
        <v>0</v>
      </c>
      <c r="AS71" s="949">
        <v>22185773</v>
      </c>
      <c r="AT71" s="949">
        <v>16713169</v>
      </c>
      <c r="AU71" s="949">
        <v>5472604</v>
      </c>
      <c r="AW71" s="949">
        <v>0</v>
      </c>
      <c r="BB71" s="949">
        <v>6833731</v>
      </c>
      <c r="BC71" s="949">
        <v>6833731</v>
      </c>
      <c r="BD71" s="949">
        <v>6833731</v>
      </c>
      <c r="BE71" s="949">
        <v>0</v>
      </c>
      <c r="BJ71" s="949">
        <v>0</v>
      </c>
      <c r="BL71" s="949">
        <v>0</v>
      </c>
      <c r="BQ71" s="949">
        <v>0</v>
      </c>
      <c r="BS71" s="949">
        <v>0</v>
      </c>
      <c r="BX71" s="949">
        <v>0</v>
      </c>
      <c r="CD71" s="949">
        <v>0</v>
      </c>
      <c r="CE71" s="949">
        <v>0</v>
      </c>
      <c r="CH71" s="949">
        <v>0</v>
      </c>
      <c r="CL71" s="949">
        <v>0</v>
      </c>
      <c r="CQ71" s="949">
        <v>0</v>
      </c>
      <c r="CR71" s="949">
        <v>0</v>
      </c>
      <c r="CU71" s="949">
        <v>0</v>
      </c>
      <c r="CY71" s="949">
        <v>0</v>
      </c>
      <c r="DA71" s="949">
        <v>0</v>
      </c>
      <c r="DB71" s="949">
        <v>0</v>
      </c>
      <c r="DH71" s="949">
        <v>146619584</v>
      </c>
      <c r="DI71" s="949">
        <v>11194255</v>
      </c>
      <c r="DJ71" s="949">
        <v>1848643</v>
      </c>
      <c r="DK71" s="949">
        <v>34136184</v>
      </c>
      <c r="DL71" s="949">
        <v>99440502</v>
      </c>
      <c r="DN71" s="949">
        <v>36461967</v>
      </c>
      <c r="DQ71" s="949">
        <v>368250127</v>
      </c>
      <c r="DR71" s="949">
        <v>0</v>
      </c>
      <c r="DT71" s="949">
        <v>0</v>
      </c>
      <c r="DW71" s="949">
        <v>0</v>
      </c>
      <c r="EB71" s="949">
        <v>0</v>
      </c>
      <c r="EF71" s="949">
        <v>0</v>
      </c>
      <c r="EG71" s="949">
        <v>0</v>
      </c>
      <c r="EJ71" s="949">
        <v>0</v>
      </c>
      <c r="EM71" s="949">
        <v>0</v>
      </c>
      <c r="ES71" s="949">
        <v>77809430.620000005</v>
      </c>
      <c r="ET71" s="949">
        <v>49730108</v>
      </c>
      <c r="EU71" s="949">
        <v>4978411.0000000009</v>
      </c>
      <c r="EV71" s="949">
        <v>44751697</v>
      </c>
      <c r="EW71" s="949">
        <v>0</v>
      </c>
      <c r="EX71" s="949">
        <v>0</v>
      </c>
      <c r="EY71" s="949">
        <v>0</v>
      </c>
      <c r="EZ71" s="949">
        <v>27916227.432500012</v>
      </c>
      <c r="FA71" s="949">
        <v>1389425.2700000005</v>
      </c>
      <c r="FB71" s="949">
        <v>39598034.040000007</v>
      </c>
      <c r="FC71" s="949">
        <v>-13071231.877499998</v>
      </c>
      <c r="FD71" s="949">
        <v>163095.18749999258</v>
      </c>
      <c r="FF71" s="949">
        <v>3049097.589999998</v>
      </c>
      <c r="FL71" s="949">
        <v>80858528.210000008</v>
      </c>
    </row>
    <row r="72" spans="2:168" s="1205" customFormat="1" ht="15.6">
      <c r="B72" s="1408">
        <v>43739</v>
      </c>
      <c r="C72" s="1205">
        <v>171795947</v>
      </c>
      <c r="D72" s="1205">
        <v>171795947</v>
      </c>
      <c r="E72" s="1205">
        <v>118869891</v>
      </c>
      <c r="F72" s="1205">
        <v>52926056</v>
      </c>
      <c r="O72" s="1205">
        <v>45440924</v>
      </c>
      <c r="P72" s="1205">
        <v>10259194</v>
      </c>
      <c r="Q72" s="1205">
        <v>1303997</v>
      </c>
      <c r="R72" s="1205">
        <v>1097618</v>
      </c>
      <c r="S72" s="1205">
        <v>206379</v>
      </c>
      <c r="U72" s="1205">
        <v>8955197</v>
      </c>
      <c r="V72" s="1205">
        <v>3325931</v>
      </c>
      <c r="W72" s="1205">
        <v>5629266</v>
      </c>
      <c r="Y72" s="1205">
        <v>0</v>
      </c>
      <c r="AC72" s="1205">
        <v>0</v>
      </c>
      <c r="AE72" s="1205">
        <v>0</v>
      </c>
      <c r="AG72" s="1205">
        <v>0</v>
      </c>
      <c r="AH72" s="1205">
        <v>0</v>
      </c>
      <c r="AI72" s="1205">
        <v>0</v>
      </c>
      <c r="AK72" s="1205">
        <v>6231165</v>
      </c>
      <c r="AL72" s="1205">
        <v>1734006</v>
      </c>
      <c r="AM72" s="1205">
        <v>4497159</v>
      </c>
      <c r="AO72" s="1205">
        <v>5795748</v>
      </c>
      <c r="AP72" s="1205">
        <v>5795748</v>
      </c>
      <c r="AQ72" s="1205">
        <v>0</v>
      </c>
      <c r="AS72" s="1205">
        <v>23154817</v>
      </c>
      <c r="AT72" s="1205">
        <v>15597884</v>
      </c>
      <c r="AU72" s="1205">
        <v>7556933</v>
      </c>
      <c r="AW72" s="1205">
        <v>0</v>
      </c>
      <c r="BB72" s="1205">
        <v>8024682</v>
      </c>
      <c r="BC72" s="1205">
        <v>8024682</v>
      </c>
      <c r="BD72" s="1205">
        <v>8024682</v>
      </c>
      <c r="BE72" s="1205">
        <v>0</v>
      </c>
      <c r="BJ72" s="1205">
        <v>0</v>
      </c>
      <c r="BL72" s="1205">
        <v>0</v>
      </c>
      <c r="BQ72" s="1205">
        <v>0</v>
      </c>
      <c r="BS72" s="1205">
        <v>0</v>
      </c>
      <c r="BX72" s="1205">
        <v>0</v>
      </c>
      <c r="CD72" s="1205">
        <v>0</v>
      </c>
      <c r="CE72" s="1205">
        <v>0</v>
      </c>
      <c r="CH72" s="1205">
        <v>0</v>
      </c>
      <c r="CL72" s="1205">
        <v>0</v>
      </c>
      <c r="CQ72" s="1205">
        <v>0</v>
      </c>
      <c r="CR72" s="1205">
        <v>0</v>
      </c>
      <c r="CU72" s="1205">
        <v>0</v>
      </c>
      <c r="CY72" s="1205">
        <v>0</v>
      </c>
      <c r="DA72" s="1205">
        <v>0</v>
      </c>
      <c r="DB72" s="1205">
        <v>0</v>
      </c>
      <c r="DH72" s="1205">
        <v>151353806</v>
      </c>
      <c r="DI72" s="1205">
        <v>11641910</v>
      </c>
      <c r="DJ72" s="1205">
        <v>1647698</v>
      </c>
      <c r="DK72" s="1205">
        <v>39443667</v>
      </c>
      <c r="DL72" s="1205">
        <v>98620531</v>
      </c>
      <c r="DN72" s="1205">
        <v>40000634</v>
      </c>
      <c r="DQ72" s="1205">
        <v>416615993</v>
      </c>
    </row>
    <row r="73" spans="2:168" ht="15.6">
      <c r="B73" s="1408">
        <v>43770</v>
      </c>
      <c r="C73" s="1028">
        <v>227123944</v>
      </c>
      <c r="D73" s="1028">
        <v>227123944</v>
      </c>
      <c r="E73" s="1028">
        <v>148533739</v>
      </c>
      <c r="F73" s="1028">
        <v>78590205</v>
      </c>
      <c r="O73" s="1028">
        <v>42708977</v>
      </c>
      <c r="P73" s="1028">
        <v>10553350</v>
      </c>
      <c r="Q73" s="1028">
        <v>1281625</v>
      </c>
      <c r="R73" s="1028">
        <v>1130970</v>
      </c>
      <c r="S73" s="1028">
        <v>150655</v>
      </c>
      <c r="U73" s="1028">
        <v>9271725</v>
      </c>
      <c r="V73" s="1028">
        <v>2780535</v>
      </c>
      <c r="W73" s="1028">
        <v>6491190</v>
      </c>
      <c r="Y73" s="1028">
        <v>0</v>
      </c>
      <c r="AC73" s="1028">
        <v>0</v>
      </c>
      <c r="AE73" s="1028">
        <v>0</v>
      </c>
      <c r="AG73" s="1028">
        <v>0</v>
      </c>
      <c r="AH73" s="1028">
        <v>0</v>
      </c>
      <c r="AI73" s="1028">
        <v>0</v>
      </c>
      <c r="AK73" s="1028">
        <v>5215592</v>
      </c>
      <c r="AL73" s="1028">
        <v>1161220</v>
      </c>
      <c r="AM73" s="1028">
        <v>4054372</v>
      </c>
      <c r="AO73" s="1028">
        <v>5830614</v>
      </c>
      <c r="AP73" s="1028">
        <v>5830614</v>
      </c>
      <c r="AQ73" s="1028">
        <v>0</v>
      </c>
      <c r="AS73" s="1028">
        <v>21109421</v>
      </c>
      <c r="AT73" s="1028">
        <v>14978120</v>
      </c>
      <c r="AU73" s="1028">
        <v>6131301</v>
      </c>
      <c r="AW73" s="1028">
        <v>0</v>
      </c>
      <c r="BB73" s="1028">
        <v>7341313</v>
      </c>
      <c r="BC73" s="1028">
        <v>7341313</v>
      </c>
      <c r="BD73" s="1028">
        <v>7341313</v>
      </c>
      <c r="BE73" s="1028">
        <v>0</v>
      </c>
      <c r="BJ73" s="1028">
        <v>0</v>
      </c>
      <c r="BL73" s="1028">
        <v>0</v>
      </c>
      <c r="BQ73" s="1028">
        <v>0</v>
      </c>
      <c r="BS73" s="1028">
        <v>0</v>
      </c>
      <c r="BX73" s="1028">
        <v>0</v>
      </c>
      <c r="CD73" s="1028">
        <v>0</v>
      </c>
      <c r="CE73" s="1028">
        <v>0</v>
      </c>
      <c r="CH73" s="1028">
        <v>0</v>
      </c>
      <c r="CL73" s="1028">
        <v>0</v>
      </c>
      <c r="CQ73" s="1028">
        <v>0</v>
      </c>
      <c r="CR73" s="1028">
        <v>0</v>
      </c>
      <c r="CU73" s="1028">
        <v>0</v>
      </c>
      <c r="CY73" s="1028">
        <v>0</v>
      </c>
      <c r="DA73" s="1028">
        <v>0</v>
      </c>
      <c r="DB73" s="1028">
        <v>0</v>
      </c>
      <c r="DH73" s="1028">
        <v>149570734</v>
      </c>
      <c r="DI73" s="1028">
        <v>11641910</v>
      </c>
      <c r="DJ73" s="1028">
        <v>1647698</v>
      </c>
      <c r="DK73" s="1028">
        <v>39443667</v>
      </c>
      <c r="DL73" s="1028">
        <v>96837459</v>
      </c>
      <c r="DN73" s="1028">
        <v>50174679</v>
      </c>
      <c r="DQ73" s="1028">
        <v>476919647</v>
      </c>
    </row>
    <row r="74" spans="2:168" ht="15.6">
      <c r="B74" s="1408">
        <v>43800</v>
      </c>
      <c r="C74" s="1028">
        <v>268013412</v>
      </c>
      <c r="D74" s="1028">
        <v>268013412</v>
      </c>
      <c r="E74" s="1028">
        <v>148717760</v>
      </c>
      <c r="F74" s="1028">
        <v>119295652</v>
      </c>
      <c r="O74" s="1028">
        <v>61022846</v>
      </c>
      <c r="P74" s="1028">
        <v>13685421</v>
      </c>
      <c r="Q74" s="1028">
        <v>1306630</v>
      </c>
      <c r="R74" s="1028">
        <v>1115044</v>
      </c>
      <c r="S74" s="1028">
        <v>191586</v>
      </c>
      <c r="U74" s="1028">
        <v>12378791</v>
      </c>
      <c r="V74" s="1028">
        <v>10458365</v>
      </c>
      <c r="W74" s="1028">
        <v>1920426</v>
      </c>
      <c r="Y74" s="1028">
        <v>0</v>
      </c>
      <c r="AC74" s="1028">
        <v>0</v>
      </c>
      <c r="AE74" s="1028">
        <v>0</v>
      </c>
      <c r="AG74" s="1028">
        <v>0</v>
      </c>
      <c r="AH74" s="1028">
        <v>0</v>
      </c>
      <c r="AI74" s="1028">
        <v>0</v>
      </c>
      <c r="AK74" s="1028">
        <v>569035</v>
      </c>
      <c r="AL74" s="1028">
        <v>569035</v>
      </c>
      <c r="AM74" s="1028">
        <v>0</v>
      </c>
      <c r="AO74" s="1028">
        <v>5822804</v>
      </c>
      <c r="AP74" s="1028">
        <v>5822804</v>
      </c>
      <c r="AQ74" s="1028">
        <v>0</v>
      </c>
      <c r="AS74" s="1028">
        <v>40945586</v>
      </c>
      <c r="AT74" s="1028">
        <v>14771195</v>
      </c>
      <c r="AU74" s="1028">
        <v>26174391</v>
      </c>
      <c r="AW74" s="1028">
        <v>0</v>
      </c>
      <c r="BB74" s="1028">
        <v>6413060</v>
      </c>
      <c r="BC74" s="1028">
        <v>6413060</v>
      </c>
      <c r="BD74" s="1028">
        <v>6413060</v>
      </c>
      <c r="BE74" s="1028">
        <v>0</v>
      </c>
      <c r="BJ74" s="1028">
        <v>0</v>
      </c>
      <c r="BL74" s="1028">
        <v>0</v>
      </c>
      <c r="BQ74" s="1028">
        <v>0</v>
      </c>
      <c r="BS74" s="1028">
        <v>0</v>
      </c>
      <c r="BX74" s="1028">
        <v>0</v>
      </c>
      <c r="CD74" s="1028">
        <v>0</v>
      </c>
      <c r="CE74" s="1028">
        <v>0</v>
      </c>
      <c r="CH74" s="1028">
        <v>0</v>
      </c>
      <c r="CL74" s="1028">
        <v>0</v>
      </c>
      <c r="CQ74" s="1028">
        <v>0</v>
      </c>
      <c r="CR74" s="1028">
        <v>0</v>
      </c>
      <c r="CU74" s="1028">
        <v>0</v>
      </c>
      <c r="CY74" s="1028">
        <v>0</v>
      </c>
      <c r="DA74" s="1028">
        <v>0</v>
      </c>
      <c r="DB74" s="1028">
        <v>0</v>
      </c>
      <c r="DH74" s="1028">
        <v>155204984</v>
      </c>
      <c r="DI74" s="1028">
        <v>12283940</v>
      </c>
      <c r="DJ74" s="1028">
        <v>1910432</v>
      </c>
      <c r="DK74" s="1028">
        <v>43873784</v>
      </c>
      <c r="DL74" s="1028">
        <v>97136828</v>
      </c>
      <c r="DN74" s="1028">
        <v>50094236</v>
      </c>
      <c r="DQ74" s="1028">
        <v>540748538</v>
      </c>
      <c r="DT74" s="1028">
        <v>0</v>
      </c>
    </row>
    <row r="77" spans="2:168">
      <c r="B77" s="1781">
        <v>43831</v>
      </c>
      <c r="C77" s="1028">
        <v>217233915</v>
      </c>
      <c r="D77" s="1028">
        <v>217233915</v>
      </c>
      <c r="E77" s="1028">
        <v>142033344</v>
      </c>
      <c r="F77" s="1028">
        <v>75200571</v>
      </c>
      <c r="O77" s="1028">
        <v>70230101</v>
      </c>
      <c r="P77" s="1028">
        <v>15224503</v>
      </c>
      <c r="Q77" s="1028">
        <v>1286457</v>
      </c>
      <c r="R77" s="1028">
        <v>1098405</v>
      </c>
      <c r="S77" s="1028">
        <v>188052</v>
      </c>
      <c r="U77" s="1028">
        <v>13938046</v>
      </c>
      <c r="V77" s="1028">
        <v>13146824</v>
      </c>
      <c r="W77" s="1028">
        <v>791222</v>
      </c>
      <c r="Y77" s="1028">
        <v>0</v>
      </c>
      <c r="AC77" s="1028">
        <v>0</v>
      </c>
      <c r="AE77" s="1028">
        <v>0</v>
      </c>
      <c r="AG77" s="1028">
        <v>0</v>
      </c>
      <c r="AH77" s="1028">
        <v>0</v>
      </c>
      <c r="AI77" s="1028">
        <v>0</v>
      </c>
      <c r="AK77" s="1028">
        <v>1301441</v>
      </c>
      <c r="AL77" s="1028">
        <v>1301441</v>
      </c>
      <c r="AM77" s="1028">
        <v>0</v>
      </c>
      <c r="AO77" s="1028">
        <v>21573567</v>
      </c>
      <c r="AP77" s="1028">
        <v>19270679</v>
      </c>
      <c r="AQ77" s="1028">
        <v>2302888</v>
      </c>
      <c r="AS77" s="1028">
        <v>32130590</v>
      </c>
      <c r="AT77" s="1028">
        <v>20660888</v>
      </c>
      <c r="AU77" s="1028">
        <v>11469702</v>
      </c>
      <c r="AW77" s="1028">
        <v>0</v>
      </c>
      <c r="BB77" s="1028">
        <v>4024227</v>
      </c>
      <c r="BC77" s="1028">
        <v>4024227</v>
      </c>
      <c r="BD77" s="1028">
        <v>4024227</v>
      </c>
      <c r="BE77" s="1028">
        <v>0</v>
      </c>
      <c r="BJ77" s="1028">
        <v>0</v>
      </c>
      <c r="BL77" s="1028">
        <v>0</v>
      </c>
      <c r="BQ77" s="1028">
        <v>0</v>
      </c>
      <c r="BS77" s="1028">
        <v>0</v>
      </c>
      <c r="BX77" s="1028">
        <v>0</v>
      </c>
      <c r="CD77" s="1028">
        <v>0</v>
      </c>
      <c r="CE77" s="1028">
        <v>0</v>
      </c>
      <c r="CH77" s="1028">
        <v>0</v>
      </c>
      <c r="CL77" s="1028">
        <v>0</v>
      </c>
      <c r="CQ77" s="1028">
        <v>0</v>
      </c>
      <c r="CR77" s="1028">
        <v>0</v>
      </c>
      <c r="CU77" s="1028">
        <v>0</v>
      </c>
      <c r="CY77" s="1028">
        <v>0</v>
      </c>
      <c r="DA77" s="1028">
        <v>0</v>
      </c>
      <c r="DB77" s="1028">
        <v>0</v>
      </c>
      <c r="DH77" s="1028">
        <v>156369886</v>
      </c>
      <c r="DI77" s="1028">
        <v>12874561</v>
      </c>
      <c r="DJ77" s="1028">
        <v>1946777</v>
      </c>
      <c r="DK77" s="1028">
        <v>-1334536</v>
      </c>
      <c r="DL77" s="1028">
        <v>142883084</v>
      </c>
      <c r="DN77" s="1028">
        <v>53751575</v>
      </c>
      <c r="DQ77" s="1028">
        <v>501609704</v>
      </c>
      <c r="DT77" s="1028">
        <v>0</v>
      </c>
    </row>
    <row r="78" spans="2:168">
      <c r="B78" s="1781">
        <v>43862</v>
      </c>
      <c r="C78" s="1028">
        <v>244275739</v>
      </c>
      <c r="D78" s="1028">
        <v>244275739</v>
      </c>
      <c r="E78" s="1028">
        <v>156465119</v>
      </c>
      <c r="F78" s="1028">
        <v>87810620</v>
      </c>
      <c r="O78" s="1028">
        <v>59800723</v>
      </c>
      <c r="P78" s="1028">
        <v>16557741</v>
      </c>
      <c r="Q78" s="1028">
        <v>1301639</v>
      </c>
      <c r="R78" s="1028">
        <v>1142789</v>
      </c>
      <c r="S78" s="1028">
        <v>158850</v>
      </c>
      <c r="U78" s="1028">
        <v>15256102</v>
      </c>
      <c r="V78" s="1028">
        <v>9509010</v>
      </c>
      <c r="W78" s="1028">
        <v>5747092</v>
      </c>
      <c r="Y78" s="1028">
        <v>0</v>
      </c>
      <c r="AC78" s="1028">
        <v>0</v>
      </c>
      <c r="AE78" s="1028">
        <v>0</v>
      </c>
      <c r="AG78" s="1028">
        <v>0</v>
      </c>
      <c r="AH78" s="1028">
        <v>0</v>
      </c>
      <c r="AI78" s="1028">
        <v>0</v>
      </c>
      <c r="AK78" s="1028">
        <v>1004906</v>
      </c>
      <c r="AL78" s="1028">
        <v>1004906</v>
      </c>
      <c r="AM78" s="1028">
        <v>0</v>
      </c>
      <c r="AO78" s="1028">
        <v>11070159</v>
      </c>
      <c r="AP78" s="1028">
        <v>6506557</v>
      </c>
      <c r="AQ78" s="1028">
        <v>4563602</v>
      </c>
      <c r="AS78" s="1028">
        <v>31167917</v>
      </c>
      <c r="AT78" s="1028">
        <v>25732706</v>
      </c>
      <c r="AU78" s="1028">
        <v>5435211</v>
      </c>
      <c r="AW78" s="1028">
        <v>0</v>
      </c>
      <c r="BB78" s="1028">
        <v>5746280</v>
      </c>
      <c r="BC78" s="1028">
        <v>5746280</v>
      </c>
      <c r="BD78" s="1028">
        <v>5746280</v>
      </c>
      <c r="BE78" s="1028">
        <v>0</v>
      </c>
      <c r="BJ78" s="1028">
        <v>0</v>
      </c>
      <c r="BL78" s="1028">
        <v>0</v>
      </c>
      <c r="BQ78" s="1028">
        <v>0</v>
      </c>
      <c r="BS78" s="1028">
        <v>0</v>
      </c>
      <c r="BX78" s="1028">
        <v>0</v>
      </c>
      <c r="CD78" s="1028">
        <v>0</v>
      </c>
      <c r="CE78" s="1028">
        <v>0</v>
      </c>
      <c r="CH78" s="1028">
        <v>0</v>
      </c>
      <c r="CL78" s="1028">
        <v>0</v>
      </c>
      <c r="CQ78" s="1028">
        <v>0</v>
      </c>
      <c r="CR78" s="1028">
        <v>0</v>
      </c>
      <c r="CU78" s="1028">
        <v>0</v>
      </c>
      <c r="CY78" s="1028">
        <v>0</v>
      </c>
      <c r="DA78" s="1028">
        <v>0</v>
      </c>
      <c r="DB78" s="1028">
        <v>0</v>
      </c>
      <c r="DH78" s="1028">
        <v>258397227</v>
      </c>
      <c r="DI78" s="1028">
        <v>16074977</v>
      </c>
      <c r="DJ78" s="1028">
        <v>1849793</v>
      </c>
      <c r="DK78" s="1028">
        <v>1149335</v>
      </c>
      <c r="DL78" s="1028">
        <v>239323122</v>
      </c>
      <c r="DN78" s="1028">
        <v>56453649</v>
      </c>
      <c r="DQ78" s="1028">
        <v>624673618</v>
      </c>
      <c r="DT78" s="1028">
        <v>0</v>
      </c>
    </row>
    <row r="79" spans="2:168">
      <c r="B79" s="1781">
        <v>43891</v>
      </c>
      <c r="C79" s="1028">
        <v>421501680.22641432</v>
      </c>
      <c r="D79" s="1028">
        <v>421501680.22641432</v>
      </c>
      <c r="E79" s="1028">
        <v>206433369.19069928</v>
      </c>
      <c r="F79" s="1028">
        <v>215068311.03571501</v>
      </c>
      <c r="O79" s="1028">
        <v>59700949.281162649</v>
      </c>
      <c r="P79" s="1028">
        <v>15542061.564875361</v>
      </c>
      <c r="Q79" s="1028">
        <v>1264928.8019464379</v>
      </c>
      <c r="R79" s="1028">
        <v>1105010.2931123001</v>
      </c>
      <c r="S79" s="1028">
        <v>159918.50883413781</v>
      </c>
      <c r="U79" s="1028">
        <v>14277132.762928922</v>
      </c>
      <c r="V79" s="1028">
        <v>8903138.2327018958</v>
      </c>
      <c r="W79" s="1028">
        <v>5373994.5302270269</v>
      </c>
      <c r="Y79" s="1028">
        <v>0</v>
      </c>
      <c r="AC79" s="1028">
        <v>0</v>
      </c>
      <c r="AE79" s="1028">
        <v>0</v>
      </c>
      <c r="AG79" s="1028">
        <v>0</v>
      </c>
      <c r="AH79" s="1028">
        <v>0</v>
      </c>
      <c r="AI79" s="1028">
        <v>0</v>
      </c>
      <c r="AK79" s="1028">
        <v>910998.04999999993</v>
      </c>
      <c r="AL79" s="1028">
        <v>910998.04999999993</v>
      </c>
      <c r="AM79" s="1028">
        <v>0</v>
      </c>
      <c r="AO79" s="1028">
        <v>18057409.339320131</v>
      </c>
      <c r="AP79" s="1028">
        <v>18057409.339320131</v>
      </c>
      <c r="AQ79" s="1028">
        <v>0</v>
      </c>
      <c r="AS79" s="1028">
        <v>25190480.326967154</v>
      </c>
      <c r="AT79" s="1028">
        <v>23401538.813589141</v>
      </c>
      <c r="AU79" s="1028">
        <v>1788941.5133780139</v>
      </c>
      <c r="AW79" s="1028">
        <v>0</v>
      </c>
      <c r="BB79" s="1028">
        <v>8027049.5794784352</v>
      </c>
      <c r="BC79" s="1028">
        <v>8027049.5794784352</v>
      </c>
      <c r="BD79" s="1028">
        <v>8027049.5794784352</v>
      </c>
      <c r="BE79" s="1028">
        <v>0</v>
      </c>
      <c r="BJ79" s="1028">
        <v>0</v>
      </c>
      <c r="BL79" s="1028">
        <v>0</v>
      </c>
      <c r="BQ79" s="1028">
        <v>0</v>
      </c>
      <c r="BS79" s="1028">
        <v>0</v>
      </c>
      <c r="BX79" s="1028">
        <v>0</v>
      </c>
      <c r="CD79" s="1028">
        <v>0</v>
      </c>
      <c r="CE79" s="1028">
        <v>0</v>
      </c>
      <c r="CH79" s="1028">
        <v>0</v>
      </c>
      <c r="CL79" s="1028">
        <v>0</v>
      </c>
      <c r="CQ79" s="1028">
        <v>0</v>
      </c>
      <c r="CR79" s="1028">
        <v>0</v>
      </c>
      <c r="CU79" s="1028">
        <v>0</v>
      </c>
      <c r="CY79" s="1028">
        <v>0</v>
      </c>
      <c r="DA79" s="1028">
        <v>0</v>
      </c>
      <c r="DB79" s="1028">
        <v>0</v>
      </c>
      <c r="DH79" s="1028">
        <v>270130184.93469667</v>
      </c>
      <c r="DI79" s="1028">
        <v>17994244.600000001</v>
      </c>
      <c r="DJ79" s="1028">
        <v>1948986.91</v>
      </c>
      <c r="DK79" s="1028">
        <v>12717524.658445701</v>
      </c>
      <c r="DL79" s="1028">
        <v>237469428.76625097</v>
      </c>
      <c r="DN79" s="1028">
        <v>87504926.379745111</v>
      </c>
      <c r="DQ79" s="1028">
        <v>846864790.40149724</v>
      </c>
      <c r="DT79" s="1028">
        <v>0</v>
      </c>
    </row>
    <row r="80" spans="2:168">
      <c r="B80" s="1781">
        <v>43922</v>
      </c>
      <c r="C80" s="1028">
        <v>473323258.32581037</v>
      </c>
      <c r="D80" s="1028">
        <v>473323258.32581037</v>
      </c>
      <c r="E80" s="1028">
        <v>229880812.08813781</v>
      </c>
      <c r="F80" s="1028">
        <v>243442446.23767257</v>
      </c>
      <c r="O80" s="1028">
        <v>60405208.299002916</v>
      </c>
      <c r="P80" s="1028">
        <v>15969131.657647915</v>
      </c>
      <c r="Q80" s="1028">
        <v>1272453.9461493054</v>
      </c>
      <c r="R80" s="1028">
        <v>1066308.7546013887</v>
      </c>
      <c r="S80" s="1028">
        <v>206145.19154791668</v>
      </c>
      <c r="U80" s="1028">
        <v>14696677.711498611</v>
      </c>
      <c r="V80" s="1028">
        <v>8319833.9605538892</v>
      </c>
      <c r="W80" s="1028">
        <v>6376843.7509447224</v>
      </c>
      <c r="Y80" s="1028">
        <v>0</v>
      </c>
      <c r="AC80" s="1028">
        <v>0</v>
      </c>
      <c r="AE80" s="1028">
        <v>0</v>
      </c>
      <c r="AG80" s="1028">
        <v>0</v>
      </c>
      <c r="AH80" s="1028">
        <v>0</v>
      </c>
      <c r="AI80" s="1028">
        <v>0</v>
      </c>
      <c r="AK80" s="1028">
        <v>4438698.63</v>
      </c>
      <c r="AL80" s="1028">
        <v>4438698.63</v>
      </c>
      <c r="AM80" s="1028">
        <v>0</v>
      </c>
      <c r="AO80" s="1028">
        <v>18198862.401768889</v>
      </c>
      <c r="AP80" s="1028">
        <v>18198862.401768889</v>
      </c>
      <c r="AQ80" s="1028">
        <v>0</v>
      </c>
      <c r="AS80" s="1028">
        <v>21798515.609586112</v>
      </c>
      <c r="AT80" s="1028">
        <v>19485846.792919446</v>
      </c>
      <c r="AU80" s="1028">
        <v>2312668.8166666664</v>
      </c>
      <c r="AW80" s="1028">
        <v>0</v>
      </c>
      <c r="BB80" s="1028">
        <v>7134945.8503136607</v>
      </c>
      <c r="BC80" s="1028">
        <v>7134945.8503136607</v>
      </c>
      <c r="BD80" s="1028">
        <v>7134945.8503136607</v>
      </c>
      <c r="BE80" s="1028">
        <v>0</v>
      </c>
      <c r="BJ80" s="1028">
        <v>0</v>
      </c>
      <c r="BL80" s="1028">
        <v>0</v>
      </c>
      <c r="BQ80" s="1028">
        <v>0</v>
      </c>
      <c r="BS80" s="1028">
        <v>0</v>
      </c>
      <c r="BX80" s="1028">
        <v>0</v>
      </c>
      <c r="CD80" s="1028">
        <v>0</v>
      </c>
      <c r="CE80" s="1028">
        <v>0</v>
      </c>
      <c r="CH80" s="1028">
        <v>0</v>
      </c>
      <c r="CL80" s="1028">
        <v>0</v>
      </c>
      <c r="CQ80" s="1028">
        <v>0</v>
      </c>
      <c r="CR80" s="1028">
        <v>0</v>
      </c>
      <c r="CU80" s="1028">
        <v>0</v>
      </c>
      <c r="CY80" s="1028">
        <v>0</v>
      </c>
      <c r="DA80" s="1028">
        <v>0</v>
      </c>
      <c r="DB80" s="1028">
        <v>0</v>
      </c>
      <c r="DH80" s="1028">
        <v>293599167.35814148</v>
      </c>
      <c r="DI80" s="1028">
        <v>18278227.649999999</v>
      </c>
      <c r="DJ80" s="1028">
        <v>1593354.03</v>
      </c>
      <c r="DK80" s="1028">
        <v>34750186.879094511</v>
      </c>
      <c r="DL80" s="1028">
        <v>238977398.79904699</v>
      </c>
      <c r="DN80" s="1028">
        <v>97324619.016915053</v>
      </c>
      <c r="DQ80" s="1028">
        <v>931787198.85018349</v>
      </c>
      <c r="DT80" s="1028">
        <v>0</v>
      </c>
    </row>
    <row r="81" spans="2:124">
      <c r="B81" s="1781">
        <v>43952</v>
      </c>
      <c r="C81" s="1028">
        <v>438389706.71605563</v>
      </c>
      <c r="D81" s="1028">
        <v>438389706.71605563</v>
      </c>
      <c r="E81" s="1028">
        <v>250792244.94489658</v>
      </c>
      <c r="F81" s="1028">
        <v>187597461.77115908</v>
      </c>
      <c r="O81" s="1028">
        <v>64586554.993240282</v>
      </c>
      <c r="P81" s="1028">
        <v>18952433.599592503</v>
      </c>
      <c r="Q81" s="1028">
        <v>1276576.5723330558</v>
      </c>
      <c r="R81" s="1028">
        <v>1107409.9480280557</v>
      </c>
      <c r="S81" s="1028">
        <v>169166.624305</v>
      </c>
      <c r="U81" s="1028">
        <v>17675857.027259447</v>
      </c>
      <c r="V81" s="1028">
        <v>10358126.43462014</v>
      </c>
      <c r="W81" s="1028">
        <v>7317730.5926393056</v>
      </c>
      <c r="Y81" s="1028">
        <v>0</v>
      </c>
      <c r="AC81" s="1028">
        <v>0</v>
      </c>
      <c r="AE81" s="1028">
        <v>0</v>
      </c>
      <c r="AG81" s="1028">
        <v>0</v>
      </c>
      <c r="AH81" s="1028">
        <v>0</v>
      </c>
      <c r="AI81" s="1028">
        <v>0</v>
      </c>
      <c r="AK81" s="1028">
        <v>4288200</v>
      </c>
      <c r="AL81" s="1028">
        <v>4288200</v>
      </c>
      <c r="AM81" s="1028">
        <v>0</v>
      </c>
      <c r="AO81" s="1028">
        <v>18297931.581771113</v>
      </c>
      <c r="AP81" s="1028">
        <v>18297931.581771113</v>
      </c>
      <c r="AQ81" s="1028">
        <v>0</v>
      </c>
      <c r="AS81" s="1028">
        <v>23047989.811876666</v>
      </c>
      <c r="AT81" s="1028">
        <v>22445481.478543334</v>
      </c>
      <c r="AU81" s="1028">
        <v>602508.33333333337</v>
      </c>
      <c r="AW81" s="1028">
        <v>0</v>
      </c>
      <c r="BB81" s="1028">
        <v>9147331.75</v>
      </c>
      <c r="BC81" s="1028">
        <v>9147331.75</v>
      </c>
      <c r="BD81" s="1028">
        <v>9147331.75</v>
      </c>
      <c r="BE81" s="1028">
        <v>0</v>
      </c>
      <c r="BJ81" s="1028">
        <v>0</v>
      </c>
      <c r="BL81" s="1028">
        <v>0</v>
      </c>
      <c r="BQ81" s="1028">
        <v>0</v>
      </c>
      <c r="BS81" s="1028">
        <v>0</v>
      </c>
      <c r="BX81" s="1028">
        <v>0</v>
      </c>
      <c r="CD81" s="1028">
        <v>0</v>
      </c>
      <c r="CE81" s="1028">
        <v>0</v>
      </c>
      <c r="CH81" s="1028">
        <v>0</v>
      </c>
      <c r="CL81" s="1028">
        <v>0</v>
      </c>
      <c r="CQ81" s="1028">
        <v>0</v>
      </c>
      <c r="CR81" s="1028">
        <v>0</v>
      </c>
      <c r="CU81" s="1028">
        <v>0</v>
      </c>
      <c r="CY81" s="1028">
        <v>0</v>
      </c>
      <c r="DA81" s="1028">
        <v>0</v>
      </c>
      <c r="DB81" s="1028">
        <v>0</v>
      </c>
      <c r="DH81" s="1028">
        <v>324669992</v>
      </c>
      <c r="DI81" s="1028">
        <v>21475068.129999999</v>
      </c>
      <c r="DJ81" s="1028">
        <v>1544472.07</v>
      </c>
      <c r="DK81" s="1028">
        <v>37954168.114982992</v>
      </c>
      <c r="DL81" s="1028">
        <v>263696283.68501702</v>
      </c>
      <c r="DN81" s="1028">
        <v>108401743.43092901</v>
      </c>
      <c r="DQ81" s="1028">
        <v>945195328.89022493</v>
      </c>
      <c r="DT81" s="1028">
        <v>2.3961067199707031E-5</v>
      </c>
    </row>
    <row r="82" spans="2:124">
      <c r="B82" s="1781">
        <v>43983</v>
      </c>
      <c r="C82" s="1028">
        <v>408702023.66775143</v>
      </c>
      <c r="D82" s="1028">
        <v>408702023.66775143</v>
      </c>
      <c r="E82" s="1028">
        <v>259281258.04798755</v>
      </c>
      <c r="F82" s="1028">
        <v>149420765.61976385</v>
      </c>
      <c r="O82" s="1028">
        <v>72990060.092131421</v>
      </c>
      <c r="P82" s="1028">
        <v>22516422.926430691</v>
      </c>
      <c r="Q82" s="1028">
        <v>1282668.8896031943</v>
      </c>
      <c r="R82" s="1028">
        <v>1115495.2886036111</v>
      </c>
      <c r="S82" s="1028">
        <v>167173.60099958332</v>
      </c>
      <c r="U82" s="1028">
        <v>21233754.036827497</v>
      </c>
      <c r="V82" s="1028">
        <v>11874482.205424305</v>
      </c>
      <c r="W82" s="1028">
        <v>9359271.831403194</v>
      </c>
      <c r="Y82" s="1028">
        <v>0</v>
      </c>
      <c r="AC82" s="1028">
        <v>0</v>
      </c>
      <c r="AE82" s="1028">
        <v>0</v>
      </c>
      <c r="AG82" s="1028">
        <v>0</v>
      </c>
      <c r="AH82" s="1028">
        <v>0</v>
      </c>
      <c r="AI82" s="1028">
        <v>0</v>
      </c>
      <c r="AK82" s="1028">
        <v>11306959.769991841</v>
      </c>
      <c r="AL82" s="1028">
        <v>11306959.769991841</v>
      </c>
      <c r="AM82" s="1028">
        <v>0</v>
      </c>
      <c r="AO82" s="1028">
        <v>18436194.890893333</v>
      </c>
      <c r="AP82" s="1028">
        <v>18436194.890893333</v>
      </c>
      <c r="AQ82" s="1028">
        <v>0</v>
      </c>
      <c r="AS82" s="1028">
        <v>20730482.50481556</v>
      </c>
      <c r="AT82" s="1028">
        <v>20125990.838148892</v>
      </c>
      <c r="AU82" s="1028">
        <v>604491.66666666663</v>
      </c>
      <c r="AW82" s="1028">
        <v>0</v>
      </c>
      <c r="BB82" s="1028">
        <v>26674587.441919912</v>
      </c>
      <c r="BC82" s="1028">
        <v>26674587.441919912</v>
      </c>
      <c r="BD82" s="1028">
        <v>26674587.441919912</v>
      </c>
      <c r="BE82" s="1028">
        <v>0</v>
      </c>
      <c r="BJ82" s="1028">
        <v>0</v>
      </c>
      <c r="BL82" s="1028">
        <v>0</v>
      </c>
      <c r="BQ82" s="1028">
        <v>0</v>
      </c>
      <c r="BS82" s="1028">
        <v>0</v>
      </c>
      <c r="BX82" s="1028">
        <v>0</v>
      </c>
      <c r="CD82" s="1028">
        <v>0</v>
      </c>
      <c r="CE82" s="1028">
        <v>0</v>
      </c>
      <c r="CH82" s="1028">
        <v>0</v>
      </c>
      <c r="CL82" s="1028">
        <v>0</v>
      </c>
      <c r="CQ82" s="1028">
        <v>0</v>
      </c>
      <c r="CR82" s="1028">
        <v>0</v>
      </c>
      <c r="CU82" s="1028">
        <v>0</v>
      </c>
      <c r="CY82" s="1028">
        <v>0</v>
      </c>
      <c r="DA82" s="1028">
        <v>0</v>
      </c>
      <c r="DB82" s="1028">
        <v>0</v>
      </c>
      <c r="DH82" s="1028">
        <v>342190275.084427</v>
      </c>
      <c r="DI82" s="1028">
        <v>22462727.41</v>
      </c>
      <c r="DJ82" s="1028">
        <v>1936712.93</v>
      </c>
      <c r="DK82" s="1028">
        <v>44119376.123478115</v>
      </c>
      <c r="DL82" s="1028">
        <v>273671458.62094885</v>
      </c>
      <c r="DN82" s="1028">
        <v>119046785.37996499</v>
      </c>
      <c r="DQ82" s="1028">
        <v>969603731.6661948</v>
      </c>
    </row>
    <row r="83" spans="2:124">
      <c r="B83" s="1781">
        <v>44013</v>
      </c>
      <c r="C83" s="1028">
        <v>546592483.48506629</v>
      </c>
      <c r="D83" s="1028">
        <v>546592483.48506629</v>
      </c>
      <c r="E83" s="1028">
        <v>389384065.84506363</v>
      </c>
      <c r="F83" s="1028">
        <v>157208417.6400027</v>
      </c>
      <c r="O83" s="1028">
        <v>69720932.883124307</v>
      </c>
      <c r="P83" s="1028">
        <v>14483260.075537641</v>
      </c>
      <c r="Q83" s="1028">
        <v>1292747.1715398612</v>
      </c>
      <c r="R83" s="1028">
        <v>1115835.7407120834</v>
      </c>
      <c r="S83" s="1028">
        <v>176911.43082777777</v>
      </c>
      <c r="U83" s="1028">
        <v>13190512.903997779</v>
      </c>
      <c r="V83" s="1028">
        <v>6581294.1508077774</v>
      </c>
      <c r="W83" s="1028">
        <v>6609218.7531900005</v>
      </c>
      <c r="Y83" s="1028">
        <v>0</v>
      </c>
      <c r="AC83" s="1028">
        <v>0</v>
      </c>
      <c r="AE83" s="1028">
        <v>0</v>
      </c>
      <c r="AG83" s="1028">
        <v>0</v>
      </c>
      <c r="AH83" s="1028">
        <v>0</v>
      </c>
      <c r="AI83" s="1028">
        <v>0</v>
      </c>
      <c r="AK83" s="1028">
        <v>14477170.044326665</v>
      </c>
      <c r="AL83" s="1028">
        <v>9749945.543143332</v>
      </c>
      <c r="AM83" s="1028">
        <v>4727224.5011833329</v>
      </c>
      <c r="AO83" s="1028">
        <v>20031862.089429446</v>
      </c>
      <c r="AP83" s="1028">
        <v>20031862.089429446</v>
      </c>
      <c r="AQ83" s="1028">
        <v>0</v>
      </c>
      <c r="AS83" s="1028">
        <v>20728640.673830554</v>
      </c>
      <c r="AT83" s="1028">
        <v>18057974.01049722</v>
      </c>
      <c r="AU83" s="1028">
        <v>2670666.6633333331</v>
      </c>
      <c r="AW83" s="1028">
        <v>0</v>
      </c>
      <c r="BB83" s="1028">
        <v>401911365.44960493</v>
      </c>
      <c r="BC83" s="1028">
        <v>401911365.44960493</v>
      </c>
      <c r="BD83" s="1028">
        <v>401911365.44960493</v>
      </c>
      <c r="BE83" s="1028">
        <v>0</v>
      </c>
      <c r="BJ83" s="1028">
        <v>0</v>
      </c>
      <c r="BL83" s="1028">
        <v>0</v>
      </c>
      <c r="BQ83" s="1028">
        <v>0</v>
      </c>
      <c r="BS83" s="1028">
        <v>0</v>
      </c>
      <c r="BX83" s="1028">
        <v>0</v>
      </c>
      <c r="CD83" s="1028">
        <v>0</v>
      </c>
      <c r="CE83" s="1028">
        <v>0</v>
      </c>
      <c r="CH83" s="1028">
        <v>0</v>
      </c>
      <c r="CL83" s="1028">
        <v>0</v>
      </c>
      <c r="CQ83" s="1028">
        <v>0</v>
      </c>
      <c r="CR83" s="1028">
        <v>0</v>
      </c>
      <c r="CU83" s="1028">
        <v>0</v>
      </c>
      <c r="CY83" s="1028">
        <v>0</v>
      </c>
      <c r="DA83" s="1028">
        <v>0</v>
      </c>
      <c r="DB83" s="1028">
        <v>0</v>
      </c>
      <c r="DH83" s="1028">
        <v>633997137.97465003</v>
      </c>
      <c r="DI83" s="1028">
        <v>24158309.622643851</v>
      </c>
      <c r="DJ83" s="1028">
        <v>1917403.8701960808</v>
      </c>
      <c r="DK83" s="1028">
        <v>128131080.59064659</v>
      </c>
      <c r="DL83" s="1028">
        <v>479790343.89116347</v>
      </c>
      <c r="DN83" s="1028">
        <v>171957873.63540518</v>
      </c>
      <c r="DQ83" s="1028">
        <v>1824179793.4278507</v>
      </c>
    </row>
    <row r="84" spans="2:124">
      <c r="B84" s="1781">
        <v>44044</v>
      </c>
      <c r="C84" s="1028">
        <f>+D84+G84+H84+I84+J84+K84+L84+M84</f>
        <v>705867074.32445145</v>
      </c>
      <c r="D84" s="1028">
        <f>+E84+F84</f>
        <v>705867074.32445145</v>
      </c>
      <c r="E84" s="1028">
        <v>419162566.00274295</v>
      </c>
      <c r="F84" s="1028">
        <v>286704508.32170844</v>
      </c>
      <c r="O84" s="1028">
        <f>+P84+Y84+AC84+AG84+AK84+AO84+AS84+AW84</f>
        <v>81215055.610877782</v>
      </c>
      <c r="P84" s="1028">
        <f>+Q84+U84</f>
        <v>28600430.404360417</v>
      </c>
      <c r="Q84" s="1028">
        <f>+R84+S84+T84</f>
        <v>10995024.949697223</v>
      </c>
      <c r="R84" s="1028">
        <v>10868396.4636425</v>
      </c>
      <c r="S84" s="1028">
        <v>126628.48605472222</v>
      </c>
      <c r="U84" s="1028">
        <f>+V84+W84+X84</f>
        <v>17605405.454663195</v>
      </c>
      <c r="V84" s="1028">
        <v>3583413.0065788887</v>
      </c>
      <c r="W84" s="1028">
        <v>14021992.448084306</v>
      </c>
      <c r="Y84" s="1028">
        <f>+Z84+AA84+AB84</f>
        <v>0</v>
      </c>
      <c r="AC84" s="1028">
        <f>+AD84+AE84+AF84</f>
        <v>0</v>
      </c>
      <c r="AE84" s="1028">
        <v>0</v>
      </c>
      <c r="AG84" s="1028">
        <f>+AH84+AI84+AJ84</f>
        <v>0</v>
      </c>
      <c r="AH84" s="1028">
        <v>0</v>
      </c>
      <c r="AI84" s="1028">
        <v>0</v>
      </c>
      <c r="AK84" s="1028">
        <f>+AL84+AM84+AN84</f>
        <v>11051568.733666666</v>
      </c>
      <c r="AL84" s="1028">
        <v>11051568.733666666</v>
      </c>
      <c r="AO84" s="1028">
        <f>+AP84+AQ84+AR84</f>
        <v>16767787.896781666</v>
      </c>
      <c r="AP84" s="1028">
        <v>16767787.896781666</v>
      </c>
      <c r="AQ84" s="1028">
        <v>0</v>
      </c>
      <c r="AS84" s="1028">
        <f>+AT84+AU84+AV84</f>
        <v>24795268.576069023</v>
      </c>
      <c r="AT84" s="1028">
        <v>22116827.916236106</v>
      </c>
      <c r="AU84" s="1028">
        <v>2678440.6598329167</v>
      </c>
      <c r="AW84" s="1028">
        <f>+AX84+AY84+AZ84</f>
        <v>0</v>
      </c>
      <c r="BB84" s="1028">
        <f>+BC84+BJ84+BQ84</f>
        <v>407597971</v>
      </c>
      <c r="BC84" s="1028">
        <f>+BD84+BE84</f>
        <v>407597971</v>
      </c>
      <c r="BD84" s="1028">
        <v>407597971</v>
      </c>
      <c r="BE84" s="1028">
        <f>+BF84+BG84+BH84</f>
        <v>0</v>
      </c>
      <c r="BJ84" s="1028">
        <f>+BK84+BL84</f>
        <v>0</v>
      </c>
      <c r="BL84" s="1028">
        <f>+BM84+BN84+BO84</f>
        <v>0</v>
      </c>
      <c r="BQ84" s="1028">
        <f>+BR84+BS84</f>
        <v>0</v>
      </c>
      <c r="BS84" s="1028">
        <f>+BT84+BU84+BV84</f>
        <v>0</v>
      </c>
      <c r="BX84" s="1028">
        <f>+BZ84+CA84+CB84</f>
        <v>0</v>
      </c>
      <c r="CD84" s="1028">
        <f>+CE84+CH84+CL84</f>
        <v>0</v>
      </c>
      <c r="CE84" s="1028">
        <f>+CF84+CG84</f>
        <v>0</v>
      </c>
      <c r="CH84" s="1028">
        <f>+CI84+CJ84</f>
        <v>0</v>
      </c>
      <c r="CL84" s="1028">
        <f>+CM84+CN84</f>
        <v>0</v>
      </c>
      <c r="CQ84" s="1028">
        <f>+CR84+CU84</f>
        <v>0</v>
      </c>
      <c r="CR84" s="1028">
        <f>+CS84+CT84</f>
        <v>0</v>
      </c>
      <c r="CU84" s="1028">
        <f>+CV84+CW84</f>
        <v>0</v>
      </c>
      <c r="CY84" s="1028">
        <v>0</v>
      </c>
      <c r="DA84" s="1028">
        <f>+DB84+DE84</f>
        <v>0</v>
      </c>
      <c r="DB84" s="1028">
        <f>+DC84+DD84</f>
        <v>0</v>
      </c>
      <c r="DH84" s="1028">
        <f>+DI84+DJ84+DK84+DL84</f>
        <v>631248410</v>
      </c>
      <c r="DI84" s="1028">
        <v>31310475.859999999</v>
      </c>
      <c r="DJ84" s="1028">
        <v>2425442.16</v>
      </c>
      <c r="DK84" s="1028">
        <v>237416218.22289437</v>
      </c>
      <c r="DL84" s="1028">
        <f>631248410-DI84-DJ84-DK84</f>
        <v>360096273.75710565</v>
      </c>
      <c r="DN84" s="1028">
        <v>247113765.21749559</v>
      </c>
      <c r="DQ84" s="1028">
        <f>(+C84+O84+BB84+BX84+CD84+CQ84+CY84+DA84+DH84+DN84)</f>
        <v>2073042276.1528249</v>
      </c>
    </row>
    <row r="85" spans="2:124">
      <c r="B85" s="1781">
        <v>44075</v>
      </c>
      <c r="C85" s="1028">
        <v>827759636.32604408</v>
      </c>
      <c r="D85" s="1028">
        <v>827759636.32604408</v>
      </c>
      <c r="E85" s="1028">
        <v>448678736.1943596</v>
      </c>
      <c r="F85" s="1028">
        <v>379080900.13168448</v>
      </c>
      <c r="O85" s="1028">
        <v>98625670.611813486</v>
      </c>
      <c r="P85" s="1028">
        <v>14440735.284212083</v>
      </c>
      <c r="Q85" s="1028">
        <v>1305172.0474061109</v>
      </c>
      <c r="R85" s="1028">
        <v>1111985.9521568054</v>
      </c>
      <c r="S85" s="1028">
        <v>193186.09524930554</v>
      </c>
      <c r="U85" s="1028">
        <v>13135563.236805972</v>
      </c>
      <c r="V85" s="1028">
        <v>1102568.8294395832</v>
      </c>
      <c r="W85" s="1028">
        <v>12032994.407366389</v>
      </c>
      <c r="Y85" s="1028">
        <v>0</v>
      </c>
      <c r="AC85" s="1028">
        <v>0</v>
      </c>
      <c r="AE85" s="1028">
        <v>0</v>
      </c>
      <c r="AG85" s="1028">
        <v>0</v>
      </c>
      <c r="AH85" s="1028">
        <v>0</v>
      </c>
      <c r="AI85" s="1028">
        <v>0</v>
      </c>
      <c r="AK85" s="1028">
        <v>20132849.650350001</v>
      </c>
      <c r="AL85" s="1028">
        <v>20132849.650350001</v>
      </c>
      <c r="AO85" s="1028">
        <v>39172763.629071109</v>
      </c>
      <c r="AP85" s="1028">
        <v>39172763.629071109</v>
      </c>
      <c r="AQ85" s="1028">
        <v>0</v>
      </c>
      <c r="AS85" s="1028">
        <v>24879322.048180275</v>
      </c>
      <c r="AT85" s="1028">
        <v>18851535.752927776</v>
      </c>
      <c r="AU85" s="1028">
        <v>6027786.2952525001</v>
      </c>
      <c r="AW85" s="1028">
        <v>0</v>
      </c>
      <c r="BB85" s="1028">
        <v>521489221.79510188</v>
      </c>
      <c r="BC85" s="1028">
        <v>521489221.79510188</v>
      </c>
      <c r="BD85" s="1028">
        <v>521489221.79510188</v>
      </c>
      <c r="BE85" s="1028">
        <v>0</v>
      </c>
      <c r="BJ85" s="1028">
        <v>0</v>
      </c>
      <c r="BL85" s="1028">
        <v>0</v>
      </c>
      <c r="BQ85" s="1028">
        <v>0</v>
      </c>
      <c r="BS85" s="1028">
        <v>0</v>
      </c>
      <c r="BX85" s="1028">
        <v>0</v>
      </c>
      <c r="CD85" s="1028">
        <v>0</v>
      </c>
      <c r="CE85" s="1028">
        <v>0</v>
      </c>
      <c r="CH85" s="1028">
        <v>0</v>
      </c>
      <c r="CL85" s="1028">
        <v>0</v>
      </c>
      <c r="CQ85" s="1028">
        <v>0</v>
      </c>
      <c r="CR85" s="1028">
        <v>0</v>
      </c>
      <c r="CU85" s="1028">
        <v>0</v>
      </c>
      <c r="CY85" s="1028">
        <v>0</v>
      </c>
      <c r="DA85" s="1028">
        <v>0</v>
      </c>
      <c r="DB85" s="1028">
        <v>0</v>
      </c>
      <c r="DH85" s="1028">
        <v>670359649</v>
      </c>
      <c r="DI85" s="1028">
        <v>44685348.460000001</v>
      </c>
      <c r="DJ85" s="1028">
        <v>2953979.23</v>
      </c>
      <c r="DK85" s="1028">
        <v>187376664.89042187</v>
      </c>
      <c r="DL85" s="1028">
        <v>435343656.41957808</v>
      </c>
      <c r="DN85" s="1028">
        <v>196039911.20943266</v>
      </c>
      <c r="DQ85" s="1028">
        <v>2314274088.9423923</v>
      </c>
      <c r="DT85" s="1028">
        <v>0</v>
      </c>
    </row>
    <row r="86" spans="2:124">
      <c r="B86" s="1781">
        <v>44105</v>
      </c>
      <c r="C86" s="1028">
        <v>1100925247.8799081</v>
      </c>
      <c r="D86" s="1028">
        <v>1100925247.8799081</v>
      </c>
      <c r="E86" s="1028">
        <v>670896073.07272243</v>
      </c>
      <c r="F86" s="1028">
        <v>430029174.80718553</v>
      </c>
      <c r="O86" s="1028">
        <v>104538854.34020096</v>
      </c>
      <c r="P86" s="1028">
        <v>21232546.54819319</v>
      </c>
      <c r="Q86" s="1028">
        <v>2821574.950104584</v>
      </c>
      <c r="R86" s="1028">
        <v>2670641.0452191671</v>
      </c>
      <c r="S86" s="1028">
        <v>150933.90488541668</v>
      </c>
      <c r="U86" s="1028">
        <v>18410971.598088607</v>
      </c>
      <c r="V86" s="1028">
        <v>12850169.857372776</v>
      </c>
      <c r="W86" s="1028">
        <v>5560801.7407158334</v>
      </c>
      <c r="Y86" s="1028">
        <v>0</v>
      </c>
      <c r="AC86" s="1028">
        <v>0</v>
      </c>
      <c r="AE86" s="1028">
        <v>0</v>
      </c>
      <c r="AG86" s="1028">
        <v>0</v>
      </c>
      <c r="AH86" s="1028">
        <v>0</v>
      </c>
      <c r="AI86" s="1028">
        <v>0</v>
      </c>
      <c r="AK86" s="1028">
        <v>17552049.671631943</v>
      </c>
      <c r="AL86" s="1028">
        <v>17552049.671631943</v>
      </c>
      <c r="AO86" s="1028">
        <v>26047458.064953335</v>
      </c>
      <c r="AP86" s="1028">
        <v>26047458.064953335</v>
      </c>
      <c r="AQ86" s="1028">
        <v>0</v>
      </c>
      <c r="AS86" s="1028">
        <v>39706800.0554225</v>
      </c>
      <c r="AT86" s="1028">
        <v>33311175.055422504</v>
      </c>
      <c r="AU86" s="1028">
        <v>6395625</v>
      </c>
      <c r="AW86" s="1028">
        <v>0</v>
      </c>
      <c r="BB86" s="1028">
        <v>268295822.40265945</v>
      </c>
      <c r="BC86" s="1028">
        <v>268295822.40265945</v>
      </c>
      <c r="BD86" s="1028">
        <v>268295822.40265945</v>
      </c>
      <c r="BE86" s="1028">
        <v>0</v>
      </c>
      <c r="BJ86" s="1028">
        <v>0</v>
      </c>
      <c r="BL86" s="1028">
        <v>0</v>
      </c>
      <c r="BQ86" s="1028">
        <v>0</v>
      </c>
      <c r="BS86" s="1028">
        <v>0</v>
      </c>
      <c r="BX86" s="1028">
        <v>0</v>
      </c>
      <c r="CD86" s="1028">
        <v>0</v>
      </c>
      <c r="CE86" s="1028">
        <v>0</v>
      </c>
      <c r="CH86" s="1028">
        <v>0</v>
      </c>
      <c r="CL86" s="1028">
        <v>0</v>
      </c>
      <c r="CQ86" s="1028">
        <v>0</v>
      </c>
      <c r="CR86" s="1028">
        <v>0</v>
      </c>
      <c r="CU86" s="1028">
        <v>0</v>
      </c>
      <c r="CY86" s="1028">
        <v>0</v>
      </c>
      <c r="DA86" s="1028">
        <v>0</v>
      </c>
      <c r="DB86" s="1028">
        <v>0</v>
      </c>
      <c r="DH86" s="1028">
        <v>697881747.40170503</v>
      </c>
      <c r="DI86" s="1028">
        <v>69579990.090000004</v>
      </c>
      <c r="DJ86" s="1028">
        <v>2953979.23</v>
      </c>
      <c r="DK86" s="1028">
        <v>220012346.37850207</v>
      </c>
      <c r="DL86" s="1028">
        <v>405335431.7032029</v>
      </c>
      <c r="DN86" s="1028">
        <v>600377007.21446669</v>
      </c>
      <c r="DQ86" s="1028">
        <v>2772018679.2389398</v>
      </c>
      <c r="DT86" s="1028">
        <v>3.7566661834716797E-2</v>
      </c>
    </row>
    <row r="87" spans="2:124">
      <c r="B87" s="1781">
        <v>44136</v>
      </c>
      <c r="C87" s="1028">
        <v>1224358450.4429793</v>
      </c>
      <c r="D87" s="1028">
        <v>1224358450.4429793</v>
      </c>
      <c r="E87" s="1028">
        <v>696773750.23507452</v>
      </c>
      <c r="F87" s="1028">
        <v>527584700.20790493</v>
      </c>
      <c r="O87" s="1028">
        <v>104406324.1949185</v>
      </c>
      <c r="P87" s="1028">
        <v>13763878.994907083</v>
      </c>
      <c r="Q87" s="1028">
        <v>1376985.324708333</v>
      </c>
      <c r="R87" s="1028">
        <v>1211693.7376487497</v>
      </c>
      <c r="S87" s="1028">
        <v>165291.58705958334</v>
      </c>
      <c r="U87" s="1028">
        <v>12386893.67019875</v>
      </c>
      <c r="V87" s="1028">
        <v>736685.60464055557</v>
      </c>
      <c r="W87" s="1028">
        <v>11650208.065558195</v>
      </c>
      <c r="Y87" s="1028">
        <v>0</v>
      </c>
      <c r="AC87" s="1028">
        <v>0</v>
      </c>
      <c r="AE87" s="1028">
        <v>0</v>
      </c>
      <c r="AG87" s="1028">
        <v>18532432.262765832</v>
      </c>
      <c r="AH87" s="1028">
        <v>10906342.170381667</v>
      </c>
      <c r="AI87" s="1028">
        <v>7626090.092384167</v>
      </c>
      <c r="AK87" s="1028">
        <v>16618587.877083333</v>
      </c>
      <c r="AL87" s="1028">
        <v>16618587.877083333</v>
      </c>
      <c r="AO87" s="1028">
        <v>21226970.792816669</v>
      </c>
      <c r="AP87" s="1028">
        <v>6098766.8429899998</v>
      </c>
      <c r="AQ87" s="1028">
        <v>15128203.949826667</v>
      </c>
      <c r="AS87" s="1028">
        <v>34264454.267345592</v>
      </c>
      <c r="AT87" s="1028">
        <v>30157165.378456701</v>
      </c>
      <c r="AU87" s="1028">
        <v>4107288.888888889</v>
      </c>
      <c r="AW87" s="1028">
        <v>0</v>
      </c>
      <c r="BB87" s="1028">
        <v>226382425.15692633</v>
      </c>
      <c r="BC87" s="1028">
        <v>226382425.15692633</v>
      </c>
      <c r="BD87" s="1028">
        <v>226382425.15692633</v>
      </c>
      <c r="BE87" s="1028">
        <v>0</v>
      </c>
      <c r="BJ87" s="1028">
        <v>0</v>
      </c>
      <c r="BL87" s="1028">
        <v>0</v>
      </c>
      <c r="BQ87" s="1028">
        <v>0</v>
      </c>
      <c r="BS87" s="1028">
        <v>0</v>
      </c>
      <c r="BX87" s="1028">
        <v>0</v>
      </c>
      <c r="CD87" s="1028">
        <v>0</v>
      </c>
      <c r="CE87" s="1028">
        <v>0</v>
      </c>
      <c r="CH87" s="1028">
        <v>0</v>
      </c>
      <c r="CL87" s="1028">
        <v>0</v>
      </c>
      <c r="CQ87" s="1028">
        <v>0</v>
      </c>
      <c r="CR87" s="1028">
        <v>0</v>
      </c>
      <c r="CU87" s="1028">
        <v>0</v>
      </c>
      <c r="CY87" s="1028">
        <v>0</v>
      </c>
      <c r="DA87" s="1028">
        <v>0</v>
      </c>
      <c r="DB87" s="1028">
        <v>0</v>
      </c>
      <c r="DH87" s="1028">
        <v>762017277.34029198</v>
      </c>
      <c r="DI87" s="1028">
        <v>88204598.129999995</v>
      </c>
      <c r="DJ87" s="1028">
        <v>3864395.78</v>
      </c>
      <c r="DK87" s="1028">
        <v>252227276.04889232</v>
      </c>
      <c r="DL87" s="1028">
        <v>417721007.38139969</v>
      </c>
      <c r="DN87" s="1028">
        <v>368848629.47620934</v>
      </c>
      <c r="DQ87" s="1028">
        <v>2686013106.6113253</v>
      </c>
      <c r="DT87" s="1028">
        <v>0</v>
      </c>
    </row>
    <row r="88" spans="2:124">
      <c r="B88" s="1781">
        <v>44166</v>
      </c>
      <c r="C88" s="1028">
        <v>1341914330.3396358</v>
      </c>
      <c r="D88" s="1028">
        <v>1341914330.3396358</v>
      </c>
      <c r="E88" s="1028">
        <v>955259600.27330291</v>
      </c>
      <c r="F88" s="1028">
        <v>386654730.06633294</v>
      </c>
      <c r="O88" s="1028">
        <v>228483394.16377568</v>
      </c>
      <c r="P88" s="1028">
        <v>143403273.03379595</v>
      </c>
      <c r="Q88" s="1028">
        <v>1332086.6478333334</v>
      </c>
      <c r="R88" s="1028">
        <v>1166795.0607737501</v>
      </c>
      <c r="S88" s="1028">
        <v>165291.58705958334</v>
      </c>
      <c r="U88" s="1028">
        <v>142071186.38596261</v>
      </c>
      <c r="V88" s="1028">
        <v>23022580.501515552</v>
      </c>
      <c r="W88" s="1028">
        <v>119048605.88444707</v>
      </c>
      <c r="Y88" s="1028">
        <v>0</v>
      </c>
      <c r="AC88" s="1028">
        <v>0</v>
      </c>
      <c r="AE88" s="1028">
        <v>0</v>
      </c>
      <c r="AG88" s="1028">
        <v>14548252.386099167</v>
      </c>
      <c r="AH88" s="1028">
        <v>6922162.2937150002</v>
      </c>
      <c r="AI88" s="1028">
        <v>7626090.092384167</v>
      </c>
      <c r="AK88" s="1028">
        <v>15139862.767083334</v>
      </c>
      <c r="AL88" s="1028">
        <v>15139862.767083334</v>
      </c>
      <c r="AO88" s="1028">
        <v>24275337.059451666</v>
      </c>
      <c r="AP88" s="1028">
        <v>9135533.4396249987</v>
      </c>
      <c r="AQ88" s="1028">
        <v>15139803.619826667</v>
      </c>
      <c r="AS88" s="1028">
        <v>31116668.917345557</v>
      </c>
      <c r="AT88" s="1028">
        <v>27009380.028456669</v>
      </c>
      <c r="AU88" s="1028">
        <v>4107288.888888889</v>
      </c>
      <c r="AW88" s="1028">
        <v>0</v>
      </c>
      <c r="BB88" s="1028">
        <v>175144431.9471685</v>
      </c>
      <c r="BC88" s="1028">
        <v>175144431.9471685</v>
      </c>
      <c r="BD88" s="1028">
        <v>175144431.9471685</v>
      </c>
      <c r="BE88" s="1028">
        <v>0</v>
      </c>
      <c r="BJ88" s="1028">
        <v>0</v>
      </c>
      <c r="BL88" s="1028">
        <v>0</v>
      </c>
      <c r="BQ88" s="1028">
        <v>0</v>
      </c>
      <c r="BS88" s="1028">
        <v>0</v>
      </c>
      <c r="BX88" s="1028">
        <v>0</v>
      </c>
      <c r="CD88" s="1028">
        <v>0</v>
      </c>
      <c r="CE88" s="1028">
        <v>0</v>
      </c>
      <c r="CH88" s="1028">
        <v>0</v>
      </c>
      <c r="CL88" s="1028">
        <v>0</v>
      </c>
      <c r="CQ88" s="1028">
        <v>0</v>
      </c>
      <c r="CR88" s="1028">
        <v>0</v>
      </c>
      <c r="CU88" s="1028">
        <v>0</v>
      </c>
      <c r="CY88" s="1028">
        <v>0</v>
      </c>
      <c r="DA88" s="1028">
        <v>0</v>
      </c>
      <c r="DB88" s="1028">
        <v>0</v>
      </c>
      <c r="DH88" s="1028">
        <v>784097630.08572698</v>
      </c>
      <c r="DI88" s="1028">
        <v>98529316.629999995</v>
      </c>
      <c r="DJ88" s="1028">
        <v>5175041.84</v>
      </c>
      <c r="DK88" s="1028">
        <v>257696925.80180568</v>
      </c>
      <c r="DL88" s="1028">
        <v>422696345.81392133</v>
      </c>
      <c r="DN88" s="1028">
        <v>373175495.98340487</v>
      </c>
      <c r="DQ88" s="1028">
        <v>2902815282.5197124</v>
      </c>
      <c r="DT88" s="1028">
        <v>-1.33514404296875E-3</v>
      </c>
    </row>
    <row r="89" spans="2:124">
      <c r="B89" s="1781">
        <v>44197</v>
      </c>
      <c r="C89" s="1028">
        <v>1418953965.6950197</v>
      </c>
      <c r="D89" s="1028">
        <v>1418953965.6950197</v>
      </c>
      <c r="E89" s="1028">
        <v>881757911.97770107</v>
      </c>
      <c r="F89" s="1028">
        <v>537196053.71731853</v>
      </c>
      <c r="O89" s="1028">
        <v>245312504.60129401</v>
      </c>
      <c r="P89" s="1028">
        <v>132093339.08457153</v>
      </c>
      <c r="Q89" s="1028">
        <v>1714102.8435300002</v>
      </c>
      <c r="R89" s="1028">
        <v>1460353.2037822225</v>
      </c>
      <c r="S89" s="1028">
        <v>253749.63974777778</v>
      </c>
      <c r="U89" s="1028">
        <v>130379236.24104153</v>
      </c>
      <c r="V89" s="1028">
        <v>6710821.4297388885</v>
      </c>
      <c r="W89" s="1028">
        <v>123668414.81130263</v>
      </c>
      <c r="Y89" s="1028">
        <v>0</v>
      </c>
      <c r="AC89" s="1028">
        <v>0</v>
      </c>
      <c r="AE89" s="1028">
        <v>0</v>
      </c>
      <c r="AG89" s="1028">
        <v>16184324.364778055</v>
      </c>
      <c r="AH89" s="1028">
        <v>14576644.865708055</v>
      </c>
      <c r="AI89" s="1028">
        <v>1607679.4990699999</v>
      </c>
      <c r="AK89" s="1028">
        <v>15229088.272624444</v>
      </c>
      <c r="AL89" s="1028">
        <v>10715953.897624444</v>
      </c>
      <c r="AM89" s="1028">
        <v>4513134.375</v>
      </c>
      <c r="AO89" s="1028">
        <v>24626508.025428336</v>
      </c>
      <c r="AP89" s="1028">
        <v>24626508.025428336</v>
      </c>
      <c r="AQ89" s="1028">
        <v>0</v>
      </c>
      <c r="AS89" s="1028">
        <v>57179244.853891671</v>
      </c>
      <c r="AT89" s="1028">
        <v>57179244.853891671</v>
      </c>
      <c r="AU89" s="1028">
        <v>0</v>
      </c>
      <c r="AW89" s="1028">
        <v>0</v>
      </c>
      <c r="BB89" s="1028">
        <v>179762785.34878638</v>
      </c>
      <c r="BC89" s="1028">
        <v>179762785.34878638</v>
      </c>
      <c r="BD89" s="1028">
        <v>179762785.34878638</v>
      </c>
      <c r="BE89" s="1028">
        <v>0</v>
      </c>
      <c r="BJ89" s="1028">
        <v>0</v>
      </c>
      <c r="BL89" s="1028">
        <v>0</v>
      </c>
      <c r="BQ89" s="1028">
        <v>0</v>
      </c>
      <c r="BS89" s="1028">
        <v>0</v>
      </c>
      <c r="BX89" s="1028">
        <v>0</v>
      </c>
      <c r="CD89" s="1028">
        <v>0</v>
      </c>
      <c r="CE89" s="1028">
        <v>0</v>
      </c>
      <c r="CH89" s="1028">
        <v>0</v>
      </c>
      <c r="CL89" s="1028">
        <v>0</v>
      </c>
      <c r="CQ89" s="1028">
        <v>0</v>
      </c>
      <c r="CR89" s="1028">
        <v>0</v>
      </c>
      <c r="CU89" s="1028">
        <v>0</v>
      </c>
      <c r="CY89" s="1028">
        <v>0</v>
      </c>
      <c r="DA89" s="1028">
        <v>0</v>
      </c>
      <c r="DB89" s="1028">
        <v>0</v>
      </c>
      <c r="DH89" s="1028">
        <v>922660457.80187905</v>
      </c>
      <c r="DI89" s="1028">
        <v>115035735.53</v>
      </c>
      <c r="DJ89" s="1028">
        <v>3873560.66</v>
      </c>
      <c r="DK89" s="1028">
        <v>58099254.877102792</v>
      </c>
      <c r="DL89" s="1028">
        <v>745651906.73477626</v>
      </c>
      <c r="DN89" s="1028">
        <v>403825700.65444875</v>
      </c>
      <c r="DQ89" s="1028">
        <v>3170515414.101428</v>
      </c>
    </row>
    <row r="90" spans="2:124">
      <c r="B90" s="1781">
        <v>44228</v>
      </c>
      <c r="C90" s="1028">
        <v>1623635599.3750765</v>
      </c>
      <c r="D90" s="1028">
        <v>1623635599.3750765</v>
      </c>
      <c r="E90" s="1028">
        <v>1087742396.0734522</v>
      </c>
      <c r="F90" s="1028">
        <v>535893203.30162436</v>
      </c>
      <c r="O90" s="1028">
        <v>280836870.02792197</v>
      </c>
      <c r="P90" s="1028">
        <v>166492715.07277918</v>
      </c>
      <c r="Q90" s="1028">
        <v>6297032.1648902781</v>
      </c>
      <c r="R90" s="1028">
        <v>6117384.3103394443</v>
      </c>
      <c r="S90" s="1028">
        <v>179647.85455083335</v>
      </c>
      <c r="U90" s="1028">
        <v>160195682.90788889</v>
      </c>
      <c r="V90" s="1028">
        <v>145786285.98941362</v>
      </c>
      <c r="W90" s="1028">
        <v>14409396.918475278</v>
      </c>
      <c r="Y90" s="1028">
        <v>0</v>
      </c>
      <c r="AC90" s="1028">
        <v>0</v>
      </c>
      <c r="AE90" s="1028">
        <v>0</v>
      </c>
      <c r="AG90" s="1028">
        <v>13384755.922177501</v>
      </c>
      <c r="AH90" s="1028">
        <v>13273761.677870834</v>
      </c>
      <c r="AI90" s="1028">
        <v>110994.24430666667</v>
      </c>
      <c r="AK90" s="1028">
        <v>10734291.373572223</v>
      </c>
      <c r="AL90" s="1028">
        <v>10734291.373572223</v>
      </c>
      <c r="AM90" s="1028">
        <v>0</v>
      </c>
      <c r="AO90" s="1028">
        <v>19887015.987164166</v>
      </c>
      <c r="AP90" s="1028">
        <v>19887015.987164166</v>
      </c>
      <c r="AQ90" s="1028">
        <v>0</v>
      </c>
      <c r="AS90" s="1028">
        <v>70338091.672228903</v>
      </c>
      <c r="AT90" s="1028">
        <v>65270591.672228895</v>
      </c>
      <c r="AU90" s="1028">
        <v>5067500</v>
      </c>
      <c r="AW90" s="1028">
        <v>0</v>
      </c>
      <c r="BB90" s="1028">
        <v>176812909.07910162</v>
      </c>
      <c r="BC90" s="1028">
        <v>176812909.07910162</v>
      </c>
      <c r="BD90" s="1028">
        <v>176812909.07910162</v>
      </c>
      <c r="BE90" s="1028">
        <v>0</v>
      </c>
      <c r="BJ90" s="1028">
        <v>0</v>
      </c>
      <c r="BL90" s="1028">
        <v>0</v>
      </c>
      <c r="BQ90" s="1028">
        <v>0</v>
      </c>
      <c r="BS90" s="1028">
        <v>0</v>
      </c>
      <c r="BX90" s="1028">
        <v>0</v>
      </c>
      <c r="CD90" s="1028">
        <v>0</v>
      </c>
      <c r="CE90" s="1028">
        <v>0</v>
      </c>
      <c r="CH90" s="1028">
        <v>0</v>
      </c>
      <c r="CL90" s="1028">
        <v>0</v>
      </c>
      <c r="CQ90" s="1028">
        <v>0</v>
      </c>
      <c r="CR90" s="1028">
        <v>0</v>
      </c>
      <c r="CU90" s="1028">
        <v>0</v>
      </c>
      <c r="CY90" s="1028">
        <v>0</v>
      </c>
      <c r="DA90" s="1028">
        <v>0</v>
      </c>
      <c r="DB90" s="1028">
        <v>0</v>
      </c>
      <c r="DH90" s="1028">
        <v>1110232201.4203</v>
      </c>
      <c r="DI90" s="1028">
        <v>99696323.900000006</v>
      </c>
      <c r="DJ90" s="1028">
        <v>6011928.79</v>
      </c>
      <c r="DK90" s="1028">
        <v>51492374.481058747</v>
      </c>
      <c r="DL90" s="1028">
        <v>953031574.24924135</v>
      </c>
      <c r="DN90" s="1028">
        <v>475660904.72922403</v>
      </c>
      <c r="DQ90" s="1028">
        <v>3667178484.6316242</v>
      </c>
      <c r="DT90" s="1028">
        <v>-3.2196044921875E-3</v>
      </c>
    </row>
    <row r="91" spans="2:124">
      <c r="B91" s="1781">
        <v>44256</v>
      </c>
      <c r="C91" s="1028">
        <v>1570789285.634398</v>
      </c>
      <c r="D91" s="1028">
        <v>1570789285.634398</v>
      </c>
      <c r="E91" s="1028">
        <v>1100894837.3989542</v>
      </c>
      <c r="F91" s="1028">
        <v>469894448.23544389</v>
      </c>
      <c r="O91" s="1028">
        <v>362428440</v>
      </c>
      <c r="P91" s="1028">
        <v>133376132.80161083</v>
      </c>
      <c r="Q91" s="1028">
        <v>1739581.84482694</v>
      </c>
      <c r="R91" s="1028">
        <v>1574169.8853706899</v>
      </c>
      <c r="S91" s="1028">
        <v>165411.95945624998</v>
      </c>
      <c r="U91" s="1028">
        <v>131636550.95678389</v>
      </c>
      <c r="V91" s="1028">
        <v>121522176.23740639</v>
      </c>
      <c r="W91" s="1028">
        <v>10114374.719377499</v>
      </c>
      <c r="Y91" s="1028">
        <v>0</v>
      </c>
      <c r="AC91" s="1028">
        <v>0</v>
      </c>
      <c r="AE91" s="1028">
        <v>0</v>
      </c>
      <c r="AG91" s="1028">
        <v>27800489.724083614</v>
      </c>
      <c r="AH91" s="1028">
        <v>26459727.797247779</v>
      </c>
      <c r="AI91" s="1028">
        <v>1340761.9268358334</v>
      </c>
      <c r="AK91" s="1028">
        <v>15481531.280768333</v>
      </c>
      <c r="AL91" s="1028">
        <v>10805946.595128333</v>
      </c>
      <c r="AM91" s="1028">
        <v>4675584.6856399998</v>
      </c>
      <c r="AO91" s="1028">
        <v>115711752.50344166</v>
      </c>
      <c r="AP91" s="1028">
        <v>115711752.50344166</v>
      </c>
      <c r="AQ91" s="1028">
        <v>0</v>
      </c>
      <c r="AS91" s="1028">
        <v>70058533.690095559</v>
      </c>
      <c r="AT91" s="1028">
        <v>59250425.356762223</v>
      </c>
      <c r="AU91" s="1028">
        <v>10808108.333333334</v>
      </c>
      <c r="AW91" s="1028">
        <v>0</v>
      </c>
      <c r="BB91" s="1028">
        <v>200200316.96487519</v>
      </c>
      <c r="BC91" s="1028">
        <v>200200316.96487519</v>
      </c>
      <c r="BD91" s="1028">
        <v>200200316.96487519</v>
      </c>
      <c r="BE91" s="1028">
        <v>0</v>
      </c>
      <c r="BJ91" s="1028">
        <v>0</v>
      </c>
      <c r="BL91" s="1028">
        <v>0</v>
      </c>
      <c r="BQ91" s="1028">
        <v>0</v>
      </c>
      <c r="BS91" s="1028">
        <v>0</v>
      </c>
      <c r="BX91" s="1028">
        <v>0</v>
      </c>
      <c r="CD91" s="1028">
        <v>0</v>
      </c>
      <c r="CE91" s="1028">
        <v>0</v>
      </c>
      <c r="CH91" s="1028">
        <v>0</v>
      </c>
      <c r="CL91" s="1028">
        <v>0</v>
      </c>
      <c r="CQ91" s="1028">
        <v>0</v>
      </c>
      <c r="CR91" s="1028">
        <v>0</v>
      </c>
      <c r="CU91" s="1028">
        <v>0</v>
      </c>
      <c r="CY91" s="1028">
        <v>0</v>
      </c>
      <c r="DA91" s="1028">
        <v>0</v>
      </c>
      <c r="DB91" s="1028">
        <v>0</v>
      </c>
      <c r="DH91" s="1028">
        <v>1129821388.8763499</v>
      </c>
      <c r="DI91" s="1028">
        <v>113561438.45999999</v>
      </c>
      <c r="DJ91" s="1028">
        <v>6290741.8899999997</v>
      </c>
      <c r="DK91" s="1028">
        <v>38666160.655484319</v>
      </c>
      <c r="DL91" s="1028">
        <v>971303047.87086558</v>
      </c>
      <c r="DN91" s="1028">
        <v>440049663.61778551</v>
      </c>
      <c r="DQ91" s="1028">
        <v>3703289095.0934086</v>
      </c>
      <c r="DT91" s="1028">
        <v>4.3764114379882813E-3</v>
      </c>
    </row>
    <row r="92" spans="2:124">
      <c r="B92" s="1781">
        <v>44287</v>
      </c>
      <c r="C92" s="1028">
        <v>1707727612.4573131</v>
      </c>
      <c r="D92" s="1028">
        <v>1707727612.4573131</v>
      </c>
      <c r="E92" s="1028">
        <v>1151813505.6860418</v>
      </c>
      <c r="F92" s="1028">
        <v>555914106.77127135</v>
      </c>
      <c r="O92" s="1028">
        <v>379492478.53467393</v>
      </c>
      <c r="P92" s="1028">
        <v>128772690.94292778</v>
      </c>
      <c r="Q92" s="1028">
        <v>2097915.3852433334</v>
      </c>
      <c r="R92" s="1028">
        <v>1909716.80668125</v>
      </c>
      <c r="S92" s="1028">
        <v>188198.57856208336</v>
      </c>
      <c r="U92" s="1028">
        <v>126674775.55768445</v>
      </c>
      <c r="V92" s="1028">
        <v>116314163.34166194</v>
      </c>
      <c r="W92" s="1028">
        <v>10360612.216022501</v>
      </c>
      <c r="Y92" s="1028">
        <v>0</v>
      </c>
      <c r="AC92" s="1028">
        <v>30172500.489999998</v>
      </c>
      <c r="AD92" s="1028">
        <v>30172500.489999998</v>
      </c>
      <c r="AE92" s="1028">
        <v>0</v>
      </c>
      <c r="AG92" s="1028">
        <v>7624719.4997247225</v>
      </c>
      <c r="AH92" s="1028">
        <v>7624719.4997247225</v>
      </c>
      <c r="AI92" s="1028">
        <v>0</v>
      </c>
      <c r="AK92" s="1028">
        <v>20848317.372135002</v>
      </c>
      <c r="AL92" s="1028">
        <v>15903430.541945001</v>
      </c>
      <c r="AM92" s="1028">
        <v>4944886.8301900001</v>
      </c>
      <c r="AO92" s="1028">
        <v>119004568.19947916</v>
      </c>
      <c r="AP92" s="1028">
        <v>37535679.313929163</v>
      </c>
      <c r="AQ92" s="1028">
        <v>81468888.885549992</v>
      </c>
      <c r="AS92" s="1028">
        <v>73069682.03040722</v>
      </c>
      <c r="AT92" s="1028">
        <v>62150328.905407228</v>
      </c>
      <c r="AU92" s="1028">
        <v>10919353.125</v>
      </c>
      <c r="AW92" s="1028">
        <v>0</v>
      </c>
      <c r="BB92" s="1028">
        <v>165318703.85722369</v>
      </c>
      <c r="BC92" s="1028">
        <v>165318703.85722369</v>
      </c>
      <c r="BD92" s="1028">
        <v>165318703.85722369</v>
      </c>
      <c r="BE92" s="1028">
        <v>0</v>
      </c>
      <c r="BJ92" s="1028">
        <v>0</v>
      </c>
      <c r="BL92" s="1028">
        <v>0</v>
      </c>
      <c r="BQ92" s="1028">
        <v>0</v>
      </c>
      <c r="BS92" s="1028">
        <v>0</v>
      </c>
      <c r="BX92" s="1028">
        <v>0</v>
      </c>
      <c r="CD92" s="1028">
        <v>0</v>
      </c>
      <c r="CE92" s="1028">
        <v>0</v>
      </c>
      <c r="CH92" s="1028">
        <v>0</v>
      </c>
      <c r="CL92" s="1028">
        <v>0</v>
      </c>
      <c r="CQ92" s="1028">
        <v>0</v>
      </c>
      <c r="CR92" s="1028">
        <v>0</v>
      </c>
      <c r="CU92" s="1028">
        <v>0</v>
      </c>
      <c r="CY92" s="1028">
        <v>0</v>
      </c>
      <c r="DA92" s="1028">
        <v>0</v>
      </c>
      <c r="DB92" s="1028">
        <v>0</v>
      </c>
      <c r="DH92" s="1028">
        <v>1186253996.0169101</v>
      </c>
      <c r="DI92" s="1028">
        <v>96152517.482360795</v>
      </c>
      <c r="DJ92" s="1028">
        <v>4445245.09946902</v>
      </c>
      <c r="DK92" s="1028">
        <v>94926677.068134785</v>
      </c>
      <c r="DL92" s="1028">
        <v>990729556.36694551</v>
      </c>
      <c r="DN92" s="1028">
        <v>380561297.79765695</v>
      </c>
      <c r="DQ92" s="1028">
        <v>3819354088.6637778</v>
      </c>
    </row>
    <row r="93" spans="2:124">
      <c r="B93" s="1781">
        <v>44317</v>
      </c>
      <c r="C93" s="1028">
        <v>1986842338.7500105</v>
      </c>
      <c r="D93" s="1028">
        <v>1986842338.7500105</v>
      </c>
      <c r="E93" s="1028">
        <v>1213888637.558419</v>
      </c>
      <c r="F93" s="1028">
        <v>772953701.1915915</v>
      </c>
      <c r="O93" s="1028">
        <v>435570090.9531427</v>
      </c>
      <c r="P93" s="1028">
        <v>139594763.82602081</v>
      </c>
      <c r="Q93" s="1028">
        <v>3429225.0712916669</v>
      </c>
      <c r="R93" s="1028">
        <v>1734855.2412300003</v>
      </c>
      <c r="S93" s="1028">
        <v>1694369.8300616667</v>
      </c>
      <c r="U93" s="1028">
        <v>136165538.75472915</v>
      </c>
      <c r="V93" s="1028">
        <v>116096231.57395443</v>
      </c>
      <c r="W93" s="1028">
        <v>20069307.180774722</v>
      </c>
      <c r="Y93" s="1028">
        <v>0</v>
      </c>
      <c r="AC93" s="1028">
        <v>0</v>
      </c>
      <c r="AD93" s="1028">
        <v>0</v>
      </c>
      <c r="AE93" s="1028">
        <v>0</v>
      </c>
      <c r="AG93" s="1028">
        <v>0</v>
      </c>
      <c r="AH93" s="1028">
        <v>0</v>
      </c>
      <c r="AI93" s="1028">
        <v>0</v>
      </c>
      <c r="AK93" s="1028">
        <v>15439046.191608334</v>
      </c>
      <c r="AL93" s="1028">
        <v>15439046.191608334</v>
      </c>
      <c r="AM93" s="1028">
        <v>0</v>
      </c>
      <c r="AO93" s="1028">
        <v>209236835.1876736</v>
      </c>
      <c r="AP93" s="1028">
        <v>209236835.1876736</v>
      </c>
      <c r="AQ93" s="1028">
        <v>0</v>
      </c>
      <c r="AS93" s="1028">
        <v>71299445.747840002</v>
      </c>
      <c r="AT93" s="1028">
        <v>71299445.747840002</v>
      </c>
      <c r="AU93" s="1028">
        <v>0</v>
      </c>
      <c r="AW93" s="1028">
        <v>0</v>
      </c>
      <c r="BB93" s="1028">
        <v>166384765.04371271</v>
      </c>
      <c r="BC93" s="1028">
        <v>166384765.04371271</v>
      </c>
      <c r="BD93" s="1028">
        <v>166384765.04371271</v>
      </c>
      <c r="BE93" s="1028">
        <v>0</v>
      </c>
      <c r="BJ93" s="1028">
        <v>0</v>
      </c>
      <c r="BL93" s="1028">
        <v>0</v>
      </c>
      <c r="BQ93" s="1028">
        <v>0</v>
      </c>
      <c r="BS93" s="1028">
        <v>0</v>
      </c>
      <c r="BX93" s="1028">
        <v>0</v>
      </c>
      <c r="CD93" s="1028">
        <v>0</v>
      </c>
      <c r="CE93" s="1028">
        <v>0</v>
      </c>
      <c r="CH93" s="1028">
        <v>0</v>
      </c>
      <c r="CL93" s="1028">
        <v>0</v>
      </c>
      <c r="CQ93" s="1028">
        <v>0</v>
      </c>
      <c r="CR93" s="1028">
        <v>0</v>
      </c>
      <c r="CU93" s="1028">
        <v>0</v>
      </c>
      <c r="CY93" s="1028">
        <v>0</v>
      </c>
      <c r="DA93" s="1028">
        <v>0</v>
      </c>
      <c r="DB93" s="1028">
        <v>0</v>
      </c>
      <c r="DH93" s="1028">
        <v>1300105293.13782</v>
      </c>
      <c r="DI93" s="1028">
        <v>87520108.794867307</v>
      </c>
      <c r="DJ93" s="1028">
        <v>4334904.5905990498</v>
      </c>
      <c r="DK93" s="1028">
        <v>165586987.95103061</v>
      </c>
      <c r="DL93" s="1028">
        <v>1042663291.8013231</v>
      </c>
      <c r="DN93" s="1028">
        <v>401800270.20783991</v>
      </c>
      <c r="DQ93" s="1028">
        <v>4290702758.0925255</v>
      </c>
    </row>
    <row r="94" spans="2:124">
      <c r="B94" s="1781">
        <v>44348</v>
      </c>
      <c r="C94" s="1028">
        <v>2144176711.2785811</v>
      </c>
      <c r="D94" s="1028">
        <v>2144176711.2785811</v>
      </c>
      <c r="E94" s="1028">
        <v>1361473997.4634624</v>
      </c>
      <c r="F94" s="1028">
        <v>782702713.81511891</v>
      </c>
      <c r="O94" s="1028">
        <v>479363489.08248627</v>
      </c>
      <c r="P94" s="1028">
        <v>149597231.17222208</v>
      </c>
      <c r="Q94" s="1028">
        <v>5935041.5957945827</v>
      </c>
      <c r="R94" s="1028">
        <v>2476185.1996459723</v>
      </c>
      <c r="S94" s="1028">
        <v>3458856.3961486109</v>
      </c>
      <c r="U94" s="1028">
        <v>143662189.57642749</v>
      </c>
      <c r="V94" s="1028">
        <v>143570579.34160581</v>
      </c>
      <c r="W94" s="1028">
        <v>91610.234821666658</v>
      </c>
      <c r="Y94" s="1028">
        <v>0</v>
      </c>
      <c r="AC94" s="1028">
        <v>0</v>
      </c>
      <c r="AD94" s="1028">
        <v>0</v>
      </c>
      <c r="AE94" s="1028">
        <v>0</v>
      </c>
      <c r="AG94" s="1028">
        <v>0</v>
      </c>
      <c r="AH94" s="1028">
        <v>0</v>
      </c>
      <c r="AI94" s="1028">
        <v>0</v>
      </c>
      <c r="AK94" s="1028">
        <v>22536968.32402667</v>
      </c>
      <c r="AL94" s="1028">
        <v>17648644.530266669</v>
      </c>
      <c r="AM94" s="1028">
        <v>4888323.7937600007</v>
      </c>
      <c r="AO94" s="1028">
        <v>204753154.84377864</v>
      </c>
      <c r="AP94" s="1028">
        <v>204753154.84377864</v>
      </c>
      <c r="AQ94" s="1028">
        <v>0</v>
      </c>
      <c r="AS94" s="1028">
        <v>102476134.74245888</v>
      </c>
      <c r="AT94" s="1028">
        <v>75590509.74245888</v>
      </c>
      <c r="AU94" s="1028">
        <v>26885625</v>
      </c>
      <c r="AW94" s="1028">
        <v>0</v>
      </c>
      <c r="BB94" s="1028">
        <v>158400322.29815999</v>
      </c>
      <c r="BC94" s="1028">
        <v>158400322.29815999</v>
      </c>
      <c r="BD94" s="1028">
        <v>158400322.29815999</v>
      </c>
      <c r="BE94" s="1028">
        <v>0</v>
      </c>
      <c r="BJ94" s="1028">
        <v>0</v>
      </c>
      <c r="BL94" s="1028">
        <v>0</v>
      </c>
      <c r="BQ94" s="1028">
        <v>0</v>
      </c>
      <c r="BS94" s="1028">
        <v>0</v>
      </c>
      <c r="BX94" s="1028">
        <v>0</v>
      </c>
      <c r="CD94" s="1028">
        <v>0</v>
      </c>
      <c r="CE94" s="1028">
        <v>0</v>
      </c>
      <c r="CH94" s="1028">
        <v>0</v>
      </c>
      <c r="CL94" s="1028">
        <v>0</v>
      </c>
      <c r="CQ94" s="1028">
        <v>0</v>
      </c>
      <c r="CR94" s="1028">
        <v>0</v>
      </c>
      <c r="CU94" s="1028">
        <v>0</v>
      </c>
      <c r="CY94" s="1028">
        <v>0</v>
      </c>
      <c r="DA94" s="1028">
        <v>0</v>
      </c>
      <c r="DB94" s="1028">
        <v>0</v>
      </c>
      <c r="DH94" s="1028">
        <v>1364004392.1469297</v>
      </c>
      <c r="DI94" s="1028">
        <v>102693724.324867</v>
      </c>
      <c r="DJ94" s="1028">
        <v>4845464.4805990504</v>
      </c>
      <c r="DK94" s="1028">
        <v>210656152.46248615</v>
      </c>
      <c r="DL94" s="1028">
        <v>1045809050.8789777</v>
      </c>
      <c r="DN94" s="1028">
        <v>448634775.36310899</v>
      </c>
      <c r="DQ94" s="1028">
        <v>4594579690.1692657</v>
      </c>
    </row>
    <row r="95" spans="2:124">
      <c r="B95" s="1781">
        <v>44378</v>
      </c>
      <c r="C95" s="1028">
        <v>2393631601.7345309</v>
      </c>
      <c r="D95" s="1028">
        <v>2393631601.7345309</v>
      </c>
      <c r="E95" s="1028">
        <v>1551000153.8901329</v>
      </c>
      <c r="F95" s="1028">
        <v>842631447.84439802</v>
      </c>
      <c r="O95" s="1028">
        <v>520687791.77999997</v>
      </c>
      <c r="P95" s="1028">
        <v>152288299.84999999</v>
      </c>
      <c r="Q95" s="1028">
        <v>6054333.7699999996</v>
      </c>
      <c r="R95" s="1028">
        <v>4029442.53</v>
      </c>
      <c r="S95" s="1028">
        <v>2024891.24</v>
      </c>
      <c r="U95" s="1028">
        <v>146233966.07999998</v>
      </c>
      <c r="V95" s="1028">
        <v>136191673.41999999</v>
      </c>
      <c r="W95" s="1028">
        <v>10042292.66</v>
      </c>
      <c r="Y95" s="1028">
        <v>0</v>
      </c>
      <c r="AC95" s="1028">
        <v>0</v>
      </c>
      <c r="AD95" s="1028">
        <v>0</v>
      </c>
      <c r="AE95" s="1028">
        <v>0</v>
      </c>
      <c r="AG95" s="1028">
        <v>0</v>
      </c>
      <c r="AH95" s="1028">
        <v>0</v>
      </c>
      <c r="AI95" s="1028">
        <v>0</v>
      </c>
      <c r="AK95" s="1028">
        <v>23480056.909999996</v>
      </c>
      <c r="AL95" s="1028">
        <v>23480056.909999996</v>
      </c>
      <c r="AM95" s="1028">
        <v>0</v>
      </c>
      <c r="AO95" s="1028">
        <v>219799325.41999999</v>
      </c>
      <c r="AP95" s="1028">
        <v>219799325.41999999</v>
      </c>
      <c r="AQ95" s="1028">
        <v>0</v>
      </c>
      <c r="AS95" s="1028">
        <v>125120109.59999999</v>
      </c>
      <c r="AT95" s="1028">
        <v>70905160.640000001</v>
      </c>
      <c r="AU95" s="1028">
        <v>54214948.960000001</v>
      </c>
      <c r="AW95" s="1028">
        <v>0</v>
      </c>
      <c r="BB95" s="1028">
        <v>214784193.12146398</v>
      </c>
      <c r="BC95" s="1028">
        <v>214784193.12146398</v>
      </c>
      <c r="BD95" s="1028">
        <v>214784193.12146398</v>
      </c>
      <c r="BE95" s="1028">
        <v>0</v>
      </c>
      <c r="BJ95" s="1028">
        <v>0</v>
      </c>
      <c r="BL95" s="1028">
        <v>0</v>
      </c>
      <c r="BQ95" s="1028">
        <v>0</v>
      </c>
      <c r="BS95" s="1028">
        <v>0</v>
      </c>
      <c r="BX95" s="1028">
        <v>0</v>
      </c>
      <c r="CD95" s="1028">
        <v>0</v>
      </c>
      <c r="CE95" s="1028">
        <v>0</v>
      </c>
      <c r="CH95" s="1028">
        <v>0</v>
      </c>
      <c r="CL95" s="1028">
        <v>0</v>
      </c>
      <c r="CQ95" s="1028">
        <v>0</v>
      </c>
      <c r="CR95" s="1028">
        <v>0</v>
      </c>
      <c r="CU95" s="1028">
        <v>0</v>
      </c>
      <c r="CY95" s="1028">
        <v>0</v>
      </c>
      <c r="DA95" s="1028">
        <v>0</v>
      </c>
      <c r="DB95" s="1028">
        <v>0</v>
      </c>
      <c r="DH95" s="1028">
        <v>1675733123</v>
      </c>
      <c r="DI95" s="1028">
        <v>107429469.144867</v>
      </c>
      <c r="DJ95" s="1028">
        <v>5829490.79059905</v>
      </c>
      <c r="DK95" s="1028">
        <v>210656152.46248615</v>
      </c>
      <c r="DL95" s="1028">
        <v>1351818010.6020479</v>
      </c>
      <c r="DN95" s="1028">
        <v>471542648.31035602</v>
      </c>
      <c r="DQ95" s="1028">
        <v>5276379357.9463511</v>
      </c>
    </row>
    <row r="96" spans="2:124">
      <c r="B96" s="1781">
        <v>44409</v>
      </c>
      <c r="C96" s="1028">
        <v>2576016038.9091892</v>
      </c>
      <c r="D96" s="1028">
        <v>2576016038.9091892</v>
      </c>
      <c r="E96" s="1028">
        <v>1730922000.5211329</v>
      </c>
      <c r="F96" s="1028">
        <v>845094038.38805652</v>
      </c>
      <c r="O96" s="1028">
        <v>617823336.53328347</v>
      </c>
      <c r="P96" s="1028">
        <v>159910725.28327623</v>
      </c>
      <c r="Q96" s="1028">
        <v>7152470.2969526378</v>
      </c>
      <c r="R96" s="1028">
        <v>4370712.8819351383</v>
      </c>
      <c r="S96" s="1028">
        <v>2781757.4150174996</v>
      </c>
      <c r="U96" s="1028">
        <v>152758254.9863236</v>
      </c>
      <c r="V96" s="1028">
        <v>141812954.84876776</v>
      </c>
      <c r="W96" s="1028">
        <v>10945300.137555834</v>
      </c>
      <c r="Y96" s="1028">
        <v>0</v>
      </c>
      <c r="AC96" s="1028">
        <v>0</v>
      </c>
      <c r="AD96" s="1028">
        <v>0</v>
      </c>
      <c r="AE96" s="1028">
        <v>0</v>
      </c>
      <c r="AG96" s="1028">
        <v>0</v>
      </c>
      <c r="AH96" s="1028">
        <v>0</v>
      </c>
      <c r="AI96" s="1028">
        <v>0</v>
      </c>
      <c r="AK96" s="1028">
        <v>23467173.258254997</v>
      </c>
      <c r="AL96" s="1028">
        <v>18427224.484874997</v>
      </c>
      <c r="AM96" s="1028">
        <v>5039948.7733800001</v>
      </c>
      <c r="AO96" s="1028">
        <v>284586872.56290364</v>
      </c>
      <c r="AP96" s="1028">
        <v>283579789.22957033</v>
      </c>
      <c r="AQ96" s="1028">
        <v>1007083.3333333334</v>
      </c>
      <c r="AS96" s="1028">
        <v>149858565.42884862</v>
      </c>
      <c r="AT96" s="1028">
        <v>102742398.76218195</v>
      </c>
      <c r="AU96" s="1028">
        <v>47116166.666666664</v>
      </c>
      <c r="AW96" s="1028">
        <v>0</v>
      </c>
      <c r="BB96" s="1028">
        <v>160437129.35614401</v>
      </c>
      <c r="BC96" s="1028">
        <v>160437129.35614401</v>
      </c>
      <c r="BD96" s="1028">
        <v>160437129.35614401</v>
      </c>
      <c r="BE96" s="1028">
        <v>0</v>
      </c>
      <c r="BJ96" s="1028">
        <v>0</v>
      </c>
      <c r="BL96" s="1028">
        <v>0</v>
      </c>
      <c r="BQ96" s="1028">
        <v>0</v>
      </c>
      <c r="BS96" s="1028">
        <v>0</v>
      </c>
      <c r="BX96" s="1028">
        <v>0</v>
      </c>
      <c r="CD96" s="1028">
        <v>0</v>
      </c>
      <c r="CE96" s="1028">
        <v>0</v>
      </c>
      <c r="CH96" s="1028">
        <v>0</v>
      </c>
      <c r="CL96" s="1028">
        <v>0</v>
      </c>
      <c r="CQ96" s="1028">
        <v>0</v>
      </c>
      <c r="CR96" s="1028">
        <v>0</v>
      </c>
      <c r="CU96" s="1028">
        <v>0</v>
      </c>
      <c r="CY96" s="1028">
        <v>0</v>
      </c>
      <c r="DA96" s="1028">
        <v>0</v>
      </c>
      <c r="DB96" s="1028">
        <v>0</v>
      </c>
      <c r="DH96" s="1028">
        <v>1755337501.16677</v>
      </c>
      <c r="DI96" s="1028">
        <v>116313445.32486731</v>
      </c>
      <c r="DJ96" s="1028">
        <v>7320489.9463845193</v>
      </c>
      <c r="DK96" s="1028">
        <v>531048872.35088289</v>
      </c>
      <c r="DL96" s="1028">
        <v>1100654693.5446353</v>
      </c>
      <c r="DN96" s="1028">
        <v>556495648.31030107</v>
      </c>
      <c r="DQ96" s="1028">
        <v>5666109654.2756872</v>
      </c>
    </row>
    <row r="97" spans="2:124">
      <c r="B97" s="1781">
        <v>44440</v>
      </c>
      <c r="C97" s="1028">
        <v>2706003996.8984962</v>
      </c>
      <c r="D97" s="1028">
        <v>2706003996.8984962</v>
      </c>
      <c r="E97" s="1028">
        <v>1714993266.6976547</v>
      </c>
      <c r="F97" s="1028">
        <v>991010730.20084143</v>
      </c>
      <c r="O97" s="1028">
        <v>605371544.86074102</v>
      </c>
      <c r="P97" s="1028">
        <v>159267806.4176726</v>
      </c>
      <c r="Q97" s="1028">
        <v>7932625.2030937504</v>
      </c>
      <c r="R97" s="1028">
        <v>4885343.529166528</v>
      </c>
      <c r="S97" s="1028">
        <v>3047281.6739272224</v>
      </c>
      <c r="U97" s="1028">
        <v>151335181.21457887</v>
      </c>
      <c r="V97" s="1028">
        <v>147874409.76235053</v>
      </c>
      <c r="W97" s="1028">
        <v>3460771.4522283333</v>
      </c>
      <c r="Y97" s="1028">
        <v>0</v>
      </c>
      <c r="AC97" s="1028">
        <v>0</v>
      </c>
      <c r="AD97" s="1028">
        <v>0</v>
      </c>
      <c r="AE97" s="1028">
        <v>0</v>
      </c>
      <c r="AG97" s="1028">
        <v>0</v>
      </c>
      <c r="AH97" s="1028">
        <v>0</v>
      </c>
      <c r="AI97" s="1028">
        <v>0</v>
      </c>
      <c r="AK97" s="1028">
        <v>28699489.917830005</v>
      </c>
      <c r="AL97" s="1028">
        <v>28699489.917830005</v>
      </c>
      <c r="AO97" s="1028">
        <v>285529301.99303836</v>
      </c>
      <c r="AP97" s="1028">
        <v>283478438.55236501</v>
      </c>
      <c r="AQ97" s="1028">
        <v>2050863.4406733334</v>
      </c>
      <c r="AS97" s="1028">
        <v>131874946.53220001</v>
      </c>
      <c r="AT97" s="1028">
        <v>104988878.82386668</v>
      </c>
      <c r="AU97" s="1028">
        <v>26886067.708333332</v>
      </c>
      <c r="AW97" s="1028">
        <v>0</v>
      </c>
      <c r="BB97" s="1028">
        <v>161320399.886702</v>
      </c>
      <c r="BC97" s="1028">
        <v>161320399.886702</v>
      </c>
      <c r="BD97" s="1028">
        <v>161320399.886702</v>
      </c>
      <c r="BE97" s="1028">
        <v>0</v>
      </c>
      <c r="BJ97" s="1028">
        <v>0</v>
      </c>
      <c r="BL97" s="1028">
        <v>0</v>
      </c>
      <c r="BQ97" s="1028">
        <v>0</v>
      </c>
      <c r="BS97" s="1028">
        <v>0</v>
      </c>
      <c r="BX97" s="1028">
        <v>0</v>
      </c>
      <c r="CD97" s="1028">
        <v>0</v>
      </c>
      <c r="CE97" s="1028">
        <v>0</v>
      </c>
      <c r="CH97" s="1028">
        <v>0</v>
      </c>
      <c r="CL97" s="1028">
        <v>0</v>
      </c>
      <c r="CQ97" s="1028">
        <v>0</v>
      </c>
      <c r="CR97" s="1028">
        <v>0</v>
      </c>
      <c r="CU97" s="1028">
        <v>0</v>
      </c>
      <c r="CY97" s="1028">
        <v>0</v>
      </c>
      <c r="DA97" s="1028">
        <v>0</v>
      </c>
      <c r="DB97" s="1028">
        <v>0</v>
      </c>
      <c r="DH97" s="1028">
        <v>1969920393.1798301</v>
      </c>
      <c r="DI97" s="1028">
        <v>116313445.32486731</v>
      </c>
      <c r="DJ97" s="1028">
        <v>7320489.9463845193</v>
      </c>
      <c r="DK97" s="1028">
        <v>531048872.35088289</v>
      </c>
      <c r="DL97" s="1028">
        <v>1315237585.5576954</v>
      </c>
      <c r="DN97" s="1028">
        <v>515962257.77699941</v>
      </c>
      <c r="DQ97" s="1028">
        <v>5958578592.6027689</v>
      </c>
    </row>
    <row r="98" spans="2:124">
      <c r="B98" s="1781">
        <v>44470</v>
      </c>
      <c r="C98" s="1028">
        <v>2629161184.159513</v>
      </c>
      <c r="D98" s="1028">
        <v>2629161184.159513</v>
      </c>
      <c r="E98" s="1028">
        <v>1667430371.4917307</v>
      </c>
      <c r="F98" s="1028">
        <v>961730812.66778243</v>
      </c>
      <c r="G98" s="1028">
        <v>0</v>
      </c>
      <c r="O98" s="1028">
        <v>930834215.3178916</v>
      </c>
      <c r="P98" s="1028">
        <v>161007674.54326224</v>
      </c>
      <c r="Q98" s="1028">
        <v>6628803.4447311107</v>
      </c>
      <c r="R98" s="1028">
        <v>4616582.8945141668</v>
      </c>
      <c r="S98" s="1028">
        <v>2012220.5502169444</v>
      </c>
      <c r="U98" s="1028">
        <v>154378871.09853113</v>
      </c>
      <c r="V98" s="1028">
        <v>143129325.45510083</v>
      </c>
      <c r="W98" s="1028">
        <v>11249545.643430278</v>
      </c>
      <c r="Y98" s="1028">
        <v>0</v>
      </c>
      <c r="AC98" s="1028">
        <v>0</v>
      </c>
      <c r="AD98" s="1028">
        <v>0</v>
      </c>
      <c r="AE98" s="1028">
        <v>0</v>
      </c>
      <c r="AG98" s="1028">
        <v>0</v>
      </c>
      <c r="AH98" s="1028">
        <v>0</v>
      </c>
      <c r="AI98" s="1028">
        <v>0</v>
      </c>
      <c r="AK98" s="1028">
        <v>109096456.98095</v>
      </c>
      <c r="AL98" s="1028">
        <v>103907872.01645</v>
      </c>
      <c r="AM98" s="1028">
        <v>5188584.9645000007</v>
      </c>
      <c r="AO98" s="1028">
        <v>268140871.48996389</v>
      </c>
      <c r="AP98" s="1028">
        <v>267120093.7121861</v>
      </c>
      <c r="AQ98" s="1028">
        <v>1020777.7777777778</v>
      </c>
      <c r="AS98" s="1028">
        <v>392589212.30371547</v>
      </c>
      <c r="AT98" s="1028">
        <v>91850907.19775556</v>
      </c>
      <c r="AU98" s="1028">
        <v>300738305.10595989</v>
      </c>
      <c r="AW98" s="1028">
        <v>0</v>
      </c>
      <c r="BB98" s="1028">
        <v>165959288.178408</v>
      </c>
      <c r="BC98" s="1028">
        <v>165959288.178408</v>
      </c>
      <c r="BD98" s="1028">
        <v>165959288.178408</v>
      </c>
      <c r="BE98" s="1028">
        <v>0</v>
      </c>
      <c r="BJ98" s="1028">
        <v>0</v>
      </c>
      <c r="BL98" s="1028">
        <v>0</v>
      </c>
      <c r="BQ98" s="1028">
        <v>0</v>
      </c>
      <c r="BS98" s="1028">
        <v>0</v>
      </c>
      <c r="BX98" s="1028">
        <v>0</v>
      </c>
      <c r="CD98" s="1028">
        <v>0</v>
      </c>
      <c r="CE98" s="1028">
        <v>0</v>
      </c>
      <c r="CH98" s="1028">
        <v>0</v>
      </c>
      <c r="CL98" s="1028">
        <v>0</v>
      </c>
      <c r="CQ98" s="1028">
        <v>0</v>
      </c>
      <c r="CR98" s="1028">
        <v>0</v>
      </c>
      <c r="CU98" s="1028">
        <v>0</v>
      </c>
      <c r="CY98" s="1028">
        <v>0</v>
      </c>
      <c r="DA98" s="1028">
        <v>0</v>
      </c>
      <c r="DB98" s="1028">
        <v>0</v>
      </c>
      <c r="DH98" s="1028">
        <v>2196711600.4289098</v>
      </c>
      <c r="DI98" s="1028">
        <v>156664208.09486699</v>
      </c>
      <c r="DJ98" s="1028">
        <v>7190701.2805990502</v>
      </c>
      <c r="DK98" s="1028">
        <v>659157325.13389659</v>
      </c>
      <c r="DL98" s="1028">
        <v>1373699365.9195471</v>
      </c>
      <c r="DN98" s="1028">
        <v>585514396.88461208</v>
      </c>
      <c r="DQ98" s="1028">
        <v>6508180684.9693346</v>
      </c>
      <c r="DT98" s="1028">
        <v>3.7755966186523438E-3</v>
      </c>
    </row>
    <row r="99" spans="2:124">
      <c r="B99" s="1781">
        <v>44501</v>
      </c>
      <c r="C99" s="1028">
        <v>2731608991.2350273</v>
      </c>
      <c r="D99" s="1028">
        <v>2731608991.2350273</v>
      </c>
      <c r="E99" s="1028">
        <v>1788532798.0910158</v>
      </c>
      <c r="F99" s="1028">
        <v>943076193.14401162</v>
      </c>
      <c r="G99" s="1028">
        <v>0</v>
      </c>
      <c r="O99" s="1028">
        <v>1129453076.4321041</v>
      </c>
      <c r="P99" s="1028">
        <v>159230480.25654429</v>
      </c>
      <c r="Q99" s="1028">
        <v>7373507.9494238887</v>
      </c>
      <c r="R99" s="1028">
        <v>4417948.478445556</v>
      </c>
      <c r="S99" s="1028">
        <v>2955559.4709783331</v>
      </c>
      <c r="U99" s="1028">
        <v>151856972.30712041</v>
      </c>
      <c r="V99" s="1028">
        <v>137020743.36699501</v>
      </c>
      <c r="W99" s="1028">
        <v>14836228.940125419</v>
      </c>
      <c r="Y99" s="1028">
        <v>0</v>
      </c>
      <c r="AC99" s="1028">
        <v>0</v>
      </c>
      <c r="AD99" s="1028">
        <v>0</v>
      </c>
      <c r="AE99" s="1028">
        <v>0</v>
      </c>
      <c r="AG99" s="1028">
        <v>0</v>
      </c>
      <c r="AH99" s="1028">
        <v>0</v>
      </c>
      <c r="AI99" s="1028">
        <v>0</v>
      </c>
      <c r="AK99" s="1028">
        <v>119221402.55082665</v>
      </c>
      <c r="AL99" s="1028">
        <v>119221402.55082665</v>
      </c>
      <c r="AM99" s="1028">
        <v>0</v>
      </c>
      <c r="AO99" s="1028">
        <v>610296887.26285553</v>
      </c>
      <c r="AP99" s="1028">
        <v>353449665.04063338</v>
      </c>
      <c r="AQ99" s="1028">
        <v>256847222.22222221</v>
      </c>
      <c r="AS99" s="1028">
        <v>240704306.3618778</v>
      </c>
      <c r="AT99" s="1028">
        <v>100956297.77159999</v>
      </c>
      <c r="AU99" s="1028">
        <v>139748008.59027779</v>
      </c>
      <c r="AW99" s="1028">
        <v>0</v>
      </c>
      <c r="BB99" s="1028">
        <v>784836765.57609606</v>
      </c>
      <c r="BC99" s="1028">
        <v>784836765.57609606</v>
      </c>
      <c r="BD99" s="1028">
        <v>784836765.57609606</v>
      </c>
      <c r="BE99" s="1028">
        <v>0</v>
      </c>
      <c r="BJ99" s="1028">
        <v>0</v>
      </c>
      <c r="BL99" s="1028">
        <v>0</v>
      </c>
      <c r="BQ99" s="1028">
        <v>0</v>
      </c>
      <c r="BS99" s="1028">
        <v>0</v>
      </c>
      <c r="BX99" s="1028">
        <v>0</v>
      </c>
      <c r="CD99" s="1028">
        <v>0</v>
      </c>
      <c r="CE99" s="1028">
        <v>0</v>
      </c>
      <c r="CH99" s="1028">
        <v>0</v>
      </c>
      <c r="CL99" s="1028">
        <v>0</v>
      </c>
      <c r="CQ99" s="1028">
        <v>0</v>
      </c>
      <c r="CR99" s="1028">
        <v>0</v>
      </c>
      <c r="CU99" s="1028">
        <v>0</v>
      </c>
      <c r="CY99" s="1028">
        <v>0</v>
      </c>
      <c r="DA99" s="1028">
        <v>0</v>
      </c>
      <c r="DB99" s="1028">
        <v>0</v>
      </c>
      <c r="DH99" s="1028">
        <v>2288765915.9945302</v>
      </c>
      <c r="DI99" s="1028">
        <v>175699892.114867</v>
      </c>
      <c r="DJ99" s="1028">
        <v>8389379.4805990495</v>
      </c>
      <c r="DK99" s="1028">
        <v>745879107.83679914</v>
      </c>
      <c r="DL99" s="1028">
        <v>1358797536.5622649</v>
      </c>
      <c r="DN99" s="1028">
        <v>495256890.119802</v>
      </c>
      <c r="DQ99" s="1028">
        <v>7429921639.3575592</v>
      </c>
    </row>
    <row r="100" spans="2:124">
      <c r="B100" s="1781">
        <v>44531</v>
      </c>
      <c r="C100" s="1028">
        <v>3023703252.1870303</v>
      </c>
      <c r="D100" s="1028">
        <v>3023703252.1870303</v>
      </c>
      <c r="E100" s="1028">
        <v>1996578716.1428041</v>
      </c>
      <c r="F100" s="1028">
        <v>1027124536.0442263</v>
      </c>
      <c r="G100" s="1028">
        <v>0</v>
      </c>
      <c r="O100" s="1028">
        <v>1199734863.9935312</v>
      </c>
      <c r="P100" s="1028">
        <v>166898184.28365347</v>
      </c>
      <c r="Q100" s="1028">
        <v>7320935.6444790456</v>
      </c>
      <c r="R100" s="1028">
        <v>4179909.5393181955</v>
      </c>
      <c r="S100" s="1028">
        <v>3141026.1051608501</v>
      </c>
      <c r="U100" s="1028">
        <v>159577248.63917443</v>
      </c>
      <c r="V100" s="1028">
        <v>152350242.48922443</v>
      </c>
      <c r="W100" s="1028">
        <v>7227006.1499500005</v>
      </c>
      <c r="Y100" s="1028">
        <v>0</v>
      </c>
      <c r="AC100" s="1028">
        <v>0</v>
      </c>
      <c r="AD100" s="1028">
        <v>0</v>
      </c>
      <c r="AE100" s="1028">
        <v>0</v>
      </c>
      <c r="AG100" s="1028">
        <v>0</v>
      </c>
      <c r="AH100" s="1028">
        <v>0</v>
      </c>
      <c r="AI100" s="1028">
        <v>0</v>
      </c>
      <c r="AK100" s="1028">
        <v>150006375.14204445</v>
      </c>
      <c r="AL100" s="1028">
        <v>144646670.78691113</v>
      </c>
      <c r="AM100" s="1028">
        <v>5359704.3551333332</v>
      </c>
      <c r="AO100" s="1028">
        <v>639518981.76065552</v>
      </c>
      <c r="AP100" s="1028">
        <v>639518981.76065552</v>
      </c>
      <c r="AQ100" s="1028">
        <v>0</v>
      </c>
      <c r="AS100" s="1028">
        <v>243311322.80717778</v>
      </c>
      <c r="AT100" s="1028">
        <v>102752314.56328887</v>
      </c>
      <c r="AU100" s="1028">
        <v>140559008.24388891</v>
      </c>
      <c r="AW100" s="1028">
        <v>0</v>
      </c>
      <c r="BB100" s="1028">
        <v>453241736.04545999</v>
      </c>
      <c r="BC100" s="1028">
        <v>453241736.04545999</v>
      </c>
      <c r="BD100" s="1028">
        <v>453241736.04545999</v>
      </c>
      <c r="BE100" s="1028">
        <v>0</v>
      </c>
      <c r="BJ100" s="1028">
        <v>0</v>
      </c>
      <c r="BL100" s="1028">
        <v>0</v>
      </c>
      <c r="BQ100" s="1028">
        <v>0</v>
      </c>
      <c r="BS100" s="1028">
        <v>0</v>
      </c>
      <c r="BX100" s="1028">
        <v>0</v>
      </c>
      <c r="CD100" s="1028">
        <v>0</v>
      </c>
      <c r="CE100" s="1028">
        <v>0</v>
      </c>
      <c r="CH100" s="1028">
        <v>0</v>
      </c>
      <c r="CL100" s="1028">
        <v>0</v>
      </c>
      <c r="CQ100" s="1028">
        <v>0</v>
      </c>
      <c r="CR100" s="1028">
        <v>0</v>
      </c>
      <c r="CU100" s="1028">
        <v>0</v>
      </c>
      <c r="CY100" s="1028">
        <v>0</v>
      </c>
      <c r="DA100" s="1028">
        <v>0</v>
      </c>
      <c r="DB100" s="1028">
        <v>0</v>
      </c>
      <c r="DH100" s="1028">
        <v>2508416702.0484896</v>
      </c>
      <c r="DI100" s="1028">
        <v>169489813.23486701</v>
      </c>
      <c r="DJ100" s="1028">
        <v>10995530.680599101</v>
      </c>
      <c r="DK100" s="1028">
        <v>908016648.83683133</v>
      </c>
      <c r="DL100" s="1028">
        <v>1419914709.2961924</v>
      </c>
      <c r="DN100" s="1028">
        <v>410527714.54256773</v>
      </c>
      <c r="DQ100" s="1028">
        <v>7595624268.8170795</v>
      </c>
    </row>
    <row r="101" spans="2:124">
      <c r="B101" s="1781">
        <v>44562</v>
      </c>
      <c r="C101" s="1028">
        <v>2774397262.122076</v>
      </c>
      <c r="D101" s="1028">
        <v>2774397262.122076</v>
      </c>
      <c r="E101" s="1028">
        <v>1828654589.2017269</v>
      </c>
      <c r="F101" s="1028">
        <v>945742672.920349</v>
      </c>
      <c r="G101" s="1028">
        <v>0</v>
      </c>
      <c r="O101" s="1028">
        <v>1240153659.2350454</v>
      </c>
      <c r="P101" s="1028">
        <v>178040024.0585233</v>
      </c>
      <c r="Q101" s="1028">
        <v>24271680.974222224</v>
      </c>
      <c r="R101" s="1028">
        <v>20885151.876200002</v>
      </c>
      <c r="S101" s="1028">
        <v>3386529.0980222221</v>
      </c>
      <c r="U101" s="1028">
        <v>153768343.08430108</v>
      </c>
      <c r="V101" s="1028">
        <v>142010953.4781622</v>
      </c>
      <c r="W101" s="1028">
        <v>11757389.606138889</v>
      </c>
      <c r="Y101" s="1028">
        <v>0</v>
      </c>
      <c r="AC101" s="1028">
        <v>0</v>
      </c>
      <c r="AD101" s="1028">
        <v>0</v>
      </c>
      <c r="AE101" s="1028">
        <v>0</v>
      </c>
      <c r="AG101" s="1028">
        <v>0</v>
      </c>
      <c r="AH101" s="1028">
        <v>0</v>
      </c>
      <c r="AI101" s="1028">
        <v>0</v>
      </c>
      <c r="AK101" s="1028">
        <v>147181328.48308891</v>
      </c>
      <c r="AL101" s="1028">
        <v>147181328.48308891</v>
      </c>
      <c r="AM101" s="1028">
        <v>0</v>
      </c>
      <c r="AO101" s="1028">
        <v>644348145.90954995</v>
      </c>
      <c r="AP101" s="1028">
        <v>390459257.02066106</v>
      </c>
      <c r="AQ101" s="1028">
        <v>253888888.8888889</v>
      </c>
      <c r="AS101" s="1028">
        <v>270584160.78388333</v>
      </c>
      <c r="AT101" s="1028">
        <v>205584160.78388333</v>
      </c>
      <c r="AU101" s="1028">
        <v>65000000</v>
      </c>
      <c r="AW101" s="1028">
        <v>0</v>
      </c>
      <c r="BB101" s="1028">
        <v>502425559.60235995</v>
      </c>
      <c r="BC101" s="1028">
        <v>502425559.60235995</v>
      </c>
      <c r="BD101" s="1028">
        <v>502425559.60235995</v>
      </c>
      <c r="BE101" s="1028">
        <v>0</v>
      </c>
      <c r="BJ101" s="1028">
        <v>0</v>
      </c>
      <c r="BL101" s="1028">
        <v>0</v>
      </c>
      <c r="BQ101" s="1028">
        <v>0</v>
      </c>
      <c r="BS101" s="1028">
        <v>0</v>
      </c>
      <c r="BX101" s="1028">
        <v>0</v>
      </c>
      <c r="CD101" s="1028">
        <v>0</v>
      </c>
      <c r="CE101" s="1028">
        <v>0</v>
      </c>
      <c r="CH101" s="1028">
        <v>0</v>
      </c>
      <c r="CL101" s="1028">
        <v>0</v>
      </c>
      <c r="CQ101" s="1028">
        <v>0</v>
      </c>
      <c r="CR101" s="1028">
        <v>0</v>
      </c>
      <c r="CU101" s="1028">
        <v>0</v>
      </c>
      <c r="CY101" s="1028">
        <v>0</v>
      </c>
      <c r="DA101" s="1028">
        <v>0</v>
      </c>
      <c r="DB101" s="1028">
        <v>0</v>
      </c>
      <c r="DH101" s="1028">
        <v>2908321148.4790597</v>
      </c>
      <c r="DI101" s="1028">
        <v>194975744.75486699</v>
      </c>
      <c r="DJ101" s="1028">
        <v>6202170.8905990999</v>
      </c>
      <c r="DK101" s="1028">
        <v>26964099.007516682</v>
      </c>
      <c r="DL101" s="1028">
        <v>2680179133.826077</v>
      </c>
      <c r="DN101" s="1028">
        <v>684798810.94100201</v>
      </c>
      <c r="DQ101" s="1028">
        <v>8110096440.3795433</v>
      </c>
      <c r="DT101" s="1028">
        <v>4.5391082763671875E-2</v>
      </c>
    </row>
    <row r="102" spans="2:124">
      <c r="B102" s="1781">
        <v>44593</v>
      </c>
      <c r="C102" s="1028">
        <v>3280916830.6444378</v>
      </c>
      <c r="D102" s="1028">
        <v>3280916830.6444378</v>
      </c>
      <c r="E102" s="1028">
        <v>2149844751.6248708</v>
      </c>
      <c r="F102" s="1028">
        <v>1131072079.019567</v>
      </c>
      <c r="G102" s="1028">
        <v>0</v>
      </c>
      <c r="O102" s="1028">
        <v>1235725532.8360472</v>
      </c>
      <c r="P102" s="1028">
        <v>172511827.79255834</v>
      </c>
      <c r="Q102" s="1028">
        <v>23399559.482927777</v>
      </c>
      <c r="R102" s="1028">
        <v>1688566.8818555556</v>
      </c>
      <c r="S102" s="1028">
        <v>21710992.601072222</v>
      </c>
      <c r="U102" s="1028">
        <v>149112268.30963057</v>
      </c>
      <c r="V102" s="1028">
        <v>35296.768777777776</v>
      </c>
      <c r="W102" s="1028">
        <v>149076971.54085279</v>
      </c>
      <c r="Y102" s="1028">
        <v>0</v>
      </c>
      <c r="AC102" s="1028">
        <v>0</v>
      </c>
      <c r="AD102" s="1028">
        <v>0</v>
      </c>
      <c r="AE102" s="1028">
        <v>0</v>
      </c>
      <c r="AG102" s="1028">
        <v>900419.17</v>
      </c>
      <c r="AH102" s="1028">
        <v>900419.17</v>
      </c>
      <c r="AI102" s="1028">
        <v>0</v>
      </c>
      <c r="AK102" s="1028">
        <v>144022584.90416664</v>
      </c>
      <c r="AL102" s="1028">
        <v>138665815.76499999</v>
      </c>
      <c r="AM102" s="1028">
        <v>5356769.1391666671</v>
      </c>
      <c r="AO102" s="1028">
        <v>386334029.50898331</v>
      </c>
      <c r="AP102" s="1028">
        <v>218152762.78973889</v>
      </c>
      <c r="AQ102" s="1028">
        <v>168181266.71924442</v>
      </c>
      <c r="AS102" s="1028">
        <v>531956671.46033889</v>
      </c>
      <c r="AT102" s="1028">
        <v>1777544.8847333333</v>
      </c>
      <c r="AU102" s="1028">
        <v>530179126.57560557</v>
      </c>
      <c r="AW102" s="1028">
        <v>0</v>
      </c>
      <c r="BB102" s="1028">
        <v>585925224.67799997</v>
      </c>
      <c r="BC102" s="1028">
        <v>585925224.67799997</v>
      </c>
      <c r="BD102" s="1028">
        <v>585925224.67799997</v>
      </c>
      <c r="BE102" s="1028">
        <v>0</v>
      </c>
      <c r="BJ102" s="1028">
        <v>0</v>
      </c>
      <c r="BL102" s="1028">
        <v>0</v>
      </c>
      <c r="BQ102" s="1028">
        <v>0</v>
      </c>
      <c r="BS102" s="1028">
        <v>0</v>
      </c>
      <c r="BX102" s="1028">
        <v>0</v>
      </c>
      <c r="CD102" s="1028">
        <v>0</v>
      </c>
      <c r="CE102" s="1028">
        <v>0</v>
      </c>
      <c r="CH102" s="1028">
        <v>0</v>
      </c>
      <c r="CL102" s="1028">
        <v>0</v>
      </c>
      <c r="CQ102" s="1028">
        <v>0</v>
      </c>
      <c r="CR102" s="1028">
        <v>0</v>
      </c>
      <c r="CU102" s="1028">
        <v>0</v>
      </c>
      <c r="CY102" s="1028">
        <v>0</v>
      </c>
      <c r="DA102" s="1028">
        <v>0</v>
      </c>
      <c r="DB102" s="1028">
        <v>0</v>
      </c>
      <c r="DH102" s="1028">
        <v>3445196399.9275699</v>
      </c>
      <c r="DI102" s="1028">
        <v>200844147.54486701</v>
      </c>
      <c r="DJ102" s="1028">
        <v>12653071.2905991</v>
      </c>
      <c r="DK102" s="1028">
        <v>60422700.010277152</v>
      </c>
      <c r="DL102" s="1028">
        <v>3171276481.0818267</v>
      </c>
      <c r="DN102" s="1028">
        <v>604067356.75979435</v>
      </c>
      <c r="DQ102" s="1028">
        <v>9151831344.84585</v>
      </c>
    </row>
    <row r="103" spans="2:124">
      <c r="B103" s="1781">
        <v>44621</v>
      </c>
      <c r="C103" s="1028">
        <v>3206742965.8873768</v>
      </c>
      <c r="D103" s="1028">
        <v>3206742965.8873768</v>
      </c>
      <c r="E103" s="1028">
        <v>2080308172.9313235</v>
      </c>
      <c r="F103" s="1028">
        <v>1126434792.9560533</v>
      </c>
      <c r="G103" s="1028">
        <v>0</v>
      </c>
      <c r="O103" s="1028">
        <v>1271499920.3632162</v>
      </c>
      <c r="P103" s="1028">
        <v>227318732.69808671</v>
      </c>
      <c r="Q103" s="1028">
        <v>65301805.724577777</v>
      </c>
      <c r="R103" s="1028">
        <v>2464301.0543277776</v>
      </c>
      <c r="S103" s="1028">
        <v>62837504.670249999</v>
      </c>
      <c r="U103" s="1028">
        <v>162016926.97350892</v>
      </c>
      <c r="V103" s="1028">
        <v>20118.079999999998</v>
      </c>
      <c r="W103" s="1028">
        <v>161996808.89350891</v>
      </c>
      <c r="Y103" s="1028">
        <v>0</v>
      </c>
      <c r="AC103" s="1028">
        <v>0</v>
      </c>
      <c r="AD103" s="1028">
        <v>0</v>
      </c>
      <c r="AE103" s="1028">
        <v>0</v>
      </c>
      <c r="AG103" s="1028">
        <v>1326452.8</v>
      </c>
      <c r="AH103" s="1028">
        <v>1326452.8</v>
      </c>
      <c r="AI103" s="1028">
        <v>0</v>
      </c>
      <c r="AK103" s="1028">
        <v>144157740.28764448</v>
      </c>
      <c r="AL103" s="1028">
        <v>138663430.73000002</v>
      </c>
      <c r="AM103" s="1028">
        <v>5494309.5576444454</v>
      </c>
      <c r="AO103" s="1028">
        <v>657665493.27360559</v>
      </c>
      <c r="AP103" s="1028">
        <v>395443271.05138338</v>
      </c>
      <c r="AQ103" s="1028">
        <v>262222222.22222221</v>
      </c>
      <c r="AS103" s="1028">
        <v>241031501.30387932</v>
      </c>
      <c r="AT103" s="1028">
        <v>118636537.89920154</v>
      </c>
      <c r="AU103" s="1028">
        <v>122394963.40467778</v>
      </c>
      <c r="AW103" s="1028">
        <v>0</v>
      </c>
      <c r="BB103" s="1028">
        <v>974567163.97281599</v>
      </c>
      <c r="BC103" s="1028">
        <v>974567163.97281599</v>
      </c>
      <c r="BD103" s="1028">
        <v>974567163.97281599</v>
      </c>
      <c r="BE103" s="1028">
        <v>0</v>
      </c>
      <c r="BJ103" s="1028">
        <v>0</v>
      </c>
      <c r="BL103" s="1028">
        <v>0</v>
      </c>
      <c r="BQ103" s="1028">
        <v>0</v>
      </c>
      <c r="BS103" s="1028">
        <v>0</v>
      </c>
      <c r="BX103" s="1028">
        <v>0</v>
      </c>
      <c r="CD103" s="1028">
        <v>0</v>
      </c>
      <c r="CE103" s="1028">
        <v>0</v>
      </c>
      <c r="CH103" s="1028">
        <v>0</v>
      </c>
      <c r="CL103" s="1028">
        <v>0</v>
      </c>
      <c r="CQ103" s="1028">
        <v>0</v>
      </c>
      <c r="CR103" s="1028">
        <v>0</v>
      </c>
      <c r="CU103" s="1028">
        <v>0</v>
      </c>
      <c r="CY103" s="1028">
        <v>0</v>
      </c>
      <c r="DA103" s="1028">
        <v>0</v>
      </c>
      <c r="DB103" s="1028">
        <v>0</v>
      </c>
      <c r="DH103" s="1028">
        <v>3711461866.7350893</v>
      </c>
      <c r="DI103" s="1028">
        <v>205745042.75486699</v>
      </c>
      <c r="DJ103" s="1028">
        <v>12484542.8105991</v>
      </c>
      <c r="DK103" s="1028">
        <v>251744526.57181609</v>
      </c>
      <c r="DL103" s="1028">
        <v>3241487754.5978074</v>
      </c>
      <c r="DN103" s="1028">
        <v>593000084.41210008</v>
      </c>
      <c r="DQ103" s="1028">
        <v>9757272001.3705997</v>
      </c>
    </row>
    <row r="104" spans="2:124">
      <c r="B104" s="1781">
        <v>44652</v>
      </c>
      <c r="C104" s="1028">
        <v>3765659933.6801262</v>
      </c>
      <c r="D104" s="1028">
        <v>3765659933.6801262</v>
      </c>
      <c r="E104" s="1028">
        <v>2282434590.7816515</v>
      </c>
      <c r="F104" s="1028">
        <v>1483225342.8984749</v>
      </c>
      <c r="G104" s="1028">
        <v>0</v>
      </c>
      <c r="O104" s="1028">
        <v>1031085748.4113218</v>
      </c>
      <c r="P104" s="1028">
        <v>185160899.17060417</v>
      </c>
      <c r="Q104" s="1028">
        <v>22093188.558426388</v>
      </c>
      <c r="R104" s="1028">
        <v>3029501.5167972227</v>
      </c>
      <c r="S104" s="1028">
        <v>19063687.041629165</v>
      </c>
      <c r="U104" s="1028">
        <v>163067710.61217779</v>
      </c>
      <c r="V104" s="1028">
        <v>206883.26123611108</v>
      </c>
      <c r="W104" s="1028">
        <v>162860827.35094169</v>
      </c>
      <c r="Y104" s="1028">
        <v>0</v>
      </c>
      <c r="AC104" s="1028">
        <v>0</v>
      </c>
      <c r="AD104" s="1028">
        <v>0</v>
      </c>
      <c r="AE104" s="1028">
        <v>0</v>
      </c>
      <c r="AG104" s="1028">
        <v>129146.22000000009</v>
      </c>
      <c r="AH104" s="1028">
        <v>129146.22000000009</v>
      </c>
      <c r="AI104" s="1028">
        <v>0</v>
      </c>
      <c r="AK104" s="1028">
        <v>155124023.15691671</v>
      </c>
      <c r="AL104" s="1028">
        <v>149565947.13568059</v>
      </c>
      <c r="AM104" s="1028">
        <v>5558076.0212361114</v>
      </c>
      <c r="AO104" s="1028">
        <v>403317817.22569257</v>
      </c>
      <c r="AP104" s="1028">
        <v>105438470.23097222</v>
      </c>
      <c r="AQ104" s="1028">
        <v>297879346.99472034</v>
      </c>
      <c r="AS104" s="1028">
        <v>287353862.63810837</v>
      </c>
      <c r="AT104" s="1028">
        <v>124007551.51209722</v>
      </c>
      <c r="AU104" s="1028">
        <v>163346311.12601113</v>
      </c>
      <c r="AW104" s="1028">
        <v>0</v>
      </c>
      <c r="BB104" s="1028">
        <v>1318121466.39481</v>
      </c>
      <c r="BC104" s="1028">
        <v>1318121466.39481</v>
      </c>
      <c r="BD104" s="1028">
        <v>1318121466.39481</v>
      </c>
      <c r="BE104" s="1028">
        <v>0</v>
      </c>
      <c r="BJ104" s="1028">
        <v>0</v>
      </c>
      <c r="BL104" s="1028">
        <v>0</v>
      </c>
      <c r="BQ104" s="1028">
        <v>0</v>
      </c>
      <c r="BS104" s="1028">
        <v>0</v>
      </c>
      <c r="BX104" s="1028">
        <v>0</v>
      </c>
      <c r="CD104" s="1028">
        <v>0</v>
      </c>
      <c r="CE104" s="1028">
        <v>0</v>
      </c>
      <c r="CH104" s="1028">
        <v>0</v>
      </c>
      <c r="CL104" s="1028">
        <v>0</v>
      </c>
      <c r="CQ104" s="1028">
        <v>0</v>
      </c>
      <c r="CR104" s="1028">
        <v>0</v>
      </c>
      <c r="CU104" s="1028">
        <v>0</v>
      </c>
      <c r="CY104" s="1028">
        <v>0</v>
      </c>
      <c r="DA104" s="1028">
        <v>0</v>
      </c>
      <c r="DB104" s="1028">
        <v>0</v>
      </c>
      <c r="DH104" s="1028">
        <v>4745275482.7277098</v>
      </c>
      <c r="DI104" s="1028">
        <v>213489089.93486699</v>
      </c>
      <c r="DJ104" s="1028">
        <v>12741371.0405991</v>
      </c>
      <c r="DK104" s="1028">
        <v>72679077.901724815</v>
      </c>
      <c r="DL104" s="1028">
        <v>4446365943.8505192</v>
      </c>
      <c r="DN104" s="1028">
        <v>876640525.01871538</v>
      </c>
      <c r="DQ104" s="1028">
        <v>11736783156.232681</v>
      </c>
      <c r="DT104" s="1028">
        <v>4.8982620239257813E-2</v>
      </c>
    </row>
    <row r="105" spans="2:124">
      <c r="B105" s="1781">
        <v>44682</v>
      </c>
      <c r="C105" s="1028">
        <v>4300151203.9877243</v>
      </c>
      <c r="D105" s="1028">
        <v>4300151203.9877243</v>
      </c>
      <c r="E105" s="1028">
        <v>2331745990.0554395</v>
      </c>
      <c r="F105" s="1028">
        <v>1968405213.9322844</v>
      </c>
      <c r="G105" s="1028">
        <v>0</v>
      </c>
      <c r="O105" s="1028">
        <v>1133736312.5404069</v>
      </c>
      <c r="P105" s="1028">
        <v>193339715.16315696</v>
      </c>
      <c r="Q105" s="1028">
        <v>22569959.592961114</v>
      </c>
      <c r="R105" s="1028">
        <v>2585094.6286319443</v>
      </c>
      <c r="S105" s="1028">
        <v>19984864.964329168</v>
      </c>
      <c r="U105" s="1028">
        <v>170769755.57019585</v>
      </c>
      <c r="V105" s="1028">
        <v>208066.78933333332</v>
      </c>
      <c r="W105" s="1028">
        <v>170561688.78086251</v>
      </c>
      <c r="Y105" s="1028">
        <v>0</v>
      </c>
      <c r="AC105" s="1028">
        <v>0</v>
      </c>
      <c r="AD105" s="1028">
        <v>0</v>
      </c>
      <c r="AE105" s="1028">
        <v>0</v>
      </c>
      <c r="AG105" s="1028">
        <v>2940740.7199999997</v>
      </c>
      <c r="AH105" s="1028">
        <v>2940740.7199999997</v>
      </c>
      <c r="AI105" s="1028">
        <v>0</v>
      </c>
      <c r="AK105" s="1028">
        <v>152677032.93904167</v>
      </c>
      <c r="AL105" s="1028">
        <v>147103791.63050002</v>
      </c>
      <c r="AM105" s="1028">
        <v>5573241.3085416676</v>
      </c>
      <c r="AO105" s="1028">
        <v>412340407.22859728</v>
      </c>
      <c r="AP105" s="1028">
        <v>221670714.56931251</v>
      </c>
      <c r="AQ105" s="1028">
        <v>190669692.65928474</v>
      </c>
      <c r="AS105" s="1028">
        <v>372438416.48961109</v>
      </c>
      <c r="AT105" s="1028">
        <v>126425124.76183333</v>
      </c>
      <c r="AU105" s="1028">
        <v>246013291.72777775</v>
      </c>
      <c r="AW105" s="1028">
        <v>0</v>
      </c>
      <c r="BB105" s="1028">
        <v>2187350714.618484</v>
      </c>
      <c r="BC105" s="1028">
        <v>2187350714.618484</v>
      </c>
      <c r="BD105" s="1028">
        <v>2187350714.618484</v>
      </c>
      <c r="BE105" s="1028">
        <v>0</v>
      </c>
      <c r="BJ105" s="1028">
        <v>0</v>
      </c>
      <c r="BL105" s="1028">
        <v>0</v>
      </c>
      <c r="BQ105" s="1028">
        <v>0</v>
      </c>
      <c r="BS105" s="1028">
        <v>0</v>
      </c>
      <c r="BX105" s="1028">
        <v>0</v>
      </c>
      <c r="CD105" s="1028">
        <v>0</v>
      </c>
      <c r="CE105" s="1028">
        <v>0</v>
      </c>
      <c r="CH105" s="1028">
        <v>0</v>
      </c>
      <c r="CL105" s="1028">
        <v>0</v>
      </c>
      <c r="CQ105" s="1028">
        <v>0</v>
      </c>
      <c r="CR105" s="1028">
        <v>0</v>
      </c>
      <c r="CU105" s="1028">
        <v>0</v>
      </c>
      <c r="CY105" s="1028">
        <v>0</v>
      </c>
      <c r="DA105" s="1028">
        <v>0</v>
      </c>
      <c r="DB105" s="1028">
        <v>0</v>
      </c>
      <c r="DH105" s="1028">
        <v>4791339172.5923004</v>
      </c>
      <c r="DI105" s="1028">
        <v>202095524.894867</v>
      </c>
      <c r="DJ105" s="1028">
        <v>12132042.3105991</v>
      </c>
      <c r="DK105" s="1028">
        <v>577944762.89559054</v>
      </c>
      <c r="DL105" s="1028">
        <v>3999166842.4912434</v>
      </c>
      <c r="DN105" s="1028">
        <v>1168347442.8807473</v>
      </c>
      <c r="DQ105" s="1028">
        <v>13580924846.619663</v>
      </c>
      <c r="DT105" s="1028">
        <v>0.52128219604492188</v>
      </c>
    </row>
    <row r="106" spans="2:124">
      <c r="B106" s="1781">
        <v>44713</v>
      </c>
      <c r="C106" s="1028">
        <v>5648741613.789052</v>
      </c>
      <c r="D106" s="1028">
        <v>5648741613.789052</v>
      </c>
      <c r="E106" s="1028">
        <v>3810821320.9536777</v>
      </c>
      <c r="F106" s="1028">
        <v>1837920292.8353746</v>
      </c>
      <c r="G106" s="1028">
        <v>0</v>
      </c>
      <c r="O106" s="1028">
        <v>1204858171.0513017</v>
      </c>
      <c r="P106" s="1028">
        <v>200645282.75210154</v>
      </c>
      <c r="Q106" s="1028">
        <v>22639555.262195833</v>
      </c>
      <c r="R106" s="1028">
        <v>1691505.9359722224</v>
      </c>
      <c r="S106" s="1028">
        <v>20948049.326223612</v>
      </c>
      <c r="U106" s="1028">
        <v>178005727.48990571</v>
      </c>
      <c r="V106" s="1028">
        <v>148480386.35174599</v>
      </c>
      <c r="W106" s="1028">
        <v>29525341.138159722</v>
      </c>
      <c r="Y106" s="1028">
        <v>0</v>
      </c>
      <c r="AC106" s="1028">
        <v>0</v>
      </c>
      <c r="AD106" s="1028">
        <v>0</v>
      </c>
      <c r="AE106" s="1028">
        <v>0</v>
      </c>
      <c r="AG106" s="1028">
        <v>11872390.060000021</v>
      </c>
      <c r="AH106" s="1028">
        <v>11872390.060000021</v>
      </c>
      <c r="AI106" s="1028">
        <v>0</v>
      </c>
      <c r="AK106" s="1028">
        <v>193189550.50551391</v>
      </c>
      <c r="AL106" s="1028">
        <v>187463780.26000002</v>
      </c>
      <c r="AM106" s="1028">
        <v>5725770.245513889</v>
      </c>
      <c r="AO106" s="1028">
        <v>422508568.72909725</v>
      </c>
      <c r="AP106" s="1028">
        <v>309816879.44662505</v>
      </c>
      <c r="AQ106" s="1028">
        <v>112691689.28247221</v>
      </c>
      <c r="AS106" s="1028">
        <v>376642379.0045889</v>
      </c>
      <c r="AT106" s="1028">
        <v>0</v>
      </c>
      <c r="AU106" s="1028">
        <v>376642379.0045889</v>
      </c>
      <c r="AW106" s="1028">
        <v>0</v>
      </c>
      <c r="BB106" s="1028">
        <v>2813124289.0243363</v>
      </c>
      <c r="BC106" s="1028">
        <v>2813124289.0243363</v>
      </c>
      <c r="BD106" s="1028">
        <v>2813124289.0243363</v>
      </c>
      <c r="BE106" s="1028">
        <v>0</v>
      </c>
      <c r="BJ106" s="1028">
        <v>0</v>
      </c>
      <c r="BL106" s="1028">
        <v>0</v>
      </c>
      <c r="BQ106" s="1028">
        <v>0</v>
      </c>
      <c r="BS106" s="1028">
        <v>0</v>
      </c>
      <c r="BX106" s="1028">
        <v>0</v>
      </c>
      <c r="CD106" s="1028">
        <v>0</v>
      </c>
      <c r="CE106" s="1028">
        <v>0</v>
      </c>
      <c r="CH106" s="1028">
        <v>0</v>
      </c>
      <c r="CL106" s="1028">
        <v>0</v>
      </c>
      <c r="CQ106" s="1028">
        <v>0</v>
      </c>
      <c r="CR106" s="1028">
        <v>0</v>
      </c>
      <c r="CU106" s="1028">
        <v>0</v>
      </c>
      <c r="CY106" s="1028">
        <v>0</v>
      </c>
      <c r="DA106" s="1028">
        <v>0</v>
      </c>
      <c r="DB106" s="1028">
        <v>0</v>
      </c>
      <c r="DH106" s="1028">
        <v>4375543851.9950895</v>
      </c>
      <c r="DI106" s="1028">
        <v>213008110.98486701</v>
      </c>
      <c r="DJ106" s="1028">
        <v>16384172.4605991</v>
      </c>
      <c r="DK106" s="1028">
        <v>577944762.89559054</v>
      </c>
      <c r="DL106" s="1028">
        <v>3568206805.6540327</v>
      </c>
      <c r="DN106" s="1028">
        <v>1378483119.8943901</v>
      </c>
      <c r="DQ106" s="1028">
        <v>15420751045.754169</v>
      </c>
    </row>
    <row r="107" spans="2:124">
      <c r="B107" s="1781">
        <v>44743</v>
      </c>
      <c r="C107" s="1028">
        <v>5692757012</v>
      </c>
      <c r="D107" s="1028">
        <v>5692757012</v>
      </c>
      <c r="E107" s="1028">
        <v>3743529502</v>
      </c>
      <c r="F107" s="1028">
        <v>1949227510</v>
      </c>
      <c r="G107" s="1028">
        <v>0</v>
      </c>
      <c r="O107" s="1028">
        <v>1229608552</v>
      </c>
      <c r="P107" s="1028">
        <v>197948212</v>
      </c>
      <c r="Q107" s="1028">
        <v>27573305</v>
      </c>
      <c r="R107" s="1028">
        <v>20142639</v>
      </c>
      <c r="S107" s="1028">
        <v>7430666</v>
      </c>
      <c r="U107" s="1028">
        <v>170374907</v>
      </c>
      <c r="V107" s="1028">
        <v>164169127</v>
      </c>
      <c r="W107" s="1028">
        <v>6205780</v>
      </c>
      <c r="Y107" s="1028">
        <v>0</v>
      </c>
      <c r="AC107" s="1028">
        <v>0</v>
      </c>
      <c r="AD107" s="1028">
        <v>0</v>
      </c>
      <c r="AE107" s="1028">
        <v>0</v>
      </c>
      <c r="AG107" s="1028">
        <v>9697344</v>
      </c>
      <c r="AH107" s="1028">
        <v>9697344</v>
      </c>
      <c r="AI107" s="1028">
        <v>0</v>
      </c>
      <c r="AK107" s="1028">
        <v>194702479</v>
      </c>
      <c r="AL107" s="1028">
        <v>188943463</v>
      </c>
      <c r="AM107" s="1028">
        <v>5759016</v>
      </c>
      <c r="AO107" s="1028">
        <v>432727174</v>
      </c>
      <c r="AP107" s="1028">
        <v>304030100</v>
      </c>
      <c r="AQ107" s="1028">
        <v>128697074</v>
      </c>
      <c r="AS107" s="1028">
        <v>394533343</v>
      </c>
      <c r="AT107" s="1028">
        <v>0</v>
      </c>
      <c r="AU107" s="1028">
        <v>394533343</v>
      </c>
      <c r="AW107" s="1028">
        <v>0</v>
      </c>
      <c r="BB107" s="1028">
        <v>3619141338</v>
      </c>
      <c r="BC107" s="1028">
        <v>3619141338</v>
      </c>
      <c r="BD107" s="1028">
        <v>3619141338</v>
      </c>
      <c r="BE107" s="1028">
        <v>0</v>
      </c>
      <c r="BJ107" s="1028">
        <v>0</v>
      </c>
      <c r="BL107" s="1028">
        <v>0</v>
      </c>
      <c r="BQ107" s="1028">
        <v>0</v>
      </c>
      <c r="BS107" s="1028">
        <v>0</v>
      </c>
      <c r="BX107" s="1028">
        <v>0</v>
      </c>
      <c r="CD107" s="1028">
        <v>0</v>
      </c>
      <c r="CE107" s="1028">
        <v>0</v>
      </c>
      <c r="CH107" s="1028">
        <v>0</v>
      </c>
      <c r="CL107" s="1028">
        <v>0</v>
      </c>
      <c r="CQ107" s="1028">
        <v>0</v>
      </c>
      <c r="CR107" s="1028">
        <v>0</v>
      </c>
      <c r="CU107" s="1028">
        <v>0</v>
      </c>
      <c r="CY107" s="1028">
        <v>0</v>
      </c>
      <c r="DA107" s="1028">
        <v>0</v>
      </c>
      <c r="DB107" s="1028">
        <v>0</v>
      </c>
      <c r="DH107" s="1028">
        <v>8038842446</v>
      </c>
      <c r="DI107" s="1028">
        <v>218441271</v>
      </c>
      <c r="DJ107" s="1028">
        <v>20993136</v>
      </c>
      <c r="DK107" s="1028">
        <v>2177422340</v>
      </c>
      <c r="DL107" s="1028">
        <v>5621985699</v>
      </c>
      <c r="DN107" s="1028">
        <v>1732031632</v>
      </c>
      <c r="DQ107" s="1028">
        <v>20312380980</v>
      </c>
    </row>
    <row r="108" spans="2:124">
      <c r="B108" s="1781">
        <v>44774</v>
      </c>
      <c r="C108" s="1028">
        <v>5898158262.9941082</v>
      </c>
      <c r="D108" s="1028">
        <v>5898158262.9941082</v>
      </c>
      <c r="E108" s="1028">
        <v>4117093241.9566011</v>
      </c>
      <c r="F108" s="1028">
        <v>1781065021.0375068</v>
      </c>
      <c r="G108" s="1028">
        <v>0</v>
      </c>
      <c r="O108" s="1028">
        <v>1180354545.7956586</v>
      </c>
      <c r="P108" s="1028">
        <v>219816596.61368072</v>
      </c>
      <c r="Q108" s="1028">
        <v>34304509.621218055</v>
      </c>
      <c r="R108" s="1028">
        <v>3076583.3123055557</v>
      </c>
      <c r="S108" s="1028">
        <v>31227926.308912501</v>
      </c>
      <c r="U108" s="1028">
        <v>185512086.99246266</v>
      </c>
      <c r="V108" s="1028">
        <v>543920.25726666662</v>
      </c>
      <c r="W108" s="1028">
        <v>184968166.73519599</v>
      </c>
      <c r="Y108" s="1028">
        <v>0</v>
      </c>
      <c r="AC108" s="1028">
        <v>0</v>
      </c>
      <c r="AD108" s="1028">
        <v>0</v>
      </c>
      <c r="AE108" s="1028">
        <v>0</v>
      </c>
      <c r="AG108" s="1028">
        <v>7055633.8799999999</v>
      </c>
      <c r="AH108" s="1028">
        <v>7055633.8799999999</v>
      </c>
      <c r="AI108" s="1028">
        <v>0</v>
      </c>
      <c r="AK108" s="1028">
        <v>202184915.44622225</v>
      </c>
      <c r="AL108" s="1028">
        <v>202184915.44622225</v>
      </c>
      <c r="AM108" s="1028">
        <v>0</v>
      </c>
      <c r="AO108" s="1028">
        <v>349570325.91435558</v>
      </c>
      <c r="AP108" s="1028">
        <v>264802939.02371112</v>
      </c>
      <c r="AQ108" s="1028">
        <v>84767386.890644446</v>
      </c>
      <c r="AS108" s="1028">
        <v>401727073.94139999</v>
      </c>
      <c r="AT108" s="1028">
        <v>0</v>
      </c>
      <c r="AU108" s="1028">
        <v>401727073.94139999</v>
      </c>
      <c r="AW108" s="1028">
        <v>0</v>
      </c>
      <c r="BB108" s="1028">
        <v>4132582012.777482</v>
      </c>
      <c r="BC108" s="1028">
        <v>4132582012.777482</v>
      </c>
      <c r="BD108" s="1028">
        <v>4132582012.777482</v>
      </c>
      <c r="BE108" s="1028">
        <v>0</v>
      </c>
      <c r="BJ108" s="1028">
        <v>0</v>
      </c>
      <c r="BL108" s="1028">
        <v>0</v>
      </c>
      <c r="BQ108" s="1028">
        <v>0</v>
      </c>
      <c r="BS108" s="1028">
        <v>0</v>
      </c>
      <c r="BX108" s="1028">
        <v>0</v>
      </c>
      <c r="CD108" s="1028">
        <v>0</v>
      </c>
      <c r="CE108" s="1028">
        <v>0</v>
      </c>
      <c r="CH108" s="1028">
        <v>0</v>
      </c>
      <c r="CL108" s="1028">
        <v>0</v>
      </c>
      <c r="CQ108" s="1028">
        <v>0</v>
      </c>
      <c r="CR108" s="1028">
        <v>0</v>
      </c>
      <c r="CU108" s="1028">
        <v>0</v>
      </c>
      <c r="CY108" s="1028">
        <v>0</v>
      </c>
      <c r="DA108" s="1028">
        <v>0</v>
      </c>
      <c r="DB108" s="1028">
        <v>0</v>
      </c>
      <c r="DH108" s="1028">
        <v>8198601055.3753605</v>
      </c>
      <c r="DI108" s="1028">
        <v>272604873.18486702</v>
      </c>
      <c r="DJ108" s="1028">
        <v>21099118.120599099</v>
      </c>
      <c r="DK108" s="1028">
        <v>2597491320.9898262</v>
      </c>
      <c r="DL108" s="1028">
        <v>5307405743.0800676</v>
      </c>
      <c r="DN108" s="1028">
        <v>2240595781.9320102</v>
      </c>
      <c r="DQ108" s="1028">
        <v>21650291658.874622</v>
      </c>
    </row>
    <row r="109" spans="2:124">
      <c r="B109" s="1781">
        <v>44805</v>
      </c>
      <c r="C109" s="1028">
        <v>6944107170.4398708</v>
      </c>
      <c r="D109" s="1028">
        <v>6944107170.4398708</v>
      </c>
      <c r="E109" s="1028">
        <v>4768548859.6817665</v>
      </c>
      <c r="F109" s="1028">
        <v>2175558310.7581048</v>
      </c>
      <c r="G109" s="1028">
        <v>0</v>
      </c>
      <c r="O109" s="1028">
        <v>1283372777.6757917</v>
      </c>
      <c r="P109" s="1028">
        <v>251703689.02223611</v>
      </c>
      <c r="Q109" s="1028">
        <v>26179320.614966668</v>
      </c>
      <c r="R109" s="1028">
        <v>2005718.3288</v>
      </c>
      <c r="S109" s="1028">
        <v>24173602.286166668</v>
      </c>
      <c r="U109" s="1028">
        <v>225524368.40726945</v>
      </c>
      <c r="V109" s="1028">
        <v>219378594.99087778</v>
      </c>
      <c r="W109" s="1028">
        <v>6145773.416391667</v>
      </c>
      <c r="Y109" s="1028">
        <v>0</v>
      </c>
      <c r="AC109" s="1028">
        <v>0</v>
      </c>
      <c r="AD109" s="1028">
        <v>0</v>
      </c>
      <c r="AE109" s="1028">
        <v>0</v>
      </c>
      <c r="AG109" s="1028">
        <v>7402408.4500000225</v>
      </c>
      <c r="AH109" s="1028">
        <v>7402408.4500000225</v>
      </c>
      <c r="AI109" s="1028">
        <v>0</v>
      </c>
      <c r="AK109" s="1028">
        <v>219207657.2409111</v>
      </c>
      <c r="AL109" s="1028">
        <v>212815415.91</v>
      </c>
      <c r="AM109" s="1028">
        <v>6392241.3309111111</v>
      </c>
      <c r="AO109" s="1028">
        <v>394305653.88353336</v>
      </c>
      <c r="AP109" s="1028">
        <v>234725401.01686668</v>
      </c>
      <c r="AQ109" s="1028">
        <v>159580252.86666667</v>
      </c>
      <c r="AS109" s="1028">
        <v>410753369.0791111</v>
      </c>
      <c r="AT109" s="1028">
        <v>0</v>
      </c>
      <c r="AU109" s="1028">
        <v>410753369.0791111</v>
      </c>
      <c r="AW109" s="1028">
        <v>0</v>
      </c>
      <c r="BB109" s="1028">
        <v>4881663082.8804092</v>
      </c>
      <c r="BC109" s="1028">
        <v>4881663082.8804092</v>
      </c>
      <c r="BD109" s="1028">
        <v>4881663082.8804092</v>
      </c>
      <c r="BE109" s="1028">
        <v>0</v>
      </c>
      <c r="BJ109" s="1028">
        <v>0</v>
      </c>
      <c r="BL109" s="1028">
        <v>0</v>
      </c>
      <c r="BQ109" s="1028">
        <v>0</v>
      </c>
      <c r="BS109" s="1028">
        <v>0</v>
      </c>
      <c r="BX109" s="1028">
        <v>0</v>
      </c>
      <c r="CD109" s="1028">
        <v>0</v>
      </c>
      <c r="CE109" s="1028">
        <v>0</v>
      </c>
      <c r="CH109" s="1028">
        <v>0</v>
      </c>
      <c r="CL109" s="1028">
        <v>0</v>
      </c>
      <c r="CQ109" s="1028">
        <v>0</v>
      </c>
      <c r="CR109" s="1028">
        <v>0</v>
      </c>
      <c r="CU109" s="1028">
        <v>0</v>
      </c>
      <c r="CY109" s="1028">
        <v>0</v>
      </c>
      <c r="DA109" s="1028">
        <v>0</v>
      </c>
      <c r="DB109" s="1028">
        <v>0</v>
      </c>
      <c r="DH109" s="1028">
        <v>8467499711.4909897</v>
      </c>
      <c r="DI109" s="1028">
        <v>289724508.15486699</v>
      </c>
      <c r="DJ109" s="1028">
        <v>23823990.730599102</v>
      </c>
      <c r="DK109" s="1028">
        <v>2765079290.3152399</v>
      </c>
      <c r="DL109" s="1028">
        <v>5388871922.2902832</v>
      </c>
      <c r="DN109" s="1028">
        <v>2770194815.3130693</v>
      </c>
      <c r="DQ109" s="1028">
        <v>24346837557.800129</v>
      </c>
    </row>
    <row r="110" spans="2:124">
      <c r="B110" s="1781">
        <v>44835</v>
      </c>
      <c r="C110" s="1028">
        <v>6827047836.2732706</v>
      </c>
      <c r="D110" s="1028">
        <v>6827047836.2732706</v>
      </c>
      <c r="E110" s="1028">
        <v>4930437730.9635687</v>
      </c>
      <c r="F110" s="1028">
        <v>1896610105.3097019</v>
      </c>
      <c r="G110" s="1028">
        <v>0</v>
      </c>
      <c r="O110" s="1028">
        <v>1670752915.5939074</v>
      </c>
      <c r="P110" s="1028">
        <v>375055218.55863678</v>
      </c>
      <c r="Q110" s="1028">
        <v>67244939.620961115</v>
      </c>
      <c r="R110" s="1028">
        <v>21754033.434155557</v>
      </c>
      <c r="S110" s="1028">
        <v>45490906.186805561</v>
      </c>
      <c r="U110" s="1028">
        <v>307810278.93767565</v>
      </c>
      <c r="V110" s="1028">
        <v>301282153.60969234</v>
      </c>
      <c r="W110" s="1028">
        <v>6528125.3279833328</v>
      </c>
      <c r="Y110" s="1028">
        <v>0</v>
      </c>
      <c r="AC110" s="1028">
        <v>0</v>
      </c>
      <c r="AD110" s="1028">
        <v>0</v>
      </c>
      <c r="AE110" s="1028">
        <v>0</v>
      </c>
      <c r="AG110" s="1028">
        <v>14916323.159999998</v>
      </c>
      <c r="AH110" s="1028">
        <v>14916323.159999998</v>
      </c>
      <c r="AI110" s="1028">
        <v>0</v>
      </c>
      <c r="AK110" s="1028">
        <v>344322482.74124444</v>
      </c>
      <c r="AL110" s="1028">
        <v>337267889.89857775</v>
      </c>
      <c r="AM110" s="1028">
        <v>7054592.842666667</v>
      </c>
      <c r="AO110" s="1028">
        <v>420919442.37937784</v>
      </c>
      <c r="AP110" s="1028">
        <v>288240585.30233335</v>
      </c>
      <c r="AQ110" s="1028">
        <v>132678857.07704449</v>
      </c>
      <c r="AS110" s="1028">
        <v>515539448.75464821</v>
      </c>
      <c r="AT110" s="1028">
        <v>21244444.44444444</v>
      </c>
      <c r="AU110" s="1028">
        <v>494295004.31020379</v>
      </c>
      <c r="AW110" s="1028">
        <v>0</v>
      </c>
      <c r="BB110" s="1028">
        <v>6344185283.0777121</v>
      </c>
      <c r="BC110" s="1028">
        <v>5712048183.0777121</v>
      </c>
      <c r="BD110" s="1028">
        <v>5712048183.0777121</v>
      </c>
      <c r="BE110" s="1028">
        <v>0</v>
      </c>
      <c r="BJ110" s="1028">
        <v>632137100</v>
      </c>
      <c r="BL110" s="1028">
        <v>632137100</v>
      </c>
      <c r="BM110" s="1028">
        <v>632137100</v>
      </c>
      <c r="BQ110" s="1028">
        <v>0</v>
      </c>
      <c r="BS110" s="1028">
        <v>0</v>
      </c>
      <c r="BX110" s="1028">
        <v>0</v>
      </c>
      <c r="CD110" s="1028">
        <v>0</v>
      </c>
      <c r="CE110" s="1028">
        <v>0</v>
      </c>
      <c r="CH110" s="1028">
        <v>0</v>
      </c>
      <c r="CL110" s="1028">
        <v>0</v>
      </c>
      <c r="CQ110" s="1028">
        <v>0</v>
      </c>
      <c r="CR110" s="1028">
        <v>0</v>
      </c>
      <c r="CU110" s="1028">
        <v>0</v>
      </c>
      <c r="CY110" s="1028">
        <v>0</v>
      </c>
      <c r="DA110" s="1028">
        <v>0</v>
      </c>
      <c r="DB110" s="1028">
        <v>0</v>
      </c>
      <c r="DH110" s="1028">
        <v>7476838776.0536003</v>
      </c>
      <c r="DI110" s="1028">
        <v>289724508.15486699</v>
      </c>
      <c r="DJ110" s="1028">
        <v>23823990.730599102</v>
      </c>
      <c r="DK110" s="1028">
        <v>2765079290.3152399</v>
      </c>
      <c r="DL110" s="1028">
        <v>4398210986.8528938</v>
      </c>
      <c r="DN110" s="1028">
        <v>3809370706.1587081</v>
      </c>
      <c r="DQ110" s="1028">
        <v>26128195517.157196</v>
      </c>
      <c r="DT110" s="1028">
        <v>5.173492431640625E-2</v>
      </c>
    </row>
    <row r="111" spans="2:124">
      <c r="B111" s="1781">
        <v>44866</v>
      </c>
      <c r="C111" s="1028">
        <v>7599446340.8831739</v>
      </c>
      <c r="D111" s="1028">
        <v>7599446340.8831739</v>
      </c>
      <c r="E111" s="1028">
        <v>5604829526.3813486</v>
      </c>
      <c r="F111" s="1028">
        <v>1994616814.5018253</v>
      </c>
      <c r="G111" s="1028">
        <v>0</v>
      </c>
      <c r="O111" s="1028">
        <v>1887550447.304817</v>
      </c>
      <c r="P111" s="1028">
        <v>585881312.24412811</v>
      </c>
      <c r="Q111" s="1028">
        <v>186368195.04011112</v>
      </c>
      <c r="R111" s="1028">
        <v>151540163.78153333</v>
      </c>
      <c r="S111" s="1028">
        <v>34828031.258577779</v>
      </c>
      <c r="U111" s="1028">
        <v>399513117.20401698</v>
      </c>
      <c r="V111" s="1028">
        <v>35536215.812822215</v>
      </c>
      <c r="W111" s="1028">
        <v>363976901.39119476</v>
      </c>
      <c r="Y111" s="1028">
        <v>0</v>
      </c>
      <c r="AC111" s="1028">
        <v>0</v>
      </c>
      <c r="AD111" s="1028">
        <v>0</v>
      </c>
      <c r="AE111" s="1028">
        <v>0</v>
      </c>
      <c r="AG111" s="1028">
        <v>12633541.66</v>
      </c>
      <c r="AH111" s="1028">
        <v>12633541.66</v>
      </c>
      <c r="AI111" s="1028">
        <v>0</v>
      </c>
      <c r="AK111" s="1028">
        <v>351715447.96008891</v>
      </c>
      <c r="AL111" s="1028">
        <v>344219943.06475556</v>
      </c>
      <c r="AM111" s="1028">
        <v>7495504.8953333329</v>
      </c>
      <c r="AO111" s="1028">
        <v>443022083.49704438</v>
      </c>
      <c r="AP111" s="1028">
        <v>323842402.97115552</v>
      </c>
      <c r="AQ111" s="1028">
        <v>119179680.52588888</v>
      </c>
      <c r="AS111" s="1028">
        <v>494298061.94355559</v>
      </c>
      <c r="AT111" s="1028">
        <v>265476141.26799998</v>
      </c>
      <c r="AU111" s="1028">
        <v>228821920.67555559</v>
      </c>
      <c r="AW111" s="1028">
        <v>0</v>
      </c>
      <c r="BB111" s="1028">
        <v>6844274610.684123</v>
      </c>
      <c r="BC111" s="1028">
        <v>6187008336.467906</v>
      </c>
      <c r="BD111" s="1028">
        <v>6187008336.467906</v>
      </c>
      <c r="BE111" s="1028">
        <v>0</v>
      </c>
      <c r="BJ111" s="1028">
        <v>657266274.21621704</v>
      </c>
      <c r="BL111" s="1028">
        <v>657266274.21621704</v>
      </c>
      <c r="BM111" s="1028">
        <v>657266274.21621704</v>
      </c>
      <c r="BQ111" s="1028">
        <v>0</v>
      </c>
      <c r="BS111" s="1028">
        <v>0</v>
      </c>
      <c r="BX111" s="1028">
        <v>0</v>
      </c>
      <c r="CD111" s="1028">
        <v>0</v>
      </c>
      <c r="CE111" s="1028">
        <v>0</v>
      </c>
      <c r="CH111" s="1028">
        <v>0</v>
      </c>
      <c r="CL111" s="1028">
        <v>0</v>
      </c>
      <c r="CQ111" s="1028">
        <v>0</v>
      </c>
      <c r="CR111" s="1028">
        <v>0</v>
      </c>
      <c r="CU111" s="1028">
        <v>0</v>
      </c>
      <c r="CY111" s="1028">
        <v>0</v>
      </c>
      <c r="DA111" s="1028">
        <v>0</v>
      </c>
      <c r="DB111" s="1028">
        <v>0</v>
      </c>
      <c r="DH111" s="1028">
        <v>7796935278.49475</v>
      </c>
      <c r="DI111" s="1028">
        <v>348364056.78486699</v>
      </c>
      <c r="DJ111" s="1028">
        <v>12736633.440599101</v>
      </c>
      <c r="DK111" s="1028">
        <v>2322781202.4618306</v>
      </c>
      <c r="DL111" s="1028">
        <v>5113053385.8074532</v>
      </c>
      <c r="DN111" s="1028">
        <v>2802652928.1466799</v>
      </c>
      <c r="DQ111" s="1028">
        <v>26930859605.513542</v>
      </c>
      <c r="DT111" s="1028">
        <v>6.0398101806640625E-2</v>
      </c>
    </row>
    <row r="112" spans="2:124">
      <c r="B112" s="1781">
        <v>44896</v>
      </c>
      <c r="C112" s="1028">
        <v>9228670442.0922279</v>
      </c>
      <c r="D112" s="1028">
        <v>9228670442.0922279</v>
      </c>
      <c r="E112" s="1028">
        <v>6232080581.8955441</v>
      </c>
      <c r="F112" s="1028">
        <v>2996589860.1966848</v>
      </c>
      <c r="G112" s="1028">
        <v>0</v>
      </c>
      <c r="O112" s="1028">
        <v>2074126377.3490405</v>
      </c>
      <c r="P112" s="1028">
        <v>680050868.70528471</v>
      </c>
      <c r="Q112" s="1028">
        <v>171395202.68544447</v>
      </c>
      <c r="R112" s="1028">
        <v>72593987.049666673</v>
      </c>
      <c r="S112" s="1028">
        <v>98801215.635777786</v>
      </c>
      <c r="U112" s="1028">
        <v>508655666.01984024</v>
      </c>
      <c r="V112" s="1028">
        <v>112037560.38904445</v>
      </c>
      <c r="W112" s="1028">
        <v>396618105.63079578</v>
      </c>
      <c r="Y112" s="1028">
        <v>0</v>
      </c>
      <c r="AC112" s="1028">
        <v>0</v>
      </c>
      <c r="AD112" s="1028">
        <v>0</v>
      </c>
      <c r="AE112" s="1028">
        <v>0</v>
      </c>
      <c r="AG112" s="1028">
        <v>4846561.8599999994</v>
      </c>
      <c r="AH112" s="1028">
        <v>4846561.8599999994</v>
      </c>
      <c r="AI112" s="1028">
        <v>0</v>
      </c>
      <c r="AK112" s="1028">
        <v>363396158.15193337</v>
      </c>
      <c r="AL112" s="1028">
        <v>355406721.24000001</v>
      </c>
      <c r="AM112" s="1028">
        <v>7989436.9119333355</v>
      </c>
      <c r="AO112" s="1028">
        <v>491825538.11004454</v>
      </c>
      <c r="AP112" s="1028">
        <v>150628463.4120667</v>
      </c>
      <c r="AQ112" s="1028">
        <v>341197074.69797784</v>
      </c>
      <c r="AS112" s="1028">
        <v>534007250.52177775</v>
      </c>
      <c r="AT112" s="1028">
        <v>280041452.55844438</v>
      </c>
      <c r="AU112" s="1028">
        <v>253965797.96333334</v>
      </c>
      <c r="AW112" s="1028">
        <v>0</v>
      </c>
      <c r="BB112" s="1028">
        <v>10072987956.96316</v>
      </c>
      <c r="BC112" s="1028">
        <v>9399079383.8583374</v>
      </c>
      <c r="BD112" s="1028">
        <v>9384643281.9583378</v>
      </c>
      <c r="BE112" s="1028">
        <v>14436101.9</v>
      </c>
      <c r="BF112" s="1028">
        <v>14436101.9</v>
      </c>
      <c r="BJ112" s="1028">
        <v>673908573.10482204</v>
      </c>
      <c r="BL112" s="1028">
        <v>673908573.10482204</v>
      </c>
      <c r="BM112" s="1028">
        <v>673908573.10482204</v>
      </c>
      <c r="BQ112" s="1028">
        <v>0</v>
      </c>
      <c r="BS112" s="1028">
        <v>0</v>
      </c>
      <c r="BX112" s="1028">
        <v>0</v>
      </c>
      <c r="CD112" s="1028">
        <v>0</v>
      </c>
      <c r="CE112" s="1028">
        <v>0</v>
      </c>
      <c r="CH112" s="1028">
        <v>0</v>
      </c>
      <c r="CL112" s="1028">
        <v>0</v>
      </c>
      <c r="CQ112" s="1028">
        <v>0</v>
      </c>
      <c r="CR112" s="1028">
        <v>0</v>
      </c>
      <c r="CU112" s="1028">
        <v>0</v>
      </c>
      <c r="CY112" s="1028">
        <v>0</v>
      </c>
      <c r="DA112" s="1028">
        <v>0</v>
      </c>
      <c r="DB112" s="1028">
        <v>0</v>
      </c>
      <c r="DH112" s="1028">
        <v>9476780313.3807507</v>
      </c>
      <c r="DI112" s="1028">
        <v>331015424.644867</v>
      </c>
      <c r="DJ112" s="1028">
        <v>17887941.530599099</v>
      </c>
      <c r="DK112" s="1028">
        <v>3640812853.1499729</v>
      </c>
      <c r="DL112" s="1028">
        <v>5487064094.0553112</v>
      </c>
      <c r="DN112" s="1028">
        <v>3171600697.8905401</v>
      </c>
      <c r="DQ112" s="1028">
        <v>34024165787.67572</v>
      </c>
      <c r="DR112" s="1028">
        <v>34024165787.67572</v>
      </c>
    </row>
    <row r="114" spans="2:121">
      <c r="B114" s="1781">
        <v>44927</v>
      </c>
      <c r="C114" s="1028">
        <v>8689951946.1726494</v>
      </c>
      <c r="D114" s="1028">
        <v>8689951946.1726494</v>
      </c>
      <c r="E114" s="1028">
        <v>6239131573.8760185</v>
      </c>
      <c r="F114" s="1028">
        <v>2450820372.2966313</v>
      </c>
      <c r="G114" s="1028">
        <v>0</v>
      </c>
      <c r="O114" s="1028">
        <v>2042664014.7164669</v>
      </c>
      <c r="P114" s="1028">
        <v>540878715.48324442</v>
      </c>
      <c r="Q114" s="1028">
        <v>165188495.86933333</v>
      </c>
      <c r="R114" s="1028">
        <v>84547182.096733332</v>
      </c>
      <c r="S114" s="1028">
        <v>80641313.772599995</v>
      </c>
      <c r="U114" s="1028">
        <v>375690219.61391109</v>
      </c>
      <c r="V114" s="1028">
        <v>111263638.6962</v>
      </c>
      <c r="W114" s="1028">
        <v>264426580.91771111</v>
      </c>
      <c r="Y114" s="1028">
        <v>0</v>
      </c>
      <c r="AC114" s="1028">
        <v>0</v>
      </c>
      <c r="AD114" s="1028">
        <v>0</v>
      </c>
      <c r="AE114" s="1028">
        <v>0</v>
      </c>
      <c r="AG114" s="1028">
        <v>2353059.7699999996</v>
      </c>
      <c r="AH114" s="1028">
        <v>2353059.7699999996</v>
      </c>
      <c r="AI114" s="1028">
        <v>0</v>
      </c>
      <c r="AK114" s="1028">
        <v>366558443.14466703</v>
      </c>
      <c r="AL114" s="1028">
        <v>358079279.79506701</v>
      </c>
      <c r="AM114" s="1028">
        <v>8479163.3496000003</v>
      </c>
      <c r="AO114" s="1028">
        <v>518715265.08604443</v>
      </c>
      <c r="AP114" s="1028">
        <v>329240423.68102223</v>
      </c>
      <c r="AQ114" s="1028">
        <v>189474841.4050222</v>
      </c>
      <c r="AS114" s="1028">
        <v>614158531.23251104</v>
      </c>
      <c r="AT114" s="1028">
        <v>0</v>
      </c>
      <c r="AU114" s="1028">
        <v>614158531.23251104</v>
      </c>
      <c r="AW114" s="1028">
        <v>0</v>
      </c>
      <c r="BB114" s="1028">
        <v>9599203593.933466</v>
      </c>
      <c r="BC114" s="1028">
        <v>8595967727.0885811</v>
      </c>
      <c r="BD114" s="1028">
        <v>8595967727.0885811</v>
      </c>
      <c r="BE114" s="1028">
        <v>0</v>
      </c>
      <c r="BF114" s="1028">
        <v>0</v>
      </c>
      <c r="BJ114" s="1028">
        <v>1003235866.844885</v>
      </c>
      <c r="BL114" s="1028">
        <v>1003235866.844885</v>
      </c>
      <c r="BM114" s="1028">
        <v>1003235866.844885</v>
      </c>
      <c r="BQ114" s="1028">
        <v>0</v>
      </c>
      <c r="BS114" s="1028">
        <v>0</v>
      </c>
      <c r="BX114" s="1028">
        <v>0</v>
      </c>
      <c r="CD114" s="1028">
        <v>0</v>
      </c>
      <c r="CE114" s="1028">
        <v>0</v>
      </c>
      <c r="CH114" s="1028">
        <v>0</v>
      </c>
      <c r="CL114" s="1028">
        <v>0</v>
      </c>
      <c r="CQ114" s="1028">
        <v>0</v>
      </c>
      <c r="CR114" s="1028">
        <v>0</v>
      </c>
      <c r="CU114" s="1028">
        <v>0</v>
      </c>
      <c r="CY114" s="1028">
        <v>0</v>
      </c>
      <c r="DA114" s="1028">
        <v>0</v>
      </c>
      <c r="DB114" s="1028">
        <v>0</v>
      </c>
      <c r="DH114" s="1028">
        <v>14087181972</v>
      </c>
      <c r="DI114" s="1028">
        <v>389185699.21370298</v>
      </c>
      <c r="DJ114" s="1028">
        <v>19560307.812099099</v>
      </c>
      <c r="DK114" s="1028">
        <v>731972912.58425355</v>
      </c>
      <c r="DL114" s="1028">
        <v>12946463052.389944</v>
      </c>
      <c r="DN114" s="1028">
        <v>3014912485.1751099</v>
      </c>
      <c r="DQ114" s="1028">
        <v>37433914011.997696</v>
      </c>
    </row>
    <row r="115" spans="2:121">
      <c r="B115" s="1781">
        <v>44958</v>
      </c>
      <c r="C115" s="1028">
        <v>9553235848.9115715</v>
      </c>
      <c r="D115" s="1028">
        <v>9553235848.9115715</v>
      </c>
      <c r="E115" s="1028">
        <v>7385939213.9799557</v>
      </c>
      <c r="F115" s="1028">
        <v>2167296634.9316149</v>
      </c>
      <c r="G115" s="1028">
        <v>0</v>
      </c>
      <c r="O115" s="1028">
        <v>2480841868.8797803</v>
      </c>
      <c r="P115" s="1028">
        <v>406556517.20848894</v>
      </c>
      <c r="Q115" s="1028">
        <v>140036863.75420836</v>
      </c>
      <c r="R115" s="1028">
        <v>115954599.00355557</v>
      </c>
      <c r="S115" s="1028">
        <v>24082264.750652779</v>
      </c>
      <c r="U115" s="1028">
        <v>266519653.45428056</v>
      </c>
      <c r="V115" s="1028">
        <v>167882978.50794443</v>
      </c>
      <c r="W115" s="1028">
        <v>98636674.94633612</v>
      </c>
      <c r="Y115" s="1028">
        <v>0</v>
      </c>
      <c r="AC115" s="1028">
        <v>500000000</v>
      </c>
      <c r="AD115" s="1028">
        <v>500000000</v>
      </c>
      <c r="AE115" s="1028">
        <v>0</v>
      </c>
      <c r="AG115" s="1028">
        <v>2355934.0600000205</v>
      </c>
      <c r="AH115" s="1028">
        <v>2355934.0600000205</v>
      </c>
      <c r="AI115" s="1028">
        <v>0</v>
      </c>
      <c r="AK115" s="1028">
        <v>369473597.04361105</v>
      </c>
      <c r="AL115" s="1028">
        <v>360369504.44999993</v>
      </c>
      <c r="AM115" s="1028">
        <v>9104092.59361111</v>
      </c>
      <c r="AO115" s="1028">
        <v>517952918.35176384</v>
      </c>
      <c r="AP115" s="1028">
        <v>484655352.86779165</v>
      </c>
      <c r="AQ115" s="1028">
        <v>33297565.483972222</v>
      </c>
      <c r="AS115" s="1028">
        <v>684502902.21591675</v>
      </c>
      <c r="AT115" s="1028">
        <v>383486727.15341669</v>
      </c>
      <c r="AU115" s="1028">
        <v>301016175.06250006</v>
      </c>
      <c r="AW115" s="1028">
        <v>0</v>
      </c>
      <c r="BB115" s="1028">
        <v>11996888738.699699</v>
      </c>
      <c r="BC115" s="1028">
        <v>10873267342.805475</v>
      </c>
      <c r="BD115" s="1028">
        <v>10873267342.805475</v>
      </c>
      <c r="BE115" s="1028">
        <v>0</v>
      </c>
      <c r="BF115" s="1028">
        <v>0</v>
      </c>
      <c r="BJ115" s="1028">
        <v>1123621395.8942251</v>
      </c>
      <c r="BL115" s="1028">
        <v>1123621395.8942251</v>
      </c>
      <c r="BM115" s="1028">
        <v>1123621395.8942251</v>
      </c>
      <c r="BQ115" s="1028">
        <v>0</v>
      </c>
      <c r="BS115" s="1028">
        <v>0</v>
      </c>
      <c r="BX115" s="1028">
        <v>0</v>
      </c>
      <c r="CD115" s="1028">
        <v>0</v>
      </c>
      <c r="CE115" s="1028">
        <v>0</v>
      </c>
      <c r="CH115" s="1028">
        <v>0</v>
      </c>
      <c r="CL115" s="1028">
        <v>0</v>
      </c>
      <c r="CQ115" s="1028">
        <v>0</v>
      </c>
      <c r="CR115" s="1028">
        <v>0</v>
      </c>
      <c r="CU115" s="1028">
        <v>0</v>
      </c>
      <c r="CY115" s="1028">
        <v>0</v>
      </c>
      <c r="DA115" s="1028">
        <v>0</v>
      </c>
      <c r="DB115" s="1028">
        <v>0</v>
      </c>
      <c r="DH115" s="1028">
        <v>16533356793.602501</v>
      </c>
      <c r="DI115" s="1028">
        <v>444844920.57370299</v>
      </c>
      <c r="DJ115" s="1028">
        <v>21268272.012099098</v>
      </c>
      <c r="DK115" s="1028">
        <v>2209398759.7010102</v>
      </c>
      <c r="DL115" s="1028">
        <v>13857844841.315689</v>
      </c>
      <c r="DN115" s="1028">
        <v>3427661706.793726</v>
      </c>
      <c r="DQ115" s="1028">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499984740745262"/>
    <pageSetUpPr autoPageBreaks="0" fitToPage="1"/>
  </sheetPr>
  <dimension ref="A1:Z291"/>
  <sheetViews>
    <sheetView showGridLines="0" tabSelected="1" showOutlineSymbols="0" topLeftCell="A2" zoomScale="67" zoomScaleNormal="60" zoomScaleSheetLayoutView="100" workbookViewId="0">
      <pane xSplit="2" ySplit="10" topLeftCell="C152" activePane="bottomRight" state="frozen"/>
      <selection activeCell="A2" sqref="A2"/>
      <selection pane="topRight" activeCell="C2" sqref="C2"/>
      <selection pane="bottomLeft" activeCell="A12" sqref="A12"/>
      <selection pane="bottomRight" activeCell="X158" sqref="X158"/>
    </sheetView>
  </sheetViews>
  <sheetFormatPr defaultColWidth="8.6328125" defaultRowHeight="10.199999999999999"/>
  <cols>
    <col min="1" max="1" width="10.08984375" style="616" customWidth="1"/>
    <col min="2" max="3" width="8.90625" style="616" customWidth="1"/>
    <col min="4" max="4" width="10.81640625" style="616" customWidth="1"/>
    <col min="5" max="5" width="13.54296875" style="616" customWidth="1"/>
    <col min="6" max="6" width="12.90625" style="616" customWidth="1"/>
    <col min="7" max="7" width="11.6328125" style="616" customWidth="1"/>
    <col min="8" max="8" width="11.90625" style="616" customWidth="1"/>
    <col min="9" max="9" width="11.08984375" style="616" customWidth="1"/>
    <col min="10" max="10" width="12.1796875" style="616" bestFit="1" customWidth="1"/>
    <col min="11" max="11" width="13.81640625" style="616" customWidth="1"/>
    <col min="12" max="12" width="12.1796875" style="616" customWidth="1"/>
    <col min="13" max="13" width="10.81640625" style="616" bestFit="1" customWidth="1"/>
    <col min="14" max="14" width="10.81640625" style="616" customWidth="1"/>
    <col min="15" max="15" width="11.6328125" style="616" customWidth="1"/>
    <col min="16" max="16" width="9.6328125" style="616" bestFit="1" customWidth="1"/>
    <col min="17" max="17" width="19.453125" style="616" bestFit="1" customWidth="1"/>
    <col min="18" max="18" width="16.08984375" style="616" customWidth="1"/>
    <col min="19" max="20" width="11.1796875" style="616" customWidth="1"/>
    <col min="21" max="21" width="10.6328125" style="616" customWidth="1"/>
    <col min="22" max="22" width="14.54296875" style="616" customWidth="1"/>
    <col min="23" max="23" width="15" style="616" customWidth="1"/>
    <col min="24" max="24" width="17.54296875" style="616" customWidth="1"/>
    <col min="25" max="16384" width="8.6328125" style="616"/>
  </cols>
  <sheetData>
    <row r="1" spans="1:26" ht="30.75" customHeight="1">
      <c r="B1" s="1817" t="s">
        <v>1727</v>
      </c>
      <c r="C1" s="1817"/>
      <c r="D1" s="1817"/>
      <c r="E1" s="1817"/>
      <c r="F1" s="1817"/>
      <c r="G1" s="1817"/>
      <c r="H1" s="1817"/>
      <c r="I1" s="1817"/>
      <c r="J1" s="1817"/>
      <c r="K1" s="1817"/>
      <c r="L1" s="1817"/>
      <c r="M1" s="1817"/>
      <c r="N1" s="1817"/>
      <c r="O1" s="1817"/>
      <c r="P1" s="1817"/>
      <c r="Q1" s="1817"/>
      <c r="R1" s="1817"/>
      <c r="S1" s="1817"/>
      <c r="T1" s="1817"/>
      <c r="U1" s="1817"/>
      <c r="V1" s="1817"/>
      <c r="W1" s="1817"/>
    </row>
    <row r="2" spans="1:26" ht="13.95" customHeight="1">
      <c r="A2" s="618"/>
      <c r="B2" s="959"/>
      <c r="C2" s="959"/>
      <c r="D2" s="959"/>
      <c r="E2" s="959"/>
      <c r="F2" s="959"/>
      <c r="G2" s="959"/>
      <c r="H2" s="959"/>
      <c r="I2" s="959"/>
      <c r="J2" s="959"/>
      <c r="K2" s="959"/>
      <c r="L2" s="959"/>
      <c r="M2" s="959"/>
      <c r="N2" s="959"/>
      <c r="O2" s="959"/>
      <c r="P2" s="959"/>
      <c r="Q2" s="959"/>
      <c r="R2" s="959"/>
      <c r="S2" s="959"/>
      <c r="T2" s="959"/>
      <c r="U2" s="959"/>
      <c r="V2" s="959"/>
      <c r="W2" s="959"/>
    </row>
    <row r="3" spans="1:26" ht="19.5" customHeight="1">
      <c r="A3" s="617"/>
      <c r="B3" s="1818" t="s">
        <v>1799</v>
      </c>
      <c r="C3" s="1818"/>
      <c r="D3" s="1818"/>
      <c r="E3" s="1818"/>
      <c r="F3" s="1818"/>
      <c r="G3" s="1818"/>
      <c r="H3" s="1818"/>
      <c r="I3" s="1818"/>
      <c r="J3" s="1818"/>
      <c r="K3" s="1818"/>
      <c r="L3" s="1818"/>
      <c r="M3" s="1818"/>
      <c r="N3" s="1818"/>
      <c r="O3" s="1818"/>
      <c r="P3" s="1818"/>
      <c r="Q3" s="1818"/>
      <c r="R3" s="1818"/>
      <c r="S3" s="1818"/>
      <c r="T3" s="1818"/>
      <c r="U3" s="1818"/>
      <c r="V3" s="1818"/>
      <c r="W3" s="1818"/>
    </row>
    <row r="4" spans="1:26" ht="13.95" customHeight="1" thickBot="1">
      <c r="A4" s="618"/>
      <c r="B4" s="754"/>
      <c r="C4" s="754"/>
      <c r="D4" s="754"/>
      <c r="E4" s="754"/>
      <c r="F4" s="754"/>
      <c r="G4" s="754"/>
      <c r="H4" s="754"/>
      <c r="I4" s="754"/>
      <c r="J4" s="754"/>
      <c r="K4" s="754"/>
      <c r="L4" s="754"/>
      <c r="M4" s="754"/>
      <c r="N4" s="754"/>
      <c r="O4" s="754"/>
      <c r="P4" s="754"/>
      <c r="Q4" s="754"/>
      <c r="R4" s="754"/>
      <c r="S4" s="754"/>
      <c r="T4" s="754"/>
      <c r="U4" s="754"/>
      <c r="V4" s="754"/>
      <c r="W4" s="754"/>
    </row>
    <row r="5" spans="1:26" ht="15" customHeight="1" thickTop="1">
      <c r="B5" s="1033"/>
      <c r="C5" s="1034"/>
      <c r="D5" s="1035"/>
      <c r="E5" s="1036"/>
      <c r="F5" s="1036"/>
      <c r="G5" s="1037"/>
      <c r="H5" s="1036"/>
      <c r="I5" s="1035"/>
      <c r="J5" s="1036"/>
      <c r="K5" s="1036"/>
      <c r="L5" s="1037"/>
      <c r="M5" s="1035"/>
      <c r="N5" s="1795"/>
      <c r="O5" s="1036"/>
      <c r="P5" s="1795"/>
      <c r="Q5" s="1795"/>
      <c r="R5" s="1037"/>
      <c r="S5" s="1801"/>
      <c r="T5" s="1801"/>
      <c r="U5" s="1038"/>
      <c r="V5" s="1038"/>
      <c r="W5" s="1427"/>
    </row>
    <row r="6" spans="1:26" ht="19.5" customHeight="1" thickBot="1">
      <c r="B6" s="1039"/>
      <c r="C6" s="1040"/>
      <c r="D6" s="1819"/>
      <c r="E6" s="1820"/>
      <c r="F6" s="1820"/>
      <c r="G6" s="1821"/>
      <c r="H6" s="1041"/>
      <c r="I6" s="1822"/>
      <c r="J6" s="1823"/>
      <c r="K6" s="1823"/>
      <c r="L6" s="1824"/>
      <c r="M6" s="1044"/>
      <c r="N6" s="1095"/>
      <c r="O6" s="1095"/>
      <c r="P6" s="1095"/>
      <c r="Q6" s="1095"/>
      <c r="R6" s="1048"/>
      <c r="S6" s="1048"/>
      <c r="T6" s="1042"/>
      <c r="U6" s="1042"/>
      <c r="V6" s="1042"/>
      <c r="W6" s="1423"/>
    </row>
    <row r="7" spans="1:26" ht="15" customHeight="1" thickTop="1" thickBot="1">
      <c r="B7" s="1043"/>
      <c r="C7" s="1043"/>
      <c r="D7" s="1042" t="s">
        <v>35</v>
      </c>
      <c r="E7" s="1042"/>
      <c r="F7" s="1042"/>
      <c r="G7" s="1042"/>
      <c r="H7" s="1044"/>
      <c r="I7" s="1825" t="s">
        <v>1694</v>
      </c>
      <c r="J7" s="1826"/>
      <c r="K7" s="1826"/>
      <c r="L7" s="1826"/>
      <c r="M7" s="1827" t="s">
        <v>1695</v>
      </c>
      <c r="N7" s="1828"/>
      <c r="O7" s="1828"/>
      <c r="P7" s="1828"/>
      <c r="Q7" s="1828"/>
      <c r="R7" s="1829"/>
      <c r="S7" s="1048" t="s">
        <v>1795</v>
      </c>
      <c r="T7" s="1042" t="s">
        <v>997</v>
      </c>
      <c r="U7" s="1042" t="s">
        <v>1479</v>
      </c>
      <c r="V7" s="1042" t="s">
        <v>1164</v>
      </c>
      <c r="W7" s="1425" t="s">
        <v>287</v>
      </c>
      <c r="Z7" s="1807"/>
    </row>
    <row r="8" spans="1:26" ht="16.5" customHeight="1" thickTop="1">
      <c r="B8" s="1042" t="s">
        <v>32</v>
      </c>
      <c r="C8" s="1042"/>
      <c r="D8" s="1042" t="s">
        <v>998</v>
      </c>
      <c r="E8" s="1042"/>
      <c r="F8" s="1042"/>
      <c r="G8" s="1042"/>
      <c r="H8" s="1042"/>
      <c r="I8" s="1046"/>
      <c r="J8" s="1047"/>
      <c r="K8" s="1047"/>
      <c r="L8" s="1047"/>
      <c r="M8" s="1042"/>
      <c r="N8" s="1796"/>
      <c r="O8" s="1042"/>
      <c r="P8" s="1808" t="s">
        <v>1792</v>
      </c>
      <c r="Q8" s="1809"/>
      <c r="R8" s="1810"/>
      <c r="S8" s="1048" t="s">
        <v>1796</v>
      </c>
      <c r="T8" s="1042" t="s">
        <v>1026</v>
      </c>
      <c r="U8" s="1042"/>
      <c r="V8" s="1042" t="s">
        <v>1026</v>
      </c>
      <c r="W8" s="1423"/>
      <c r="Z8" s="1807"/>
    </row>
    <row r="9" spans="1:26" ht="18" customHeight="1">
      <c r="B9" s="1043"/>
      <c r="C9" s="1042" t="s">
        <v>1326</v>
      </c>
      <c r="D9" s="1042" t="s">
        <v>766</v>
      </c>
      <c r="E9" s="1042" t="s">
        <v>999</v>
      </c>
      <c r="F9" s="1042" t="s">
        <v>1697</v>
      </c>
      <c r="G9" s="1042" t="s">
        <v>999</v>
      </c>
      <c r="H9" s="1042" t="s">
        <v>1698</v>
      </c>
      <c r="I9" s="1042"/>
      <c r="J9" s="1048"/>
      <c r="K9" s="1048"/>
      <c r="L9" s="1048"/>
      <c r="M9" s="1042"/>
      <c r="N9" s="1796"/>
      <c r="O9" s="1042"/>
      <c r="P9" s="1811"/>
      <c r="Q9" s="1812"/>
      <c r="R9" s="1813"/>
      <c r="S9" s="1048"/>
      <c r="T9" s="1042"/>
      <c r="U9" s="1042"/>
      <c r="V9" s="1042"/>
      <c r="W9" s="1423"/>
      <c r="Z9" s="1807"/>
    </row>
    <row r="10" spans="1:26" ht="17.25" customHeight="1" thickBot="1">
      <c r="B10" s="1043"/>
      <c r="C10" s="1042" t="s">
        <v>1351</v>
      </c>
      <c r="D10" s="1042" t="s">
        <v>1004</v>
      </c>
      <c r="E10" s="1042" t="s">
        <v>1001</v>
      </c>
      <c r="F10" s="1042" t="s">
        <v>1699</v>
      </c>
      <c r="G10" s="1042" t="s">
        <v>1001</v>
      </c>
      <c r="H10" s="1042" t="s">
        <v>1700</v>
      </c>
      <c r="I10" s="1048" t="s">
        <v>1701</v>
      </c>
      <c r="J10" s="1048" t="s">
        <v>1702</v>
      </c>
      <c r="K10" s="1042" t="s">
        <v>1141</v>
      </c>
      <c r="L10" s="1048" t="s">
        <v>1703</v>
      </c>
      <c r="M10" s="1042" t="s">
        <v>1723</v>
      </c>
      <c r="N10" s="1042" t="s">
        <v>64</v>
      </c>
      <c r="O10" s="1042" t="s">
        <v>1797</v>
      </c>
      <c r="P10" s="1814"/>
      <c r="Q10" s="1815"/>
      <c r="R10" s="1816"/>
      <c r="S10" s="1048"/>
      <c r="T10" s="1042"/>
      <c r="U10" s="1042"/>
      <c r="V10" s="1042"/>
      <c r="W10" s="1423"/>
      <c r="Z10" s="1807"/>
    </row>
    <row r="11" spans="1:26" ht="18.75" customHeight="1" thickBot="1">
      <c r="B11" s="1049"/>
      <c r="C11" s="1050" t="s">
        <v>1324</v>
      </c>
      <c r="D11" s="1051"/>
      <c r="E11" s="1051" t="s">
        <v>1005</v>
      </c>
      <c r="F11" s="1051" t="s">
        <v>1706</v>
      </c>
      <c r="G11" s="1051" t="s">
        <v>1187</v>
      </c>
      <c r="H11" s="1051" t="s">
        <v>1707</v>
      </c>
      <c r="I11" s="1051" t="s">
        <v>1163</v>
      </c>
      <c r="J11" s="1052" t="s">
        <v>1708</v>
      </c>
      <c r="K11" s="1052"/>
      <c r="L11" s="1052"/>
      <c r="M11" s="1051"/>
      <c r="N11" s="1051"/>
      <c r="P11" s="1792" t="s">
        <v>1793</v>
      </c>
      <c r="Q11" s="1793" t="s">
        <v>1794</v>
      </c>
      <c r="R11" s="1794" t="s">
        <v>37</v>
      </c>
      <c r="S11" s="1089"/>
      <c r="T11" s="1802"/>
      <c r="U11" s="1051"/>
      <c r="V11" s="1051"/>
      <c r="W11" s="1424"/>
      <c r="Z11" s="1807"/>
    </row>
    <row r="12" spans="1:26" ht="15" customHeight="1" thickTop="1">
      <c r="B12" s="1053"/>
      <c r="C12" s="1053"/>
      <c r="D12" s="1046"/>
      <c r="E12" s="1042"/>
      <c r="F12" s="1042"/>
      <c r="G12" s="1042"/>
      <c r="H12" s="1042"/>
      <c r="I12" s="1046"/>
      <c r="J12" s="1048"/>
      <c r="K12" s="1048"/>
      <c r="L12" s="1048"/>
      <c r="M12" s="1042"/>
      <c r="N12" s="1042"/>
      <c r="P12" s="1796"/>
      <c r="Q12" s="1796"/>
      <c r="R12" s="1042"/>
      <c r="S12" s="1089"/>
      <c r="T12" s="1796"/>
      <c r="U12" s="1042"/>
      <c r="V12" s="1042"/>
      <c r="W12" s="1423"/>
    </row>
    <row r="13" spans="1:26" ht="15" hidden="1" customHeight="1">
      <c r="B13" s="1055">
        <v>2015</v>
      </c>
      <c r="C13" s="1055"/>
      <c r="D13" s="1042"/>
      <c r="E13" s="1042"/>
      <c r="F13" s="1042"/>
      <c r="G13" s="1042"/>
      <c r="H13" s="1042"/>
      <c r="I13" s="1042"/>
      <c r="J13" s="1048"/>
      <c r="K13" s="1048"/>
      <c r="L13" s="1048"/>
      <c r="M13" s="1042"/>
      <c r="N13" s="1042"/>
      <c r="P13" s="1796"/>
      <c r="Q13" s="1796"/>
      <c r="R13" s="1042"/>
      <c r="S13" s="1089"/>
      <c r="T13" s="1796"/>
      <c r="U13" s="1042"/>
      <c r="V13" s="1042"/>
      <c r="W13" s="1423"/>
    </row>
    <row r="14" spans="1:26" ht="15" hidden="1" customHeight="1">
      <c r="B14" s="1056" t="s">
        <v>1170</v>
      </c>
      <c r="C14" s="1057">
        <v>0.103116</v>
      </c>
      <c r="D14" s="1058">
        <v>37.348086240000001</v>
      </c>
      <c r="E14" s="1058">
        <v>38.668953000000002</v>
      </c>
      <c r="F14" s="1058">
        <v>156.81368529</v>
      </c>
      <c r="G14" s="1059">
        <v>21.723531999999999</v>
      </c>
      <c r="H14" s="1059">
        <v>0</v>
      </c>
      <c r="I14" s="1059">
        <v>51.923437999999997</v>
      </c>
      <c r="J14" s="1060">
        <v>0</v>
      </c>
      <c r="K14" s="1060">
        <v>0</v>
      </c>
      <c r="L14" s="1060">
        <v>0</v>
      </c>
      <c r="M14" s="1059">
        <v>516.70842674999994</v>
      </c>
      <c r="N14" s="1059">
        <v>0</v>
      </c>
      <c r="P14" s="1797"/>
      <c r="Q14" s="1797"/>
      <c r="R14" s="1059">
        <v>175.82697296999999</v>
      </c>
      <c r="S14" s="1089"/>
      <c r="T14" s="1797"/>
      <c r="U14" s="1059">
        <v>98.423133780000001</v>
      </c>
      <c r="V14" s="1059">
        <v>126.05081522</v>
      </c>
      <c r="W14" s="1428">
        <v>1223.5901592499999</v>
      </c>
    </row>
    <row r="15" spans="1:26" ht="15" hidden="1" customHeight="1">
      <c r="B15" s="1056" t="s">
        <v>1172</v>
      </c>
      <c r="C15" s="1057">
        <v>7.7358999999999997E-2</v>
      </c>
      <c r="D15" s="1058">
        <v>32.065128809999997</v>
      </c>
      <c r="E15" s="1058">
        <v>59.368794999999999</v>
      </c>
      <c r="F15" s="1058">
        <v>171.79062959000001</v>
      </c>
      <c r="G15" s="1059">
        <v>13.257254</v>
      </c>
      <c r="H15" s="1059">
        <v>0</v>
      </c>
      <c r="I15" s="1059">
        <v>52.006954</v>
      </c>
      <c r="J15" s="1060">
        <v>13.018803999999999</v>
      </c>
      <c r="K15" s="1060">
        <v>0</v>
      </c>
      <c r="L15" s="1060">
        <v>2.75</v>
      </c>
      <c r="M15" s="1059">
        <v>513.99619958000005</v>
      </c>
      <c r="N15" s="1059">
        <v>0</v>
      </c>
      <c r="P15" s="1797"/>
      <c r="Q15" s="1797"/>
      <c r="R15" s="1059">
        <v>179.35367969000004</v>
      </c>
      <c r="S15" s="1089"/>
      <c r="T15" s="1797"/>
      <c r="U15" s="1059">
        <v>98.666652780000007</v>
      </c>
      <c r="V15" s="1059">
        <v>125.73267988999999</v>
      </c>
      <c r="W15" s="1428">
        <v>1262.08413634</v>
      </c>
    </row>
    <row r="16" spans="1:26" ht="15" hidden="1" customHeight="1">
      <c r="B16" s="1056" t="s">
        <v>1173</v>
      </c>
      <c r="C16" s="1057">
        <v>9.5740039999999998E-2</v>
      </c>
      <c r="D16" s="1058">
        <v>52.382513879999998</v>
      </c>
      <c r="E16" s="1058">
        <v>33.162218000000003</v>
      </c>
      <c r="F16" s="1058">
        <v>172.52536878999999</v>
      </c>
      <c r="G16" s="1059">
        <v>8.8988969999999998</v>
      </c>
      <c r="H16" s="1059">
        <v>0</v>
      </c>
      <c r="I16" s="1059">
        <v>52.088827999999999</v>
      </c>
      <c r="J16" s="1060">
        <v>12.630632</v>
      </c>
      <c r="K16" s="1060">
        <v>0</v>
      </c>
      <c r="L16" s="1060">
        <v>0</v>
      </c>
      <c r="M16" s="1059">
        <v>513.18942761000005</v>
      </c>
      <c r="N16" s="1059">
        <v>0</v>
      </c>
      <c r="P16" s="1797"/>
      <c r="Q16" s="1797"/>
      <c r="R16" s="1059">
        <v>184.31154979000002</v>
      </c>
      <c r="S16" s="1089"/>
      <c r="T16" s="1797"/>
      <c r="U16" s="1059">
        <v>100.75845813000001</v>
      </c>
      <c r="V16" s="1059">
        <v>125.46706357000001</v>
      </c>
      <c r="W16" s="1428">
        <v>1255.5106968099999</v>
      </c>
    </row>
    <row r="17" spans="2:23" ht="15" hidden="1" customHeight="1">
      <c r="B17" s="1056" t="s">
        <v>1174</v>
      </c>
      <c r="C17" s="1057">
        <v>7.7497999999999997E-2</v>
      </c>
      <c r="D17" s="1058">
        <v>32.547026359999997</v>
      </c>
      <c r="E17" s="1058">
        <v>47.794375000000002</v>
      </c>
      <c r="F17" s="1058">
        <v>184.37969409000002</v>
      </c>
      <c r="G17" s="1059">
        <v>10.988255000000001</v>
      </c>
      <c r="H17" s="1059">
        <v>0</v>
      </c>
      <c r="I17" s="1059">
        <v>60.528577349999999</v>
      </c>
      <c r="J17" s="1060">
        <v>10.433168</v>
      </c>
      <c r="K17" s="1060">
        <v>0</v>
      </c>
      <c r="L17" s="1060">
        <v>0</v>
      </c>
      <c r="M17" s="1059">
        <v>527.71008371000005</v>
      </c>
      <c r="N17" s="1059">
        <v>0</v>
      </c>
      <c r="P17" s="1797"/>
      <c r="Q17" s="1797"/>
      <c r="R17" s="1059">
        <v>179.11795599999996</v>
      </c>
      <c r="S17" s="1089"/>
      <c r="T17" s="1797"/>
      <c r="U17" s="1059">
        <v>103.69051443000001</v>
      </c>
      <c r="V17" s="1059">
        <v>124.77283831999999</v>
      </c>
      <c r="W17" s="1428">
        <v>1282.03998626</v>
      </c>
    </row>
    <row r="18" spans="2:23" ht="15" hidden="1" customHeight="1">
      <c r="B18" s="1056" t="s">
        <v>1165</v>
      </c>
      <c r="C18" s="1057">
        <v>0.13636400000000001</v>
      </c>
      <c r="D18" s="1058">
        <v>52.314891079999995</v>
      </c>
      <c r="E18" s="1058">
        <v>52.102649</v>
      </c>
      <c r="F18" s="1058">
        <v>158.27299143000002</v>
      </c>
      <c r="G18" s="1059">
        <v>28.519300000000001</v>
      </c>
      <c r="H18" s="1059">
        <v>0</v>
      </c>
      <c r="I18" s="1059">
        <v>60.201715999999998</v>
      </c>
      <c r="J18" s="1060">
        <v>17.250122000000001</v>
      </c>
      <c r="K18" s="1060">
        <v>0</v>
      </c>
      <c r="L18" s="1060">
        <v>0</v>
      </c>
      <c r="M18" s="1059">
        <v>448.66998238000002</v>
      </c>
      <c r="N18" s="1059">
        <v>0</v>
      </c>
      <c r="P18" s="1797"/>
      <c r="Q18" s="1797"/>
      <c r="R18" s="1059">
        <v>239.68308501999999</v>
      </c>
      <c r="S18" s="1089"/>
      <c r="T18" s="1797"/>
      <c r="U18" s="1059">
        <v>115.61839887000001</v>
      </c>
      <c r="V18" s="1059">
        <v>125.20097018999999</v>
      </c>
      <c r="W18" s="1428">
        <v>1297.9704699699998</v>
      </c>
    </row>
    <row r="19" spans="2:23" ht="15" hidden="1" customHeight="1">
      <c r="B19" s="1056" t="s">
        <v>1175</v>
      </c>
      <c r="C19" s="1057">
        <v>0.16002778639334891</v>
      </c>
      <c r="D19" s="1058">
        <v>59.572492323606653</v>
      </c>
      <c r="E19" s="1058">
        <v>27.10632652</v>
      </c>
      <c r="F19" s="1058">
        <v>163.52045743119336</v>
      </c>
      <c r="G19" s="1059">
        <v>14.246156606777955</v>
      </c>
      <c r="H19" s="1059">
        <v>0</v>
      </c>
      <c r="I19" s="1059">
        <v>60.201716269999999</v>
      </c>
      <c r="J19" s="1060">
        <v>29.873533200000001</v>
      </c>
      <c r="K19" s="1060">
        <v>0</v>
      </c>
      <c r="L19" s="1060">
        <v>0</v>
      </c>
      <c r="M19" s="1059">
        <v>464.87320198992467</v>
      </c>
      <c r="N19" s="1059">
        <v>10</v>
      </c>
      <c r="P19" s="1797"/>
      <c r="Q19" s="1797"/>
      <c r="R19" s="1059">
        <v>226.25498932007528</v>
      </c>
      <c r="S19" s="1089"/>
      <c r="T19" s="1797"/>
      <c r="U19" s="1059">
        <v>105.14946995</v>
      </c>
      <c r="V19" s="1059">
        <v>122.03999746000002</v>
      </c>
      <c r="W19" s="1428">
        <v>1282.9983688579712</v>
      </c>
    </row>
    <row r="20" spans="2:23" ht="15" hidden="1" customHeight="1">
      <c r="B20" s="1056" t="s">
        <v>1176</v>
      </c>
      <c r="C20" s="1057">
        <v>0.167597</v>
      </c>
      <c r="D20" s="1058">
        <v>51.553654219999999</v>
      </c>
      <c r="E20" s="1058">
        <v>47.696226000000003</v>
      </c>
      <c r="F20" s="1058">
        <v>129.58192614000001</v>
      </c>
      <c r="G20" s="1059">
        <v>28.222255000000001</v>
      </c>
      <c r="H20" s="1059">
        <v>0</v>
      </c>
      <c r="I20" s="1059">
        <v>62.980535000000003</v>
      </c>
      <c r="J20" s="1060">
        <v>29.037831000000001</v>
      </c>
      <c r="K20" s="1060">
        <v>0</v>
      </c>
      <c r="L20" s="1060">
        <v>0</v>
      </c>
      <c r="M20" s="1059">
        <v>461.54434114999998</v>
      </c>
      <c r="N20" s="1059">
        <v>0</v>
      </c>
      <c r="P20" s="1797"/>
      <c r="Q20" s="1797"/>
      <c r="R20" s="1059">
        <v>234.59953285999998</v>
      </c>
      <c r="S20" s="1089"/>
      <c r="T20" s="1797"/>
      <c r="U20" s="1059">
        <v>100.90241964000001</v>
      </c>
      <c r="V20" s="1059">
        <v>121.91128114999999</v>
      </c>
      <c r="W20" s="1428">
        <v>1268.19759916</v>
      </c>
    </row>
    <row r="21" spans="2:23" ht="15" hidden="1" customHeight="1">
      <c r="B21" s="1056" t="s">
        <v>1177</v>
      </c>
      <c r="C21" s="1057">
        <v>0.14058599999999999</v>
      </c>
      <c r="D21" s="1058">
        <v>52.998030049999997</v>
      </c>
      <c r="E21" s="1058">
        <v>18.764669999999999</v>
      </c>
      <c r="F21" s="1058">
        <v>120.85917757</v>
      </c>
      <c r="G21" s="1059">
        <v>19.324501000000001</v>
      </c>
      <c r="H21" s="1059">
        <v>0</v>
      </c>
      <c r="I21" s="1059">
        <v>76.276560000000003</v>
      </c>
      <c r="J21" s="1060">
        <v>28.452183000000002</v>
      </c>
      <c r="K21" s="1060">
        <v>0</v>
      </c>
      <c r="L21" s="1060">
        <v>0</v>
      </c>
      <c r="M21" s="1059">
        <v>482.91544892000002</v>
      </c>
      <c r="N21" s="1059">
        <v>0</v>
      </c>
      <c r="P21" s="1797"/>
      <c r="Q21" s="1797"/>
      <c r="R21" s="1059">
        <v>234.18885347999998</v>
      </c>
      <c r="S21" s="1089"/>
      <c r="T21" s="1797"/>
      <c r="U21" s="1059">
        <v>101.77013037</v>
      </c>
      <c r="V21" s="1059">
        <v>122.24968369</v>
      </c>
      <c r="W21" s="1428">
        <v>1257.9398240800001</v>
      </c>
    </row>
    <row r="22" spans="2:23" ht="15" hidden="1" customHeight="1">
      <c r="B22" s="1056" t="s">
        <v>1178</v>
      </c>
      <c r="C22" s="1057">
        <v>0.13795399999999999</v>
      </c>
      <c r="D22" s="1058">
        <v>55.403102320000002</v>
      </c>
      <c r="E22" s="1058">
        <v>45.169834999999999</v>
      </c>
      <c r="F22" s="1058">
        <v>99.12580122</v>
      </c>
      <c r="G22" s="1059">
        <v>17.393623999999999</v>
      </c>
      <c r="H22" s="1059">
        <v>0</v>
      </c>
      <c r="I22" s="1059">
        <v>76.089658999999997</v>
      </c>
      <c r="J22" s="1060">
        <v>27.553245</v>
      </c>
      <c r="K22" s="1060">
        <v>0</v>
      </c>
      <c r="L22" s="1060">
        <v>0</v>
      </c>
      <c r="M22" s="1059">
        <v>480.39760675999997</v>
      </c>
      <c r="N22" s="1059">
        <v>0</v>
      </c>
      <c r="P22" s="1797"/>
      <c r="Q22" s="1797"/>
      <c r="R22" s="1059">
        <v>241.54702856999998</v>
      </c>
      <c r="S22" s="1089"/>
      <c r="T22" s="1797"/>
      <c r="U22" s="1059">
        <v>120.06712865</v>
      </c>
      <c r="V22" s="1059">
        <v>122.13093124000001</v>
      </c>
      <c r="W22" s="1428">
        <v>1285.0159157600001</v>
      </c>
    </row>
    <row r="23" spans="2:23" ht="15" hidden="1" customHeight="1">
      <c r="B23" s="1056" t="s">
        <v>1179</v>
      </c>
      <c r="C23" s="1057">
        <v>0.10241214</v>
      </c>
      <c r="D23" s="1058">
        <v>45.20883521999999</v>
      </c>
      <c r="E23" s="1058">
        <v>35.597011999999999</v>
      </c>
      <c r="F23" s="1058">
        <v>182.95592380000002</v>
      </c>
      <c r="G23" s="1059">
        <v>10.520496</v>
      </c>
      <c r="H23" s="1059">
        <v>0</v>
      </c>
      <c r="I23" s="1059">
        <v>76.083854000000002</v>
      </c>
      <c r="J23" s="1060">
        <v>27.283086000000001</v>
      </c>
      <c r="K23" s="1060">
        <v>0</v>
      </c>
      <c r="L23" s="1060">
        <v>0</v>
      </c>
      <c r="M23" s="1059">
        <v>500.46808470999997</v>
      </c>
      <c r="N23" s="1059">
        <v>0</v>
      </c>
      <c r="P23" s="1797"/>
      <c r="Q23" s="1797"/>
      <c r="R23" s="1059">
        <v>244.10604748</v>
      </c>
      <c r="S23" s="1089"/>
      <c r="T23" s="1797"/>
      <c r="U23" s="1059">
        <v>119.68566059999999</v>
      </c>
      <c r="V23" s="1059">
        <v>122.83054251999999</v>
      </c>
      <c r="W23" s="1428">
        <v>1364.84195447</v>
      </c>
    </row>
    <row r="24" spans="2:23" ht="15" hidden="1" customHeight="1">
      <c r="B24" s="1056" t="s">
        <v>1180</v>
      </c>
      <c r="C24" s="1057">
        <v>0.13615092000000001</v>
      </c>
      <c r="D24" s="1058">
        <v>43.555975159999996</v>
      </c>
      <c r="E24" s="1058">
        <v>35.598092619999996</v>
      </c>
      <c r="F24" s="1058">
        <v>210.81888916297109</v>
      </c>
      <c r="G24" s="1059">
        <v>10.364984508336253</v>
      </c>
      <c r="H24" s="1059">
        <v>0</v>
      </c>
      <c r="I24" s="1059">
        <v>76.190765599999978</v>
      </c>
      <c r="J24" s="1060">
        <v>31.07096057</v>
      </c>
      <c r="K24" s="1060">
        <v>0</v>
      </c>
      <c r="L24" s="1060">
        <v>0</v>
      </c>
      <c r="M24" s="1059">
        <v>298.58750432073668</v>
      </c>
      <c r="N24" s="1059">
        <v>0</v>
      </c>
      <c r="P24" s="1797"/>
      <c r="Q24" s="1797"/>
      <c r="R24" s="1059">
        <v>455.30597660926333</v>
      </c>
      <c r="S24" s="1089"/>
      <c r="T24" s="1797"/>
      <c r="U24" s="1059">
        <v>124.75563468999999</v>
      </c>
      <c r="V24" s="1059">
        <v>121.07739358999997</v>
      </c>
      <c r="W24" s="1428">
        <v>1407.4623277513074</v>
      </c>
    </row>
    <row r="25" spans="2:23" ht="15" hidden="1" customHeight="1">
      <c r="B25" s="1056" t="s">
        <v>1181</v>
      </c>
      <c r="C25" s="1057">
        <v>6.6761000000000001E-2</v>
      </c>
      <c r="D25" s="1058">
        <v>34.218346070000003</v>
      </c>
      <c r="E25" s="1058">
        <v>38.834215999999998</v>
      </c>
      <c r="F25" s="1058">
        <v>216.77369196000001</v>
      </c>
      <c r="G25" s="1059">
        <v>21.428152000000001</v>
      </c>
      <c r="H25" s="1059">
        <v>0</v>
      </c>
      <c r="I25" s="1059">
        <v>76.598815999999999</v>
      </c>
      <c r="J25" s="1060">
        <v>29.325984999999999</v>
      </c>
      <c r="K25" s="1060">
        <v>0</v>
      </c>
      <c r="L25" s="1060">
        <v>0</v>
      </c>
      <c r="M25" s="1059">
        <v>323.03406057000001</v>
      </c>
      <c r="N25" s="1059">
        <v>0</v>
      </c>
      <c r="P25" s="1797"/>
      <c r="Q25" s="1797"/>
      <c r="R25" s="1059">
        <v>448.07180240999998</v>
      </c>
      <c r="S25" s="1089"/>
      <c r="T25" s="1797"/>
      <c r="U25" s="1059">
        <v>107.71882065000001</v>
      </c>
      <c r="V25" s="1059">
        <v>118.41343553999999</v>
      </c>
      <c r="W25" s="1428">
        <v>1414.4840872</v>
      </c>
    </row>
    <row r="26" spans="2:23" ht="15" customHeight="1">
      <c r="B26" s="1064"/>
      <c r="C26" s="1057"/>
      <c r="D26" s="1058"/>
      <c r="E26" s="1058"/>
      <c r="F26" s="1058"/>
      <c r="G26" s="1059"/>
      <c r="H26" s="1059"/>
      <c r="I26" s="1059"/>
      <c r="J26" s="1060"/>
      <c r="K26" s="1060"/>
      <c r="L26" s="1060"/>
      <c r="M26" s="1059"/>
      <c r="N26" s="1059"/>
      <c r="P26" s="1797"/>
      <c r="Q26" s="1797"/>
      <c r="R26" s="1059"/>
      <c r="S26" s="1089"/>
      <c r="T26" s="1797"/>
      <c r="U26" s="1059"/>
      <c r="V26" s="1059"/>
      <c r="W26" s="1428"/>
    </row>
    <row r="27" spans="2:23" ht="15" hidden="1" customHeight="1">
      <c r="B27" s="1159">
        <v>2016</v>
      </c>
      <c r="C27" s="1160"/>
      <c r="D27" s="1161"/>
      <c r="E27" s="1161"/>
      <c r="F27" s="1161"/>
      <c r="G27" s="1162"/>
      <c r="H27" s="1162"/>
      <c r="I27" s="1162"/>
      <c r="J27" s="1163"/>
      <c r="K27" s="1163"/>
      <c r="L27" s="1163"/>
      <c r="M27" s="1162"/>
      <c r="N27" s="1162"/>
      <c r="P27" s="1798"/>
      <c r="Q27" s="1798"/>
      <c r="R27" s="1162"/>
      <c r="S27" s="1089"/>
      <c r="T27" s="1798"/>
      <c r="U27" s="1162"/>
      <c r="V27" s="1162"/>
      <c r="W27" s="1426"/>
    </row>
    <row r="28" spans="2:23" ht="15" hidden="1" customHeight="1">
      <c r="B28" s="1164" t="s">
        <v>345</v>
      </c>
      <c r="C28" s="1160">
        <v>0.13238734999999999</v>
      </c>
      <c r="D28" s="1161">
        <v>17.385527419999999</v>
      </c>
      <c r="E28" s="1161">
        <v>52.894976159999999</v>
      </c>
      <c r="F28" s="1161">
        <v>174.88579468617326</v>
      </c>
      <c r="G28" s="1162">
        <v>10.03085615</v>
      </c>
      <c r="H28" s="1162">
        <v>0</v>
      </c>
      <c r="I28" s="1162">
        <v>76.598815680000001</v>
      </c>
      <c r="J28" s="1163">
        <v>28.774100172209955</v>
      </c>
      <c r="K28" s="1163">
        <v>0</v>
      </c>
      <c r="L28" s="1163">
        <v>0</v>
      </c>
      <c r="M28" s="1162">
        <v>332.75965152326887</v>
      </c>
      <c r="N28" s="1162">
        <v>0</v>
      </c>
      <c r="P28" s="1798"/>
      <c r="Q28" s="1798"/>
      <c r="R28" s="1162">
        <v>424.19660707452113</v>
      </c>
      <c r="S28" s="1089"/>
      <c r="T28" s="1798"/>
      <c r="U28" s="1162">
        <v>107.87556119</v>
      </c>
      <c r="V28" s="1162">
        <v>119.74028326000003</v>
      </c>
      <c r="W28" s="1426">
        <v>1345.2745606661733</v>
      </c>
    </row>
    <row r="29" spans="2:23" ht="15" hidden="1" customHeight="1">
      <c r="B29" s="1165" t="s">
        <v>334</v>
      </c>
      <c r="C29" s="1160">
        <v>0.19957235000000001</v>
      </c>
      <c r="D29" s="1161">
        <v>18.232585619999995</v>
      </c>
      <c r="E29" s="1161">
        <v>51.286241320000002</v>
      </c>
      <c r="F29" s="1161">
        <v>188.70352344413223</v>
      </c>
      <c r="G29" s="1162">
        <v>9.1841750900000001</v>
      </c>
      <c r="H29" s="1162">
        <v>0</v>
      </c>
      <c r="I29" s="1162">
        <v>65.61742233999999</v>
      </c>
      <c r="J29" s="1163">
        <v>29.212299170000001</v>
      </c>
      <c r="K29" s="1163">
        <v>0</v>
      </c>
      <c r="L29" s="1163">
        <v>0</v>
      </c>
      <c r="M29" s="1162">
        <v>330.16119238934164</v>
      </c>
      <c r="N29" s="1162">
        <v>0</v>
      </c>
      <c r="P29" s="1798"/>
      <c r="Q29" s="1798"/>
      <c r="R29" s="1162">
        <v>428.94036843484008</v>
      </c>
      <c r="S29" s="1089"/>
      <c r="T29" s="1798"/>
      <c r="U29" s="1162">
        <v>110.37950647</v>
      </c>
      <c r="V29" s="1162">
        <v>119.64439138678442</v>
      </c>
      <c r="W29" s="1426">
        <v>1351.5612780150984</v>
      </c>
    </row>
    <row r="30" spans="2:23" ht="15" hidden="1" customHeight="1">
      <c r="B30" s="1165" t="s">
        <v>335</v>
      </c>
      <c r="C30" s="1160">
        <v>0.19333302999999999</v>
      </c>
      <c r="D30" s="1161">
        <v>15.077759390000001</v>
      </c>
      <c r="E30" s="1161">
        <v>63.723381000000003</v>
      </c>
      <c r="F30" s="1161">
        <v>189.76455318999999</v>
      </c>
      <c r="G30" s="1162">
        <v>16.598147999999998</v>
      </c>
      <c r="H30" s="1162">
        <v>0</v>
      </c>
      <c r="I30" s="1162">
        <v>50.759616700000002</v>
      </c>
      <c r="J30" s="1163">
        <v>28.526461000000001</v>
      </c>
      <c r="K30" s="1163">
        <v>0</v>
      </c>
      <c r="L30" s="1163">
        <v>0</v>
      </c>
      <c r="M30" s="1162">
        <v>345.42025390845453</v>
      </c>
      <c r="N30" s="1162">
        <v>0</v>
      </c>
      <c r="P30" s="1798"/>
      <c r="Q30" s="1798"/>
      <c r="R30" s="1162">
        <v>407.7162668709085</v>
      </c>
      <c r="S30" s="1089"/>
      <c r="T30" s="1798"/>
      <c r="U30" s="1162">
        <v>105.89217459000002</v>
      </c>
      <c r="V30" s="1162">
        <v>119.38421891017666</v>
      </c>
      <c r="W30" s="1426">
        <v>1343.0561665895398</v>
      </c>
    </row>
    <row r="31" spans="2:23" ht="15" hidden="1" customHeight="1">
      <c r="B31" s="1165" t="s">
        <v>336</v>
      </c>
      <c r="C31" s="1160">
        <v>0.19047900000000001</v>
      </c>
      <c r="D31" s="1161">
        <v>9.4634175999999997</v>
      </c>
      <c r="E31" s="1161">
        <v>24.441604000000002</v>
      </c>
      <c r="F31" s="1161">
        <v>186.01666301999998</v>
      </c>
      <c r="G31" s="1162">
        <v>3.4302609999999998</v>
      </c>
      <c r="H31" s="1162">
        <v>0</v>
      </c>
      <c r="I31" s="1162">
        <v>90.869099180000006</v>
      </c>
      <c r="J31" s="1163">
        <v>27.627929999999999</v>
      </c>
      <c r="K31" s="1163">
        <v>0</v>
      </c>
      <c r="L31" s="1163">
        <v>0</v>
      </c>
      <c r="M31" s="1162">
        <v>332.51425957999999</v>
      </c>
      <c r="N31" s="1162">
        <v>0</v>
      </c>
      <c r="P31" s="1798"/>
      <c r="Q31" s="1798"/>
      <c r="R31" s="1162">
        <v>406.63653096999997</v>
      </c>
      <c r="S31" s="1089"/>
      <c r="T31" s="1798"/>
      <c r="U31" s="1162">
        <v>111.36094147999997</v>
      </c>
      <c r="V31" s="1162">
        <v>119.24120902</v>
      </c>
      <c r="W31" s="1426">
        <v>1311.7923948499999</v>
      </c>
    </row>
    <row r="32" spans="2:23" ht="15" hidden="1" customHeight="1">
      <c r="B32" s="1165" t="s">
        <v>337</v>
      </c>
      <c r="C32" s="1160">
        <v>0.13861999999999999</v>
      </c>
      <c r="D32" s="1161">
        <v>7.3499309899999998</v>
      </c>
      <c r="E32" s="1161">
        <v>65.792178000000007</v>
      </c>
      <c r="F32" s="1161">
        <v>148.67070075999999</v>
      </c>
      <c r="G32" s="1162">
        <v>5.5179470000000004</v>
      </c>
      <c r="H32" s="1162">
        <v>0</v>
      </c>
      <c r="I32" s="1162">
        <v>93.297052780000001</v>
      </c>
      <c r="J32" s="1163">
        <v>26.763019</v>
      </c>
      <c r="K32" s="1163">
        <v>0</v>
      </c>
      <c r="L32" s="1163">
        <v>0</v>
      </c>
      <c r="M32" s="1162">
        <v>339.75100457000002</v>
      </c>
      <c r="N32" s="1162">
        <v>0</v>
      </c>
      <c r="P32" s="1798"/>
      <c r="Q32" s="1798"/>
      <c r="R32" s="1162">
        <v>421.49290458999997</v>
      </c>
      <c r="S32" s="1089"/>
      <c r="T32" s="1798"/>
      <c r="U32" s="1162">
        <v>114.21019304000001</v>
      </c>
      <c r="V32" s="1162">
        <v>122.28323456999999</v>
      </c>
      <c r="W32" s="1426">
        <v>1345.2667852999998</v>
      </c>
    </row>
    <row r="33" spans="2:23" ht="15" hidden="1" customHeight="1">
      <c r="B33" s="1165" t="s">
        <v>338</v>
      </c>
      <c r="C33" s="1160">
        <v>0.17784099000000006</v>
      </c>
      <c r="D33" s="1161">
        <v>12.922510189999999</v>
      </c>
      <c r="E33" s="1161">
        <v>66.935565549999993</v>
      </c>
      <c r="F33" s="1161">
        <v>200.91814438568329</v>
      </c>
      <c r="G33" s="1162">
        <v>5.1609259999999999</v>
      </c>
      <c r="H33" s="1162">
        <v>0</v>
      </c>
      <c r="I33" s="1162">
        <v>103.6795486222381</v>
      </c>
      <c r="J33" s="1163">
        <v>25.875589000000002</v>
      </c>
      <c r="K33" s="1163">
        <v>0</v>
      </c>
      <c r="L33" s="1163">
        <v>0</v>
      </c>
      <c r="M33" s="1162">
        <v>353.33118632498417</v>
      </c>
      <c r="N33" s="1162">
        <v>0</v>
      </c>
      <c r="P33" s="1798"/>
      <c r="Q33" s="1798"/>
      <c r="R33" s="1162">
        <v>402.04786429057134</v>
      </c>
      <c r="S33" s="1089"/>
      <c r="T33" s="1798"/>
      <c r="U33" s="1162">
        <v>107.37054805000037</v>
      </c>
      <c r="V33" s="1162">
        <v>119.25740398999997</v>
      </c>
      <c r="W33" s="1426">
        <v>1397.6771273934773</v>
      </c>
    </row>
    <row r="34" spans="2:23" ht="15" hidden="1" customHeight="1">
      <c r="B34" s="1165" t="s">
        <v>339</v>
      </c>
      <c r="C34" s="1160">
        <v>0.16014798000000002</v>
      </c>
      <c r="D34" s="1161">
        <v>8.2961684299999998</v>
      </c>
      <c r="E34" s="1161">
        <v>63.251818835308001</v>
      </c>
      <c r="F34" s="1161">
        <v>162.33175625137306</v>
      </c>
      <c r="G34" s="1162">
        <v>5.7433985599999993</v>
      </c>
      <c r="H34" s="1162">
        <v>0</v>
      </c>
      <c r="I34" s="1162">
        <v>101.59928160392442</v>
      </c>
      <c r="J34" s="1163">
        <v>33.431617850000002</v>
      </c>
      <c r="K34" s="1163">
        <v>0</v>
      </c>
      <c r="L34" s="1163">
        <v>0</v>
      </c>
      <c r="M34" s="1162">
        <v>346.78745830999992</v>
      </c>
      <c r="N34" s="1162">
        <v>0</v>
      </c>
      <c r="P34" s="1798"/>
      <c r="Q34" s="1798"/>
      <c r="R34" s="1162">
        <v>426.12978614999997</v>
      </c>
      <c r="S34" s="1089"/>
      <c r="T34" s="1798"/>
      <c r="U34" s="1162">
        <v>107.30810688999999</v>
      </c>
      <c r="V34" s="1162">
        <v>123.83456307000002</v>
      </c>
      <c r="W34" s="1426">
        <v>1378.8741039306055</v>
      </c>
    </row>
    <row r="35" spans="2:23" ht="15" hidden="1" customHeight="1">
      <c r="B35" s="1165" t="s">
        <v>340</v>
      </c>
      <c r="C35" s="1160">
        <v>0.20289539000000001</v>
      </c>
      <c r="D35" s="1161">
        <v>7.5393529199999998</v>
      </c>
      <c r="E35" s="1161">
        <v>84.780849500000002</v>
      </c>
      <c r="F35" s="1161">
        <v>136.49958511517463</v>
      </c>
      <c r="G35" s="1162">
        <v>4.0527730000000002</v>
      </c>
      <c r="H35" s="1162">
        <v>0</v>
      </c>
      <c r="I35" s="1162">
        <v>95.081769849186088</v>
      </c>
      <c r="J35" s="1163">
        <v>32.303736999999998</v>
      </c>
      <c r="K35" s="1163">
        <v>0</v>
      </c>
      <c r="L35" s="1163">
        <v>0</v>
      </c>
      <c r="M35" s="1162">
        <v>353.41814746692461</v>
      </c>
      <c r="N35" s="1162">
        <v>0</v>
      </c>
      <c r="P35" s="1798"/>
      <c r="Q35" s="1798"/>
      <c r="R35" s="1162">
        <v>416.59270932644881</v>
      </c>
      <c r="S35" s="1089"/>
      <c r="T35" s="1798"/>
      <c r="U35" s="1162">
        <v>105.83463275</v>
      </c>
      <c r="V35" s="1162">
        <v>123.36851010000001</v>
      </c>
      <c r="W35" s="1426">
        <v>1359.6749624177344</v>
      </c>
    </row>
    <row r="36" spans="2:23" ht="15" hidden="1" customHeight="1">
      <c r="B36" s="1165" t="s">
        <v>341</v>
      </c>
      <c r="C36" s="1160">
        <v>0.20501900000000001</v>
      </c>
      <c r="D36" s="1161">
        <v>4.1619055400000002</v>
      </c>
      <c r="E36" s="1161">
        <v>67.010647000000006</v>
      </c>
      <c r="F36" s="1161">
        <v>165.79716642000002</v>
      </c>
      <c r="G36" s="1162">
        <v>3.8406539999999998</v>
      </c>
      <c r="H36" s="1162">
        <v>0</v>
      </c>
      <c r="I36" s="1162">
        <v>95.454668720000001</v>
      </c>
      <c r="J36" s="1163">
        <v>29.010404999999999</v>
      </c>
      <c r="K36" s="1163">
        <v>0</v>
      </c>
      <c r="L36" s="1163">
        <v>0</v>
      </c>
      <c r="M36" s="1162">
        <v>354.36290431999998</v>
      </c>
      <c r="N36" s="1162">
        <v>0</v>
      </c>
      <c r="P36" s="1798"/>
      <c r="Q36" s="1798"/>
      <c r="R36" s="1162">
        <v>417.06566273999999</v>
      </c>
      <c r="S36" s="1089"/>
      <c r="T36" s="1798"/>
      <c r="U36" s="1162">
        <v>105.40622131999999</v>
      </c>
      <c r="V36" s="1162">
        <v>123.30112664999999</v>
      </c>
      <c r="W36" s="1426">
        <v>1365.6163807099999</v>
      </c>
    </row>
    <row r="37" spans="2:23" ht="15" hidden="1" customHeight="1">
      <c r="B37" s="1165" t="s">
        <v>342</v>
      </c>
      <c r="C37" s="1160">
        <v>0.12320299999999999</v>
      </c>
      <c r="D37" s="1161">
        <v>7.2263438899999999</v>
      </c>
      <c r="E37" s="1161">
        <v>52.191898000000002</v>
      </c>
      <c r="F37" s="1161">
        <v>191.20868694999999</v>
      </c>
      <c r="G37" s="1162">
        <v>6.8459000000000003</v>
      </c>
      <c r="H37" s="1162">
        <v>0</v>
      </c>
      <c r="I37" s="1162">
        <v>100.89625190999999</v>
      </c>
      <c r="J37" s="1163">
        <v>26.270807999999999</v>
      </c>
      <c r="K37" s="1163">
        <v>0</v>
      </c>
      <c r="L37" s="1163">
        <v>0</v>
      </c>
      <c r="M37" s="1162">
        <v>356.94122479999999</v>
      </c>
      <c r="N37" s="1162">
        <v>0</v>
      </c>
      <c r="P37" s="1798"/>
      <c r="Q37" s="1798"/>
      <c r="R37" s="1162">
        <v>426.95101685999998</v>
      </c>
      <c r="S37" s="1089"/>
      <c r="T37" s="1798"/>
      <c r="U37" s="1162">
        <v>108.77872551999999</v>
      </c>
      <c r="V37" s="1162">
        <v>123.43842639</v>
      </c>
      <c r="W37" s="1426">
        <v>1400.8724853199999</v>
      </c>
    </row>
    <row r="38" spans="2:23" ht="15" hidden="1" customHeight="1">
      <c r="B38" s="1165" t="s">
        <v>343</v>
      </c>
      <c r="C38" s="1160">
        <v>0.14349400000000001</v>
      </c>
      <c r="D38" s="1161">
        <v>6.4448770999999994</v>
      </c>
      <c r="E38" s="1161">
        <v>54.755654579999998</v>
      </c>
      <c r="F38" s="1161">
        <v>214.60235713999998</v>
      </c>
      <c r="G38" s="1162">
        <v>3.9447410000000001</v>
      </c>
      <c r="H38" s="1162">
        <v>0</v>
      </c>
      <c r="I38" s="1162">
        <v>114.91936390000001</v>
      </c>
      <c r="J38" s="1163">
        <v>22.345286999999999</v>
      </c>
      <c r="K38" s="1163">
        <v>0</v>
      </c>
      <c r="L38" s="1163">
        <v>0</v>
      </c>
      <c r="M38" s="1162">
        <v>381.17409596000005</v>
      </c>
      <c r="N38" s="1162">
        <v>0</v>
      </c>
      <c r="P38" s="1798"/>
      <c r="Q38" s="1798"/>
      <c r="R38" s="1162">
        <v>444.86733710999994</v>
      </c>
      <c r="S38" s="1089"/>
      <c r="T38" s="1798"/>
      <c r="U38" s="1162">
        <v>108.75631197</v>
      </c>
      <c r="V38" s="1162">
        <v>124.70371158</v>
      </c>
      <c r="W38" s="1426">
        <v>1476.6572313400002</v>
      </c>
    </row>
    <row r="39" spans="2:23" ht="15" hidden="1" customHeight="1">
      <c r="B39" s="1165" t="s">
        <v>344</v>
      </c>
      <c r="C39" s="1160">
        <v>1.72037058</v>
      </c>
      <c r="D39" s="1161">
        <v>8.0549638699999999</v>
      </c>
      <c r="E39" s="1161">
        <v>89.64710018000001</v>
      </c>
      <c r="F39" s="1161">
        <v>243.76886099999999</v>
      </c>
      <c r="G39" s="1162">
        <v>5.1271300000000002</v>
      </c>
      <c r="H39" s="1162">
        <v>0</v>
      </c>
      <c r="I39" s="1162">
        <v>91.349984469999995</v>
      </c>
      <c r="J39" s="1163">
        <v>20.996459999999999</v>
      </c>
      <c r="K39" s="1163">
        <v>0</v>
      </c>
      <c r="L39" s="1163">
        <v>0</v>
      </c>
      <c r="M39" s="1162">
        <v>379.75031736</v>
      </c>
      <c r="N39" s="1162">
        <v>0</v>
      </c>
      <c r="P39" s="1798"/>
      <c r="Q39" s="1798"/>
      <c r="R39" s="1162">
        <v>430.24987947000005</v>
      </c>
      <c r="S39" s="1089"/>
      <c r="T39" s="1798"/>
      <c r="U39" s="1162">
        <v>109.99518054000001</v>
      </c>
      <c r="V39" s="1162">
        <v>124.44412541000001</v>
      </c>
      <c r="W39" s="1426">
        <v>1505.10437288</v>
      </c>
    </row>
    <row r="40" spans="2:23" ht="15" customHeight="1">
      <c r="B40" s="1162"/>
      <c r="C40" s="1160"/>
      <c r="D40" s="1161"/>
      <c r="E40" s="1161"/>
      <c r="F40" s="1161"/>
      <c r="G40" s="1162"/>
      <c r="H40" s="1162"/>
      <c r="I40" s="1162"/>
      <c r="J40" s="1163"/>
      <c r="K40" s="1163"/>
      <c r="L40" s="1163"/>
      <c r="M40" s="1162"/>
      <c r="N40" s="1162"/>
      <c r="P40" s="1798"/>
      <c r="Q40" s="1798"/>
      <c r="R40" s="1162"/>
      <c r="S40" s="1089"/>
      <c r="T40" s="1798"/>
      <c r="U40" s="1162"/>
      <c r="V40" s="1162"/>
      <c r="W40" s="1426"/>
    </row>
    <row r="41" spans="2:23" ht="15" customHeight="1">
      <c r="B41" s="1166">
        <v>2017</v>
      </c>
      <c r="C41" s="1160"/>
      <c r="D41" s="1161"/>
      <c r="E41" s="1161"/>
      <c r="F41" s="1161"/>
      <c r="G41" s="1162"/>
      <c r="H41" s="1162"/>
      <c r="I41" s="1162"/>
      <c r="J41" s="1163"/>
      <c r="K41" s="1163"/>
      <c r="L41" s="1163"/>
      <c r="M41" s="1162"/>
      <c r="N41" s="1162"/>
      <c r="P41" s="1798"/>
      <c r="Q41" s="1798"/>
      <c r="R41" s="1162"/>
      <c r="S41" s="1089"/>
      <c r="T41" s="1798"/>
      <c r="U41" s="1162"/>
      <c r="V41" s="1162"/>
      <c r="W41" s="1426"/>
    </row>
    <row r="42" spans="2:23" ht="15" hidden="1" customHeight="1">
      <c r="B42" s="1162" t="s">
        <v>345</v>
      </c>
      <c r="C42" s="1344">
        <v>2.35482397</v>
      </c>
      <c r="D42" s="1345">
        <v>7.01632312</v>
      </c>
      <c r="E42" s="1345">
        <v>109.63179897000001</v>
      </c>
      <c r="F42" s="1345">
        <v>157.70363943000001</v>
      </c>
      <c r="G42" s="1345">
        <v>4.2761050000000003</v>
      </c>
      <c r="H42" s="1345">
        <v>0</v>
      </c>
      <c r="I42" s="1345">
        <v>123.67553110999999</v>
      </c>
      <c r="J42" s="1346">
        <v>20.800909000000001</v>
      </c>
      <c r="K42" s="1346">
        <v>0</v>
      </c>
      <c r="L42" s="1346">
        <v>0</v>
      </c>
      <c r="M42" s="1345">
        <v>389.14858106999998</v>
      </c>
      <c r="N42" s="1345">
        <v>0</v>
      </c>
      <c r="P42" s="1799"/>
      <c r="Q42" s="1799"/>
      <c r="R42" s="1345">
        <v>406.07715401999997</v>
      </c>
      <c r="S42" s="1089"/>
      <c r="T42" s="1799"/>
      <c r="U42" s="1345">
        <v>106.28982870999999</v>
      </c>
      <c r="V42" s="1345">
        <v>124.42425517</v>
      </c>
      <c r="W42" s="1429">
        <v>1451.3989495699998</v>
      </c>
    </row>
    <row r="43" spans="2:23" ht="15" hidden="1" customHeight="1">
      <c r="B43" s="1162" t="s">
        <v>334</v>
      </c>
      <c r="C43" s="1344">
        <v>1.1882152800000001</v>
      </c>
      <c r="D43" s="1345">
        <v>7.2863757399999995</v>
      </c>
      <c r="E43" s="1345">
        <v>69.261990999999995</v>
      </c>
      <c r="F43" s="1345">
        <v>155.60066541</v>
      </c>
      <c r="G43" s="1345">
        <v>7.4117930000000003</v>
      </c>
      <c r="H43" s="1345">
        <v>0</v>
      </c>
      <c r="I43" s="1345">
        <v>162.00250799</v>
      </c>
      <c r="J43" s="1346">
        <v>20.105533999999999</v>
      </c>
      <c r="K43" s="1346">
        <v>0</v>
      </c>
      <c r="L43" s="1346">
        <v>0</v>
      </c>
      <c r="M43" s="1345">
        <v>394.35552951</v>
      </c>
      <c r="N43" s="1345">
        <v>0</v>
      </c>
      <c r="P43" s="1799"/>
      <c r="Q43" s="1799"/>
      <c r="R43" s="1345">
        <v>410.05799478000006</v>
      </c>
      <c r="S43" s="1089"/>
      <c r="T43" s="1799"/>
      <c r="U43" s="1345">
        <v>108.96103215000001</v>
      </c>
      <c r="V43" s="1345">
        <v>124.19774570000001</v>
      </c>
      <c r="W43" s="1429">
        <v>1460.4293845599998</v>
      </c>
    </row>
    <row r="44" spans="2:23" ht="15" hidden="1" customHeight="1">
      <c r="B44" s="1162" t="s">
        <v>335</v>
      </c>
      <c r="C44" s="1344">
        <v>1.6493480600000001</v>
      </c>
      <c r="D44" s="1345">
        <v>3.0738560000000001</v>
      </c>
      <c r="E44" s="1345">
        <v>35.529331579999997</v>
      </c>
      <c r="F44" s="1345">
        <v>177.15924315999999</v>
      </c>
      <c r="G44" s="1345">
        <v>4.0229980000000003</v>
      </c>
      <c r="H44" s="1345">
        <v>0</v>
      </c>
      <c r="I44" s="1345">
        <v>164.23914364999999</v>
      </c>
      <c r="J44" s="1346">
        <v>18.657074000000001</v>
      </c>
      <c r="K44" s="1346">
        <v>0</v>
      </c>
      <c r="L44" s="1346">
        <v>0</v>
      </c>
      <c r="M44" s="1345">
        <v>404.35665359000001</v>
      </c>
      <c r="N44" s="1345">
        <v>0</v>
      </c>
      <c r="P44" s="1799"/>
      <c r="Q44" s="1799"/>
      <c r="R44" s="1345">
        <v>412.99014725000001</v>
      </c>
      <c r="S44" s="1089"/>
      <c r="T44" s="1799"/>
      <c r="U44" s="1345">
        <v>102.75832346000001</v>
      </c>
      <c r="V44" s="1345">
        <v>124.18798578000001</v>
      </c>
      <c r="W44" s="1429">
        <v>1448.6241045299998</v>
      </c>
    </row>
    <row r="45" spans="2:23" ht="15" hidden="1" customHeight="1">
      <c r="B45" s="1162" t="s">
        <v>336</v>
      </c>
      <c r="C45" s="1344">
        <v>0.73722500000000002</v>
      </c>
      <c r="D45" s="1345">
        <v>3.5627687000000003</v>
      </c>
      <c r="E45" s="1345">
        <v>73.432937999999993</v>
      </c>
      <c r="F45" s="1345">
        <v>173.28220117000001</v>
      </c>
      <c r="G45" s="1345">
        <v>9.7778510000000001</v>
      </c>
      <c r="H45" s="1345">
        <v>0</v>
      </c>
      <c r="I45" s="1345">
        <v>158.56634643000001</v>
      </c>
      <c r="J45" s="1346">
        <v>17.802762999999999</v>
      </c>
      <c r="K45" s="1346">
        <v>0</v>
      </c>
      <c r="L45" s="1346">
        <v>0</v>
      </c>
      <c r="M45" s="1345">
        <v>392.54527762999999</v>
      </c>
      <c r="N45" s="1345">
        <v>0</v>
      </c>
      <c r="P45" s="1799"/>
      <c r="Q45" s="1799"/>
      <c r="R45" s="1345">
        <v>432.34305409999996</v>
      </c>
      <c r="S45" s="1089"/>
      <c r="T45" s="1799"/>
      <c r="U45" s="1345">
        <v>109.70096439</v>
      </c>
      <c r="V45" s="1345">
        <v>125.07538221999999</v>
      </c>
      <c r="W45" s="1429">
        <v>1496.8267716400001</v>
      </c>
    </row>
    <row r="46" spans="2:23" ht="15" hidden="1" customHeight="1">
      <c r="B46" s="1162" t="s">
        <v>337</v>
      </c>
      <c r="C46" s="1344">
        <v>0.92399032999999997</v>
      </c>
      <c r="D46" s="1345">
        <v>3.9418054599999999</v>
      </c>
      <c r="E46" s="1345">
        <v>81.471739870000007</v>
      </c>
      <c r="F46" s="1345">
        <v>152.31707598</v>
      </c>
      <c r="G46" s="1345">
        <v>10.805294999999999</v>
      </c>
      <c r="H46" s="1345">
        <v>0</v>
      </c>
      <c r="I46" s="1345">
        <v>168.16387359000001</v>
      </c>
      <c r="J46" s="1346">
        <v>20.296825999999999</v>
      </c>
      <c r="K46" s="1346">
        <v>0</v>
      </c>
      <c r="L46" s="1346">
        <v>0</v>
      </c>
      <c r="M46" s="1345">
        <v>394.40488406999998</v>
      </c>
      <c r="N46" s="1345">
        <v>0</v>
      </c>
      <c r="P46" s="1799"/>
      <c r="Q46" s="1799"/>
      <c r="R46" s="1345">
        <v>451.08621275000007</v>
      </c>
      <c r="S46" s="1089"/>
      <c r="T46" s="1799"/>
      <c r="U46" s="1345">
        <v>105.94517173999999</v>
      </c>
      <c r="V46" s="1345">
        <v>126.09274151</v>
      </c>
      <c r="W46" s="1429">
        <v>1515.4496163000001</v>
      </c>
    </row>
    <row r="47" spans="2:23" ht="15" customHeight="1">
      <c r="B47" s="1162" t="s">
        <v>338</v>
      </c>
      <c r="C47" s="1344">
        <v>0.34142400000000001</v>
      </c>
      <c r="D47" s="1345">
        <v>3.6640858500000002</v>
      </c>
      <c r="E47" s="1345">
        <v>65.898371999999995</v>
      </c>
      <c r="F47" s="1345">
        <v>208.75497168999999</v>
      </c>
      <c r="G47" s="1345">
        <v>9.8083880000000008</v>
      </c>
      <c r="H47" s="1345">
        <v>0</v>
      </c>
      <c r="I47" s="1345">
        <v>165.29633202000002</v>
      </c>
      <c r="J47" s="1346">
        <v>19.036857999999999</v>
      </c>
      <c r="K47" s="1346">
        <v>0</v>
      </c>
      <c r="L47" s="1346">
        <v>0</v>
      </c>
      <c r="M47" s="1345">
        <v>387.55024718999999</v>
      </c>
      <c r="N47" s="1345">
        <v>0</v>
      </c>
      <c r="P47" s="1799"/>
      <c r="Q47" s="1799"/>
      <c r="R47" s="1345">
        <v>452.93269053000006</v>
      </c>
      <c r="S47" s="1089"/>
      <c r="T47" s="1799"/>
      <c r="U47" s="1345">
        <v>109.55190076999999</v>
      </c>
      <c r="V47" s="1345">
        <v>125.9588028</v>
      </c>
      <c r="W47" s="1429">
        <v>1548.79407285</v>
      </c>
    </row>
    <row r="48" spans="2:23" ht="15" customHeight="1">
      <c r="B48" s="1162" t="s">
        <v>339</v>
      </c>
      <c r="C48" s="1344">
        <v>0.38717092999999997</v>
      </c>
      <c r="D48" s="1345">
        <v>3.9323802999999997</v>
      </c>
      <c r="E48" s="1345">
        <v>105.82900166</v>
      </c>
      <c r="F48" s="1345">
        <v>164.58130765000001</v>
      </c>
      <c r="G48" s="1345">
        <v>9.2207109999999997</v>
      </c>
      <c r="H48" s="1345">
        <v>0</v>
      </c>
      <c r="I48" s="1345">
        <v>168.3655191</v>
      </c>
      <c r="J48" s="1346">
        <v>17.206136999999998</v>
      </c>
      <c r="K48" s="1346">
        <v>0</v>
      </c>
      <c r="L48" s="1346">
        <v>0</v>
      </c>
      <c r="M48" s="1345">
        <v>391.88484582000001</v>
      </c>
      <c r="N48" s="1345">
        <v>0</v>
      </c>
      <c r="P48" s="1799"/>
      <c r="Q48" s="1799"/>
      <c r="R48" s="1345">
        <v>451.88235540000005</v>
      </c>
      <c r="S48" s="1089"/>
      <c r="T48" s="1799"/>
      <c r="U48" s="1345">
        <v>110.94519632000001</v>
      </c>
      <c r="V48" s="1345">
        <v>127.30920474</v>
      </c>
      <c r="W48" s="1429">
        <v>1551.54382992</v>
      </c>
    </row>
    <row r="49" spans="2:23" ht="15" customHeight="1">
      <c r="B49" s="1162" t="s">
        <v>340</v>
      </c>
      <c r="C49" s="1344">
        <v>0.43905393000000004</v>
      </c>
      <c r="D49" s="1345">
        <v>3.0934731800000002</v>
      </c>
      <c r="E49" s="1345">
        <v>142.75083065545249</v>
      </c>
      <c r="F49" s="1345">
        <v>152.03355862940941</v>
      </c>
      <c r="G49" s="1345">
        <v>3.9174280000000001</v>
      </c>
      <c r="H49" s="1345">
        <v>0</v>
      </c>
      <c r="I49" s="1345">
        <v>186.74766869000001</v>
      </c>
      <c r="J49" s="1346">
        <v>16.2669286247</v>
      </c>
      <c r="K49" s="1346">
        <v>0</v>
      </c>
      <c r="L49" s="1346">
        <v>0</v>
      </c>
      <c r="M49" s="1345">
        <v>409.32607000920558</v>
      </c>
      <c r="N49" s="1345">
        <v>0</v>
      </c>
      <c r="P49" s="1799"/>
      <c r="Q49" s="1799"/>
      <c r="R49" s="1345">
        <v>465.48210745609447</v>
      </c>
      <c r="S49" s="1089"/>
      <c r="T49" s="1799"/>
      <c r="U49" s="1345">
        <v>104.67994292120001</v>
      </c>
      <c r="V49" s="1345">
        <v>127.19956268286001</v>
      </c>
      <c r="W49" s="1429">
        <v>1611.9366247789219</v>
      </c>
    </row>
    <row r="50" spans="2:23" ht="15" customHeight="1">
      <c r="B50" s="1162" t="s">
        <v>341</v>
      </c>
      <c r="C50" s="1344">
        <v>0.55890061000000002</v>
      </c>
      <c r="D50" s="1345">
        <v>1.8198430000000001</v>
      </c>
      <c r="E50" s="1345">
        <v>108.413859</v>
      </c>
      <c r="F50" s="1345">
        <v>116.95515856</v>
      </c>
      <c r="G50" s="1345">
        <v>6.6919320000000004</v>
      </c>
      <c r="H50" s="1345">
        <v>0</v>
      </c>
      <c r="I50" s="1345">
        <v>192.95461405</v>
      </c>
      <c r="J50" s="1346">
        <v>16.103908000000001</v>
      </c>
      <c r="K50" s="1346">
        <v>0</v>
      </c>
      <c r="L50" s="1346">
        <v>0</v>
      </c>
      <c r="M50" s="1345">
        <v>412.70643625000002</v>
      </c>
      <c r="N50" s="1345">
        <v>0</v>
      </c>
      <c r="P50" s="1799"/>
      <c r="Q50" s="1799"/>
      <c r="R50" s="1345">
        <v>475.1652158</v>
      </c>
      <c r="S50" s="1089"/>
      <c r="T50" s="1799"/>
      <c r="U50" s="1345">
        <v>113.38136294</v>
      </c>
      <c r="V50" s="1345">
        <v>130.06822865000001</v>
      </c>
      <c r="W50" s="1429">
        <v>1574.8194588599999</v>
      </c>
    </row>
    <row r="51" spans="2:23" ht="15" customHeight="1">
      <c r="B51" s="1162" t="s">
        <v>342</v>
      </c>
      <c r="C51" s="1344">
        <v>0.56952711999999994</v>
      </c>
      <c r="D51" s="1345">
        <v>1.14888949</v>
      </c>
      <c r="E51" s="1345">
        <v>145.676758099388</v>
      </c>
      <c r="F51" s="1345">
        <v>110.01927166859743</v>
      </c>
      <c r="G51" s="1345">
        <v>14.762503000000001</v>
      </c>
      <c r="H51" s="1345">
        <v>0</v>
      </c>
      <c r="I51" s="1345">
        <v>193.91636675000004</v>
      </c>
      <c r="J51" s="1346">
        <v>15.400631923200002</v>
      </c>
      <c r="K51" s="1346">
        <v>0</v>
      </c>
      <c r="L51" s="1346">
        <v>0</v>
      </c>
      <c r="M51" s="1345">
        <v>420.66289305000004</v>
      </c>
      <c r="N51" s="1345">
        <v>0</v>
      </c>
      <c r="P51" s="1799"/>
      <c r="Q51" s="1799"/>
      <c r="R51" s="1345">
        <v>493.56915060680001</v>
      </c>
      <c r="S51" s="1089"/>
      <c r="T51" s="1799"/>
      <c r="U51" s="1345">
        <v>149.88532479999998</v>
      </c>
      <c r="V51" s="1345">
        <v>130.35987897000001</v>
      </c>
      <c r="W51" s="1429">
        <v>1675.9711954779855</v>
      </c>
    </row>
    <row r="52" spans="2:23" ht="15" customHeight="1">
      <c r="B52" s="1162" t="s">
        <v>343</v>
      </c>
      <c r="C52" s="1344">
        <v>0.74712953999999987</v>
      </c>
      <c r="D52" s="1345">
        <v>0.90083932000000011</v>
      </c>
      <c r="E52" s="1345">
        <v>138.83666247149398</v>
      </c>
      <c r="F52" s="1345">
        <v>128.41969780457512</v>
      </c>
      <c r="G52" s="1345">
        <v>8.6601111500000005</v>
      </c>
      <c r="H52" s="1345">
        <v>0</v>
      </c>
      <c r="I52" s="1345">
        <v>193.62870475999998</v>
      </c>
      <c r="J52" s="1346">
        <v>18.816803817599997</v>
      </c>
      <c r="K52" s="1346">
        <v>0</v>
      </c>
      <c r="L52" s="1346">
        <v>0</v>
      </c>
      <c r="M52" s="1345">
        <v>420.94462241999997</v>
      </c>
      <c r="N52" s="1345">
        <v>0</v>
      </c>
      <c r="P52" s="1799"/>
      <c r="Q52" s="1799"/>
      <c r="R52" s="1345">
        <v>488.98666026239999</v>
      </c>
      <c r="S52" s="1089"/>
      <c r="T52" s="1799"/>
      <c r="U52" s="1345">
        <v>160.43954346999999</v>
      </c>
      <c r="V52" s="1345">
        <v>132.95254085999997</v>
      </c>
      <c r="W52" s="1429">
        <v>1693.333315876069</v>
      </c>
    </row>
    <row r="53" spans="2:23" ht="15" customHeight="1">
      <c r="B53" s="1162" t="s">
        <v>344</v>
      </c>
      <c r="C53" s="1344">
        <v>1.0463025700000002</v>
      </c>
      <c r="D53" s="1345">
        <v>2.5914806800000001</v>
      </c>
      <c r="E53" s="1345">
        <v>170.60222049671574</v>
      </c>
      <c r="F53" s="1345">
        <v>134.30310028710275</v>
      </c>
      <c r="G53" s="1345">
        <v>9.06183987</v>
      </c>
      <c r="H53" s="1345">
        <v>0</v>
      </c>
      <c r="I53" s="1345">
        <v>195.11677232753422</v>
      </c>
      <c r="J53" s="1346">
        <v>26.808487459200002</v>
      </c>
      <c r="K53" s="1346">
        <v>0</v>
      </c>
      <c r="L53" s="1346">
        <v>0</v>
      </c>
      <c r="M53" s="1345">
        <v>402.28665258999996</v>
      </c>
      <c r="N53" s="1345">
        <v>0</v>
      </c>
      <c r="P53" s="1799"/>
      <c r="Q53" s="1799"/>
      <c r="R53" s="1345">
        <v>516.76124543079993</v>
      </c>
      <c r="S53" s="1089"/>
      <c r="T53" s="1799"/>
      <c r="U53" s="1345">
        <v>163.22986393086001</v>
      </c>
      <c r="V53" s="1345">
        <v>135.47612741958002</v>
      </c>
      <c r="W53" s="1429">
        <v>1757.2840930617929</v>
      </c>
    </row>
    <row r="54" spans="2:23" ht="15" customHeight="1">
      <c r="B54" s="1275"/>
      <c r="C54" s="1344"/>
      <c r="D54" s="1345"/>
      <c r="E54" s="1345"/>
      <c r="F54" s="1345"/>
      <c r="G54" s="1345"/>
      <c r="H54" s="1345"/>
      <c r="I54" s="1345"/>
      <c r="J54" s="1346"/>
      <c r="K54" s="1346"/>
      <c r="L54" s="1346"/>
      <c r="M54" s="1345"/>
      <c r="N54" s="1345"/>
      <c r="P54" s="1799"/>
      <c r="Q54" s="1799"/>
      <c r="R54" s="1345"/>
      <c r="S54" s="1089"/>
      <c r="T54" s="1799"/>
      <c r="U54" s="1345"/>
      <c r="V54" s="1345"/>
      <c r="W54" s="1429"/>
    </row>
    <row r="55" spans="2:23" ht="15" customHeight="1">
      <c r="B55" s="1202">
        <v>2018</v>
      </c>
      <c r="C55" s="1344"/>
      <c r="D55" s="1345"/>
      <c r="E55" s="1345"/>
      <c r="F55" s="1345"/>
      <c r="G55" s="1345"/>
      <c r="H55" s="1345"/>
      <c r="I55" s="1345"/>
      <c r="J55" s="1346"/>
      <c r="K55" s="1346"/>
      <c r="L55" s="1346"/>
      <c r="M55" s="1345"/>
      <c r="N55" s="1345"/>
      <c r="P55" s="1799"/>
      <c r="Q55" s="1799"/>
      <c r="R55" s="1345"/>
      <c r="S55" s="1089"/>
      <c r="T55" s="1799"/>
      <c r="U55" s="1345"/>
      <c r="V55" s="1345"/>
      <c r="W55" s="1429"/>
    </row>
    <row r="56" spans="2:23" ht="15" customHeight="1">
      <c r="B56" s="1162" t="s">
        <v>345</v>
      </c>
      <c r="C56" s="1344">
        <v>0.89583808999999992</v>
      </c>
      <c r="D56" s="1345">
        <v>2.253708</v>
      </c>
      <c r="E56" s="1345">
        <v>197.37286791780824</v>
      </c>
      <c r="F56" s="1345">
        <v>98.732194400000012</v>
      </c>
      <c r="G56" s="1345">
        <v>7.8472410000000004</v>
      </c>
      <c r="H56" s="1345">
        <v>0</v>
      </c>
      <c r="I56" s="1345">
        <v>129.83074974219178</v>
      </c>
      <c r="J56" s="1346">
        <v>34.455748</v>
      </c>
      <c r="K56" s="1346">
        <v>0</v>
      </c>
      <c r="L56" s="1346">
        <v>0</v>
      </c>
      <c r="M56" s="1345">
        <v>413.17134763999996</v>
      </c>
      <c r="N56" s="1345">
        <v>0</v>
      </c>
      <c r="P56" s="1799"/>
      <c r="Q56" s="1799"/>
      <c r="R56" s="1345">
        <v>508.70117700999998</v>
      </c>
      <c r="S56" s="1089"/>
      <c r="T56" s="1799"/>
      <c r="U56" s="1345">
        <v>144.89101722000001</v>
      </c>
      <c r="V56" s="1345">
        <v>136.10732872999998</v>
      </c>
      <c r="W56" s="1429">
        <v>1674.2592177500001</v>
      </c>
    </row>
    <row r="57" spans="2:23" ht="15" customHeight="1">
      <c r="B57" s="1162" t="s">
        <v>334</v>
      </c>
      <c r="C57" s="1344">
        <v>1.5222941000000003</v>
      </c>
      <c r="D57" s="1345">
        <v>1.7844558399999999</v>
      </c>
      <c r="E57" s="1345">
        <v>172.37050209</v>
      </c>
      <c r="F57" s="1345">
        <v>123.47920685319632</v>
      </c>
      <c r="G57" s="1345">
        <v>5.4640870000000001</v>
      </c>
      <c r="H57" s="1345">
        <v>0</v>
      </c>
      <c r="I57" s="1345">
        <v>141.29977969999999</v>
      </c>
      <c r="J57" s="1346">
        <v>33.506674943999997</v>
      </c>
      <c r="K57" s="1346">
        <v>0</v>
      </c>
      <c r="L57" s="1346">
        <v>0</v>
      </c>
      <c r="M57" s="1345">
        <v>414.83590417999994</v>
      </c>
      <c r="N57" s="1345">
        <v>0</v>
      </c>
      <c r="P57" s="1799"/>
      <c r="Q57" s="1799"/>
      <c r="R57" s="1345">
        <v>507.94889361599985</v>
      </c>
      <c r="S57" s="1089"/>
      <c r="T57" s="1799"/>
      <c r="U57" s="1345">
        <v>125.70114231000001</v>
      </c>
      <c r="V57" s="1345">
        <v>135.71930402999999</v>
      </c>
      <c r="W57" s="1429">
        <v>1663.6322446631962</v>
      </c>
    </row>
    <row r="58" spans="2:23" ht="15" customHeight="1">
      <c r="B58" s="1162" t="s">
        <v>335</v>
      </c>
      <c r="C58" s="1344">
        <v>1.4152539900000001</v>
      </c>
      <c r="D58" s="1345">
        <v>3.4042210000000002</v>
      </c>
      <c r="E58" s="1345">
        <v>175.85479399835617</v>
      </c>
      <c r="F58" s="1345">
        <v>72.095185749999999</v>
      </c>
      <c r="G58" s="1345">
        <v>14.141181</v>
      </c>
      <c r="H58" s="1345">
        <v>0</v>
      </c>
      <c r="I58" s="1345">
        <v>212.59197854164387</v>
      </c>
      <c r="J58" s="1346">
        <v>32.849103999999997</v>
      </c>
      <c r="K58" s="1346">
        <v>0</v>
      </c>
      <c r="L58" s="1346">
        <v>0</v>
      </c>
      <c r="M58" s="1345">
        <v>411.37745214999995</v>
      </c>
      <c r="N58" s="1345">
        <v>0</v>
      </c>
      <c r="P58" s="1799"/>
      <c r="Q58" s="1799"/>
      <c r="R58" s="1345">
        <v>539.37205387000006</v>
      </c>
      <c r="S58" s="1089"/>
      <c r="T58" s="1799"/>
      <c r="U58" s="1345">
        <v>142.78153520999999</v>
      </c>
      <c r="V58" s="1345">
        <v>132.32490858</v>
      </c>
      <c r="W58" s="1429">
        <v>1738.20766809</v>
      </c>
    </row>
    <row r="59" spans="2:23" ht="15" customHeight="1">
      <c r="B59" s="1162" t="s">
        <v>336</v>
      </c>
      <c r="C59" s="1344">
        <v>1.1334168900000001</v>
      </c>
      <c r="D59" s="1345">
        <v>4.3119519999999998</v>
      </c>
      <c r="E59" s="1345">
        <v>185.53541931273972</v>
      </c>
      <c r="F59" s="1345">
        <v>61.865650189999997</v>
      </c>
      <c r="G59" s="1345">
        <v>3.6190690000000001</v>
      </c>
      <c r="H59" s="1345">
        <v>0</v>
      </c>
      <c r="I59" s="1345">
        <v>184.4260454172603</v>
      </c>
      <c r="J59" s="1346">
        <v>31.965630000000001</v>
      </c>
      <c r="K59" s="1346">
        <v>0</v>
      </c>
      <c r="L59" s="1346">
        <v>0</v>
      </c>
      <c r="M59" s="1345">
        <v>413.25712038</v>
      </c>
      <c r="N59" s="1345">
        <v>0</v>
      </c>
      <c r="P59" s="1799"/>
      <c r="Q59" s="1799"/>
      <c r="R59" s="1345">
        <v>582.74330899999995</v>
      </c>
      <c r="S59" s="1089"/>
      <c r="T59" s="1799"/>
      <c r="U59" s="1345">
        <v>141.64863351</v>
      </c>
      <c r="V59" s="1345">
        <v>135.19024752999999</v>
      </c>
      <c r="W59" s="1429">
        <v>1745.6964932300002</v>
      </c>
    </row>
    <row r="60" spans="2:23" ht="15" customHeight="1">
      <c r="B60" s="1162" t="s">
        <v>337</v>
      </c>
      <c r="C60" s="1344">
        <v>1.0089730299999999</v>
      </c>
      <c r="D60" s="1345">
        <v>7.6282030000000001</v>
      </c>
      <c r="E60" s="1345">
        <v>196.33580169260276</v>
      </c>
      <c r="F60" s="1345">
        <v>138.20475011000002</v>
      </c>
      <c r="G60" s="1345">
        <v>8.0752240000000004</v>
      </c>
      <c r="H60" s="1345">
        <v>0</v>
      </c>
      <c r="I60" s="1345">
        <v>191.04435460739725</v>
      </c>
      <c r="J60" s="1346">
        <v>30.866188999999999</v>
      </c>
      <c r="K60" s="1346">
        <v>0</v>
      </c>
      <c r="L60" s="1346">
        <v>0</v>
      </c>
      <c r="M60" s="1345">
        <v>415.00622679000003</v>
      </c>
      <c r="N60" s="1345">
        <v>0</v>
      </c>
      <c r="P60" s="1799"/>
      <c r="Q60" s="1799"/>
      <c r="R60" s="1345">
        <v>608.38412773000005</v>
      </c>
      <c r="S60" s="1089"/>
      <c r="T60" s="1799"/>
      <c r="U60" s="1345">
        <v>128.12387013</v>
      </c>
      <c r="V60" s="1345">
        <v>137.35790613</v>
      </c>
      <c r="W60" s="1429">
        <v>1862.03562622</v>
      </c>
    </row>
    <row r="61" spans="2:23" ht="15" customHeight="1">
      <c r="B61" s="1162" t="s">
        <v>346</v>
      </c>
      <c r="C61" s="1344">
        <v>1.2086871300000002</v>
      </c>
      <c r="D61" s="1345">
        <v>4.8750419999999997</v>
      </c>
      <c r="E61" s="1345">
        <v>188.63920259698628</v>
      </c>
      <c r="F61" s="1345">
        <v>177.83404969999998</v>
      </c>
      <c r="G61" s="1345">
        <v>1.948197</v>
      </c>
      <c r="H61" s="1345">
        <v>0</v>
      </c>
      <c r="I61" s="1345">
        <v>266.21630790301367</v>
      </c>
      <c r="J61" s="1346">
        <v>30.079664999999999</v>
      </c>
      <c r="K61" s="1346">
        <v>0</v>
      </c>
      <c r="L61" s="1346">
        <v>0</v>
      </c>
      <c r="M61" s="1345">
        <v>413.85262108000006</v>
      </c>
      <c r="N61" s="1345">
        <v>0</v>
      </c>
      <c r="P61" s="1799"/>
      <c r="Q61" s="1799"/>
      <c r="R61" s="1345">
        <v>614.34384408999995</v>
      </c>
      <c r="S61" s="1089"/>
      <c r="T61" s="1799"/>
      <c r="U61" s="1345">
        <v>123.9533303125</v>
      </c>
      <c r="V61" s="1345">
        <v>141.52333067000001</v>
      </c>
      <c r="W61" s="1429">
        <v>1964.4742774824997</v>
      </c>
    </row>
    <row r="62" spans="2:23" ht="15" customHeight="1">
      <c r="B62" s="1162" t="s">
        <v>347</v>
      </c>
      <c r="C62" s="1344">
        <v>1.78225129</v>
      </c>
      <c r="D62" s="1345">
        <v>6.5660069999999999</v>
      </c>
      <c r="E62" s="1345">
        <v>207.05442610684932</v>
      </c>
      <c r="F62" s="1345">
        <v>185.10855831000001</v>
      </c>
      <c r="G62" s="1345">
        <v>1.694715</v>
      </c>
      <c r="H62" s="1345">
        <v>0</v>
      </c>
      <c r="I62" s="1345">
        <v>283.18473520315069</v>
      </c>
      <c r="J62" s="1346">
        <v>33.349611000000003</v>
      </c>
      <c r="K62" s="1346">
        <v>0</v>
      </c>
      <c r="L62" s="1346">
        <v>0</v>
      </c>
      <c r="M62" s="1345">
        <v>423.51869497000001</v>
      </c>
      <c r="N62" s="1345">
        <v>0</v>
      </c>
      <c r="P62" s="1345"/>
      <c r="Q62" s="1345"/>
      <c r="R62" s="1345">
        <v>636.13269491999984</v>
      </c>
      <c r="S62" s="1089"/>
      <c r="T62" s="1799"/>
      <c r="U62" s="1345">
        <v>128.19954285</v>
      </c>
      <c r="V62" s="1345">
        <v>141.13255587999998</v>
      </c>
      <c r="W62" s="1429">
        <v>2047.7237925299996</v>
      </c>
    </row>
    <row r="63" spans="2:23" ht="15" customHeight="1">
      <c r="B63" s="1162" t="s">
        <v>340</v>
      </c>
      <c r="C63" s="1344">
        <v>1.5783188500000001</v>
      </c>
      <c r="D63" s="1345">
        <v>3.6916730000000002</v>
      </c>
      <c r="E63" s="1345">
        <v>224.74884490671235</v>
      </c>
      <c r="F63" s="1345">
        <v>145.3277382</v>
      </c>
      <c r="G63" s="1345">
        <v>2.4250219999999998</v>
      </c>
      <c r="H63" s="1345">
        <v>0</v>
      </c>
      <c r="I63" s="1345">
        <v>288.88852360328769</v>
      </c>
      <c r="J63" s="1346">
        <v>32.177534999999999</v>
      </c>
      <c r="K63" s="1346">
        <v>0</v>
      </c>
      <c r="L63" s="1346">
        <v>0</v>
      </c>
      <c r="M63" s="1345">
        <v>428.23871874000002</v>
      </c>
      <c r="N63" s="1345">
        <v>0</v>
      </c>
      <c r="P63" s="1345"/>
      <c r="Q63" s="1345"/>
      <c r="R63" s="1345">
        <v>579.43065028999979</v>
      </c>
      <c r="S63" s="1089"/>
      <c r="T63" s="1799"/>
      <c r="U63" s="1345">
        <v>139.07932474</v>
      </c>
      <c r="V63" s="1345">
        <v>143.65489970000002</v>
      </c>
      <c r="W63" s="1429">
        <v>1989.2412490299996</v>
      </c>
    </row>
    <row r="64" spans="2:23" ht="15" customHeight="1">
      <c r="B64" s="1162" t="s">
        <v>341</v>
      </c>
      <c r="C64" s="1344">
        <v>1.8883973600000001</v>
      </c>
      <c r="D64" s="1345">
        <v>2.8737339999999998</v>
      </c>
      <c r="E64" s="1345">
        <v>245.59379356671229</v>
      </c>
      <c r="F64" s="1345">
        <v>92.556024379999997</v>
      </c>
      <c r="G64" s="1345">
        <v>20.786489</v>
      </c>
      <c r="H64" s="1345">
        <v>0</v>
      </c>
      <c r="I64" s="1345">
        <v>291.13838739328764</v>
      </c>
      <c r="J64" s="1346">
        <v>31.211238000000002</v>
      </c>
      <c r="K64" s="1346">
        <v>0</v>
      </c>
      <c r="L64" s="1346">
        <v>0</v>
      </c>
      <c r="M64" s="1345">
        <v>430.29812374199997</v>
      </c>
      <c r="N64" s="1345">
        <v>0</v>
      </c>
      <c r="P64" s="1345"/>
      <c r="Q64" s="1345"/>
      <c r="R64" s="1345">
        <v>650.23944948999986</v>
      </c>
      <c r="S64" s="1089"/>
      <c r="T64" s="1799"/>
      <c r="U64" s="1345">
        <v>148.08213816</v>
      </c>
      <c r="V64" s="1345">
        <v>144.42264295999999</v>
      </c>
      <c r="W64" s="1429">
        <v>2059.0904180519997</v>
      </c>
    </row>
    <row r="65" spans="2:23" ht="15" customHeight="1">
      <c r="B65" s="1162" t="s">
        <v>342</v>
      </c>
      <c r="C65" s="1344">
        <v>4.8811803300000003</v>
      </c>
      <c r="D65" s="1345">
        <v>2.1475577700000001</v>
      </c>
      <c r="E65" s="1345">
        <v>220.02635236</v>
      </c>
      <c r="F65" s="1345">
        <v>95.779537310000009</v>
      </c>
      <c r="G65" s="1345">
        <v>11.937654</v>
      </c>
      <c r="H65" s="1345">
        <v>0</v>
      </c>
      <c r="I65" s="1345">
        <v>318.86889294000002</v>
      </c>
      <c r="J65" s="1346">
        <v>30.238261000000001</v>
      </c>
      <c r="K65" s="1346">
        <v>0</v>
      </c>
      <c r="L65" s="1346">
        <v>0</v>
      </c>
      <c r="M65" s="1345">
        <v>427.7044846</v>
      </c>
      <c r="N65" s="1345">
        <v>0</v>
      </c>
      <c r="P65" s="1345"/>
      <c r="Q65" s="1345"/>
      <c r="R65" s="1345">
        <v>639.80487536545206</v>
      </c>
      <c r="S65" s="1089"/>
      <c r="T65" s="1799"/>
      <c r="U65" s="1345">
        <v>154.17862755000002</v>
      </c>
      <c r="V65" s="1345">
        <v>146.97223378999999</v>
      </c>
      <c r="W65" s="1429">
        <v>2052.5396570154521</v>
      </c>
    </row>
    <row r="66" spans="2:23" ht="15" customHeight="1">
      <c r="B66" s="1162" t="s">
        <v>343</v>
      </c>
      <c r="C66" s="1344">
        <v>3.5765136099999997</v>
      </c>
      <c r="D66" s="1345">
        <v>2.8669969699999993</v>
      </c>
      <c r="E66" s="1345">
        <v>243.30128004652394</v>
      </c>
      <c r="F66" s="1345">
        <v>35.679583038818542</v>
      </c>
      <c r="G66" s="1345">
        <v>10.448462839999999</v>
      </c>
      <c r="H66" s="1345">
        <v>0</v>
      </c>
      <c r="I66" s="1345">
        <v>320.6736380646575</v>
      </c>
      <c r="J66" s="1346">
        <v>28.904847465600003</v>
      </c>
      <c r="K66" s="1346">
        <v>0</v>
      </c>
      <c r="L66" s="1346">
        <v>0</v>
      </c>
      <c r="M66" s="1345">
        <v>433.50650429109862</v>
      </c>
      <c r="N66" s="1345">
        <v>0</v>
      </c>
      <c r="P66" s="1345"/>
      <c r="Q66" s="1345"/>
      <c r="R66" s="1345">
        <v>635.70470110439987</v>
      </c>
      <c r="S66" s="1089"/>
      <c r="T66" s="1799"/>
      <c r="U66" s="1345">
        <v>148.02310708491137</v>
      </c>
      <c r="V66" s="1345">
        <v>145.83776791957999</v>
      </c>
      <c r="W66" s="1429">
        <v>2008.5234024355898</v>
      </c>
    </row>
    <row r="67" spans="2:23" ht="15" customHeight="1">
      <c r="B67" s="1162" t="s">
        <v>344</v>
      </c>
      <c r="C67" s="1344">
        <v>2.3233848965222177</v>
      </c>
      <c r="D67" s="1345">
        <v>4.3415856934777812</v>
      </c>
      <c r="E67" s="1345">
        <v>157.44679424559598</v>
      </c>
      <c r="F67" s="1345">
        <v>121.323343704404</v>
      </c>
      <c r="G67" s="1345">
        <v>10.4439797</v>
      </c>
      <c r="H67" s="1345">
        <v>0</v>
      </c>
      <c r="I67" s="1345">
        <v>339.44485166000004</v>
      </c>
      <c r="J67" s="1346">
        <v>27.977053641600001</v>
      </c>
      <c r="K67" s="1346">
        <v>0</v>
      </c>
      <c r="L67" s="1346">
        <v>0</v>
      </c>
      <c r="M67" s="1345">
        <v>444.79858976999998</v>
      </c>
      <c r="N67" s="1345">
        <v>0</v>
      </c>
      <c r="P67" s="1345"/>
      <c r="Q67" s="1345"/>
      <c r="R67" s="1345">
        <v>645.88944273840013</v>
      </c>
      <c r="S67" s="1089"/>
      <c r="T67" s="1799"/>
      <c r="U67" s="1345">
        <v>179.69133234921003</v>
      </c>
      <c r="V67" s="1345">
        <v>151.9018409693</v>
      </c>
      <c r="W67" s="1429">
        <v>2085.5821993685099</v>
      </c>
    </row>
    <row r="68" spans="2:23" ht="15" customHeight="1">
      <c r="B68" s="1064"/>
      <c r="C68" s="1476"/>
      <c r="D68" s="1064"/>
      <c r="E68" s="1477"/>
      <c r="F68" s="1064"/>
      <c r="G68" s="1477"/>
      <c r="H68" s="1064"/>
      <c r="I68" s="1477"/>
      <c r="J68" s="1064"/>
      <c r="K68" s="1477"/>
      <c r="L68" s="1064"/>
      <c r="M68" s="1477"/>
      <c r="N68" s="1064"/>
      <c r="P68" s="1345"/>
      <c r="Q68" s="1345"/>
      <c r="R68" s="1345"/>
      <c r="S68" s="1089"/>
      <c r="T68" s="1477"/>
      <c r="U68" s="1064"/>
      <c r="V68" s="1477"/>
      <c r="W68" s="1064"/>
    </row>
    <row r="69" spans="2:23" ht="15" customHeight="1">
      <c r="B69" s="1201">
        <v>2019</v>
      </c>
      <c r="C69" s="1476"/>
      <c r="D69" s="1064"/>
      <c r="E69" s="1477"/>
      <c r="F69" s="1064"/>
      <c r="G69" s="1477"/>
      <c r="H69" s="1064"/>
      <c r="I69" s="1477"/>
      <c r="J69" s="1064"/>
      <c r="K69" s="1477"/>
      <c r="L69" s="1064"/>
      <c r="M69" s="1477"/>
      <c r="N69" s="1064"/>
      <c r="P69" s="1345"/>
      <c r="Q69" s="1345"/>
      <c r="R69" s="1345"/>
      <c r="S69" s="1089"/>
      <c r="T69" s="1477"/>
      <c r="U69" s="1064"/>
      <c r="V69" s="1477"/>
      <c r="W69" s="1064"/>
    </row>
    <row r="70" spans="2:23" ht="15" customHeight="1">
      <c r="B70" s="1165" t="s">
        <v>345</v>
      </c>
      <c r="C70" s="1476">
        <v>6.3076442742002206</v>
      </c>
      <c r="D70" s="1167">
        <v>4.6404231657997821</v>
      </c>
      <c r="E70" s="1477">
        <v>108.16581182834351</v>
      </c>
      <c r="F70" s="1167">
        <v>63.545043561656477</v>
      </c>
      <c r="G70" s="1477">
        <v>10.871303259999999</v>
      </c>
      <c r="H70" s="1345">
        <v>0</v>
      </c>
      <c r="I70" s="1477">
        <v>343.79486373999998</v>
      </c>
      <c r="J70" s="1167">
        <v>27.279230784000003</v>
      </c>
      <c r="K70" s="1477">
        <v>33.566210040000001</v>
      </c>
      <c r="L70" s="1345">
        <v>0</v>
      </c>
      <c r="M70" s="1477">
        <v>437.9938525804186</v>
      </c>
      <c r="N70" s="1345">
        <v>0</v>
      </c>
      <c r="P70" s="1345"/>
      <c r="Q70" s="1345"/>
      <c r="R70" s="1345">
        <v>649.2619233336145</v>
      </c>
      <c r="S70" s="1089"/>
      <c r="T70" s="1477"/>
      <c r="U70" s="1167">
        <v>136.68288541891613</v>
      </c>
      <c r="V70" s="1477">
        <v>151.23954975930002</v>
      </c>
      <c r="W70" s="1429">
        <v>1973.3487417462493</v>
      </c>
    </row>
    <row r="71" spans="2:23" ht="15" customHeight="1">
      <c r="B71" s="1165" t="s">
        <v>334</v>
      </c>
      <c r="C71" s="1476">
        <v>5.3545368399999997</v>
      </c>
      <c r="D71" s="1167">
        <v>17.571130830324996</v>
      </c>
      <c r="E71" s="1477">
        <v>120.60523952</v>
      </c>
      <c r="F71" s="1167">
        <v>62.83705217888064</v>
      </c>
      <c r="G71" s="1477">
        <v>18.14698929</v>
      </c>
      <c r="H71" s="1345">
        <v>0</v>
      </c>
      <c r="I71" s="1477">
        <v>339.63143181931497</v>
      </c>
      <c r="J71" s="1167">
        <v>26.541454896000001</v>
      </c>
      <c r="K71" s="1477">
        <v>0</v>
      </c>
      <c r="L71" s="1345">
        <v>0</v>
      </c>
      <c r="M71" s="1477">
        <v>416.14161847201837</v>
      </c>
      <c r="N71" s="1345">
        <v>0</v>
      </c>
      <c r="P71" s="1345"/>
      <c r="Q71" s="1345"/>
      <c r="R71" s="1345">
        <v>696.14663836795819</v>
      </c>
      <c r="S71" s="1089"/>
      <c r="T71" s="1477"/>
      <c r="U71" s="1167">
        <v>171.05923363478644</v>
      </c>
      <c r="V71" s="1477">
        <v>156.74579104929998</v>
      </c>
      <c r="W71" s="1429">
        <v>2030.7811168985832</v>
      </c>
    </row>
    <row r="72" spans="2:23" ht="15" customHeight="1">
      <c r="B72" s="1345" t="s">
        <v>335</v>
      </c>
      <c r="C72" s="1476">
        <v>2.5585863278102798</v>
      </c>
      <c r="D72" s="1167">
        <v>18.00471086453744</v>
      </c>
      <c r="E72" s="1477">
        <v>126.33432754923999</v>
      </c>
      <c r="F72" s="1167">
        <v>38.61862269256001</v>
      </c>
      <c r="G72" s="1477">
        <v>23.875318739999997</v>
      </c>
      <c r="H72" s="1345">
        <v>0</v>
      </c>
      <c r="I72" s="1477">
        <v>331.6764518250904</v>
      </c>
      <c r="J72" s="1167">
        <v>25.549845167999997</v>
      </c>
      <c r="K72" s="1477">
        <v>0</v>
      </c>
      <c r="L72" s="1345">
        <v>0</v>
      </c>
      <c r="M72" s="1477">
        <v>415.05478435240008</v>
      </c>
      <c r="N72" s="1345">
        <v>0</v>
      </c>
      <c r="P72" s="1345"/>
      <c r="Q72" s="1345"/>
      <c r="R72" s="1345">
        <v>710.11651427954098</v>
      </c>
      <c r="S72" s="1089"/>
      <c r="T72" s="1477"/>
      <c r="U72" s="1167">
        <v>172.05827683749703</v>
      </c>
      <c r="V72" s="1477">
        <v>207.39741846921584</v>
      </c>
      <c r="W72" s="1429">
        <v>2071.2448571058922</v>
      </c>
    </row>
    <row r="73" spans="2:23" ht="15" customHeight="1">
      <c r="B73" s="1056" t="s">
        <v>336</v>
      </c>
      <c r="C73" s="1476">
        <v>3.6935314796000003</v>
      </c>
      <c r="D73" s="1167">
        <v>30.567186039999999</v>
      </c>
      <c r="E73" s="1477">
        <v>220.27798597999998</v>
      </c>
      <c r="F73" s="1167">
        <v>84.962383389999957</v>
      </c>
      <c r="G73" s="1477">
        <v>47.579367020000007</v>
      </c>
      <c r="H73" s="1345">
        <v>0</v>
      </c>
      <c r="I73" s="1477">
        <v>271.57170601999997</v>
      </c>
      <c r="J73" s="1167">
        <v>24.958767724799998</v>
      </c>
      <c r="K73" s="1477">
        <v>0</v>
      </c>
      <c r="L73" s="1345">
        <v>0</v>
      </c>
      <c r="M73" s="1477">
        <v>414.09566166979988</v>
      </c>
      <c r="N73" s="1345">
        <v>0</v>
      </c>
      <c r="P73" s="1345"/>
      <c r="Q73" s="1345"/>
      <c r="R73" s="1345">
        <v>704.97506963540013</v>
      </c>
      <c r="S73" s="1089"/>
      <c r="T73" s="1477"/>
      <c r="U73" s="1167">
        <v>169.00111322519001</v>
      </c>
      <c r="V73" s="1477">
        <v>276.16120988930004</v>
      </c>
      <c r="W73" s="1429">
        <v>2247.84398207409</v>
      </c>
    </row>
    <row r="74" spans="2:23" ht="15" customHeight="1">
      <c r="B74" s="1056" t="s">
        <v>337</v>
      </c>
      <c r="C74" s="1476">
        <v>3.9484706100000002</v>
      </c>
      <c r="D74" s="1167">
        <v>38.36368792999999</v>
      </c>
      <c r="E74" s="1477">
        <v>162.15442554000001</v>
      </c>
      <c r="F74" s="1167">
        <v>115.37577066000004</v>
      </c>
      <c r="G74" s="1477">
        <v>138.96303957000001</v>
      </c>
      <c r="H74" s="1345">
        <v>0</v>
      </c>
      <c r="I74" s="1477">
        <v>345.52427395999996</v>
      </c>
      <c r="J74" s="1167">
        <v>23.872934151499997</v>
      </c>
      <c r="K74" s="1477">
        <v>0</v>
      </c>
      <c r="L74" s="1345">
        <v>0</v>
      </c>
      <c r="M74" s="1477">
        <v>406.19024984980001</v>
      </c>
      <c r="N74" s="1345">
        <v>0</v>
      </c>
      <c r="P74" s="1345"/>
      <c r="Q74" s="1345"/>
      <c r="R74" s="1345">
        <v>776.55667686850006</v>
      </c>
      <c r="S74" s="1089"/>
      <c r="T74" s="1477"/>
      <c r="U74" s="1167">
        <v>165.67192156000002</v>
      </c>
      <c r="V74" s="1477">
        <v>363.44162458999995</v>
      </c>
      <c r="W74" s="1429">
        <v>2540.0630752897996</v>
      </c>
    </row>
    <row r="75" spans="2:23" ht="15" customHeight="1">
      <c r="B75" s="1056" t="s">
        <v>338</v>
      </c>
      <c r="C75" s="1476">
        <v>6.2758195800000012</v>
      </c>
      <c r="D75" s="1167">
        <v>69.766634809999999</v>
      </c>
      <c r="E75" s="1477">
        <v>361.62494043999993</v>
      </c>
      <c r="F75" s="1167">
        <v>144.45872123000001</v>
      </c>
      <c r="G75" s="1477">
        <v>132.42871597999999</v>
      </c>
      <c r="H75" s="1345">
        <v>0</v>
      </c>
      <c r="I75" s="1477">
        <v>265.78195575000001</v>
      </c>
      <c r="J75" s="1167">
        <v>22.585077937499999</v>
      </c>
      <c r="K75" s="1477">
        <v>0</v>
      </c>
      <c r="L75" s="1345">
        <v>0</v>
      </c>
      <c r="M75" s="1477">
        <v>421.7402679502718</v>
      </c>
      <c r="N75" s="1345">
        <v>0</v>
      </c>
      <c r="P75" s="1345"/>
      <c r="Q75" s="1345"/>
      <c r="R75" s="1345">
        <v>873.55971740951043</v>
      </c>
      <c r="S75" s="1089"/>
      <c r="T75" s="1477"/>
      <c r="U75" s="1167">
        <v>210.4987623685401</v>
      </c>
      <c r="V75" s="1477">
        <v>473.04867900929952</v>
      </c>
      <c r="W75" s="1429">
        <v>2981.7692924651219</v>
      </c>
    </row>
    <row r="76" spans="2:23" ht="15" customHeight="1">
      <c r="B76" s="1056" t="s">
        <v>339</v>
      </c>
      <c r="C76" s="1476">
        <v>6.4965567900000005</v>
      </c>
      <c r="D76" s="1167">
        <v>174.72341721000001</v>
      </c>
      <c r="E76" s="1477">
        <v>473.90751259999996</v>
      </c>
      <c r="F76" s="1167">
        <v>89.70022634</v>
      </c>
      <c r="G76" s="1477">
        <v>131.13276884000001</v>
      </c>
      <c r="H76" s="1345">
        <v>0</v>
      </c>
      <c r="I76" s="1477">
        <v>258.29934491</v>
      </c>
      <c r="J76" s="1167">
        <v>22.1912677115</v>
      </c>
      <c r="K76" s="1477">
        <v>0</v>
      </c>
      <c r="L76" s="1345">
        <v>0</v>
      </c>
      <c r="M76" s="1477">
        <v>416.02932235000003</v>
      </c>
      <c r="N76" s="1345">
        <v>0</v>
      </c>
      <c r="P76" s="1345"/>
      <c r="Q76" s="1345"/>
      <c r="R76" s="1345">
        <v>934.62322324500008</v>
      </c>
      <c r="S76" s="1089"/>
      <c r="T76" s="1477"/>
      <c r="U76" s="1167">
        <v>203.11436972518999</v>
      </c>
      <c r="V76" s="1477">
        <v>565.58357843929991</v>
      </c>
      <c r="W76" s="1429">
        <v>3275.8015881609899</v>
      </c>
    </row>
    <row r="77" spans="2:23" ht="15" customHeight="1">
      <c r="B77" s="1056" t="s">
        <v>340</v>
      </c>
      <c r="C77" s="1476">
        <v>5.5162184399999994</v>
      </c>
      <c r="D77" s="1167">
        <v>94.474853400000001</v>
      </c>
      <c r="E77" s="1477">
        <v>757.95643978999999</v>
      </c>
      <c r="F77" s="1167">
        <v>60.550391340000004</v>
      </c>
      <c r="G77" s="1477">
        <v>115.49317000000001</v>
      </c>
      <c r="H77" s="1345">
        <v>0</v>
      </c>
      <c r="I77" s="1477">
        <v>247.36006825999999</v>
      </c>
      <c r="J77" s="1167">
        <v>21.476908999999999</v>
      </c>
      <c r="K77" s="1477">
        <v>0</v>
      </c>
      <c r="L77" s="1345">
        <v>0</v>
      </c>
      <c r="M77" s="1477">
        <v>418.12731353311096</v>
      </c>
      <c r="N77" s="1345">
        <v>0</v>
      </c>
      <c r="P77" s="1345"/>
      <c r="Q77" s="1345"/>
      <c r="R77" s="1345">
        <v>970.57128964965113</v>
      </c>
      <c r="S77" s="1089"/>
      <c r="T77" s="1477"/>
      <c r="U77" s="1167">
        <v>345.06323689326933</v>
      </c>
      <c r="V77" s="1477">
        <v>567.62401406310812</v>
      </c>
      <c r="W77" s="1429">
        <v>3604.2139043691395</v>
      </c>
    </row>
    <row r="78" spans="2:23" ht="15" customHeight="1">
      <c r="B78" s="1056" t="s">
        <v>341</v>
      </c>
      <c r="C78" s="1476">
        <v>15.802271320000004</v>
      </c>
      <c r="D78" s="1167">
        <v>180.27528000000001</v>
      </c>
      <c r="E78" s="1477">
        <v>831.84319082999991</v>
      </c>
      <c r="F78" s="1167">
        <v>195.37097685000001</v>
      </c>
      <c r="G78" s="1477">
        <v>104.16400481999999</v>
      </c>
      <c r="H78" s="1345">
        <v>0</v>
      </c>
      <c r="I78" s="1477">
        <v>267.55691560000002</v>
      </c>
      <c r="J78" s="1167">
        <v>20.944333</v>
      </c>
      <c r="K78" s="1477">
        <v>0</v>
      </c>
      <c r="L78" s="1345">
        <v>0</v>
      </c>
      <c r="M78" s="1477">
        <v>499.12278943454146</v>
      </c>
      <c r="N78" s="1345">
        <v>0</v>
      </c>
      <c r="P78" s="1345"/>
      <c r="Q78" s="1345"/>
      <c r="R78" s="1345">
        <v>1137.5603017112658</v>
      </c>
      <c r="S78" s="1089"/>
      <c r="T78" s="1477"/>
      <c r="U78" s="1167">
        <v>528.76696381613499</v>
      </c>
      <c r="V78" s="1477">
        <v>1042.166636726708</v>
      </c>
      <c r="W78" s="1429">
        <v>4823.5736641086505</v>
      </c>
    </row>
    <row r="79" spans="2:23" ht="15" customHeight="1">
      <c r="B79" s="1056" t="s">
        <v>342</v>
      </c>
      <c r="C79" s="1476">
        <v>6.2498510300000012</v>
      </c>
      <c r="D79" s="1167">
        <v>198.72080753999998</v>
      </c>
      <c r="E79" s="1477">
        <v>997.17498660000001</v>
      </c>
      <c r="F79" s="1167">
        <v>72.179975079999991</v>
      </c>
      <c r="G79" s="1477">
        <v>243.69303449</v>
      </c>
      <c r="H79" s="1345">
        <v>0</v>
      </c>
      <c r="I79" s="1477">
        <v>268.77217954999998</v>
      </c>
      <c r="J79" s="1167">
        <v>20.191489000000001</v>
      </c>
      <c r="K79" s="1477">
        <v>0</v>
      </c>
      <c r="L79" s="1345">
        <v>0</v>
      </c>
      <c r="M79" s="1477">
        <v>429.77463847960536</v>
      </c>
      <c r="N79" s="1345">
        <v>0</v>
      </c>
      <c r="P79" s="1345"/>
      <c r="Q79" s="1345"/>
      <c r="R79" s="1345">
        <v>1286.7223419606576</v>
      </c>
      <c r="S79" s="1089"/>
      <c r="T79" s="1477"/>
      <c r="U79" s="1167">
        <v>503.44984605296696</v>
      </c>
      <c r="V79" s="1477">
        <v>1069.2957667467081</v>
      </c>
      <c r="W79" s="1429">
        <v>5096.2249165299381</v>
      </c>
    </row>
    <row r="80" spans="2:23" ht="15" customHeight="1">
      <c r="B80" s="1056" t="s">
        <v>343</v>
      </c>
      <c r="C80" s="1476">
        <v>11.862491949999999</v>
      </c>
      <c r="D80" s="1167">
        <v>156.09020169000001</v>
      </c>
      <c r="E80" s="1477">
        <v>872.32013442000004</v>
      </c>
      <c r="F80" s="1167">
        <v>159.69106007350013</v>
      </c>
      <c r="G80" s="1477">
        <v>425.96648793000003</v>
      </c>
      <c r="H80" s="1345">
        <v>0</v>
      </c>
      <c r="I80" s="1477">
        <v>338.56140456650002</v>
      </c>
      <c r="J80" s="1167">
        <v>19.610071236499998</v>
      </c>
      <c r="K80" s="1477">
        <v>0</v>
      </c>
      <c r="L80" s="1345">
        <v>0</v>
      </c>
      <c r="M80" s="1477">
        <v>443.51854795444387</v>
      </c>
      <c r="N80" s="1345">
        <v>0</v>
      </c>
      <c r="P80" s="1345"/>
      <c r="Q80" s="1345"/>
      <c r="R80" s="1345">
        <v>1357.4363290271579</v>
      </c>
      <c r="S80" s="1089"/>
      <c r="T80" s="1477"/>
      <c r="U80" s="1167">
        <v>575.77050822369301</v>
      </c>
      <c r="V80" s="1477">
        <v>1068.7322334052392</v>
      </c>
      <c r="W80" s="1429">
        <v>5429.5594704770338</v>
      </c>
    </row>
    <row r="81" spans="2:23" ht="15" customHeight="1">
      <c r="B81" s="1056" t="s">
        <v>344</v>
      </c>
      <c r="C81" s="1476">
        <v>9.2415874700000007</v>
      </c>
      <c r="D81" s="1167">
        <v>223.87775300000001</v>
      </c>
      <c r="E81" s="1477">
        <v>1016.94455357</v>
      </c>
      <c r="F81" s="1167">
        <v>317.41359949999998</v>
      </c>
      <c r="G81" s="1477">
        <v>492.25393600000001</v>
      </c>
      <c r="H81" s="1345">
        <v>0</v>
      </c>
      <c r="I81" s="1477">
        <v>308.34452756000002</v>
      </c>
      <c r="J81" s="1167">
        <v>18.213149000000001</v>
      </c>
      <c r="K81" s="1477">
        <v>0</v>
      </c>
      <c r="L81" s="1345">
        <v>0</v>
      </c>
      <c r="M81" s="1477">
        <v>454.54697393999999</v>
      </c>
      <c r="N81" s="1345">
        <v>0</v>
      </c>
      <c r="P81" s="1345"/>
      <c r="Q81" s="1345"/>
      <c r="R81" s="1345">
        <v>1413.4810930512658</v>
      </c>
      <c r="S81" s="1089"/>
      <c r="T81" s="1477"/>
      <c r="U81" s="1167">
        <v>700.57329854</v>
      </c>
      <c r="V81" s="1477">
        <v>1469.9668936499997</v>
      </c>
      <c r="W81" s="1429">
        <v>6424.8573652812665</v>
      </c>
    </row>
    <row r="82" spans="2:23" ht="15" customHeight="1">
      <c r="B82" s="1782"/>
      <c r="C82" s="1476"/>
      <c r="D82" s="1783"/>
      <c r="E82" s="1477"/>
      <c r="F82" s="1783"/>
      <c r="G82" s="1477"/>
      <c r="H82" s="1784"/>
      <c r="I82" s="1477"/>
      <c r="J82" s="1783"/>
      <c r="K82" s="1477"/>
      <c r="L82" s="1784"/>
      <c r="M82" s="1477"/>
      <c r="N82" s="1784"/>
      <c r="P82" s="1345"/>
      <c r="Q82" s="1345"/>
      <c r="R82" s="1345"/>
      <c r="S82" s="1089"/>
      <c r="T82" s="1477"/>
      <c r="U82" s="1783"/>
      <c r="V82" s="1477"/>
      <c r="W82" s="1785"/>
    </row>
    <row r="83" spans="2:23" ht="15" customHeight="1">
      <c r="B83" s="1201">
        <v>2020</v>
      </c>
      <c r="C83" s="1476"/>
      <c r="D83" s="1783"/>
      <c r="E83" s="1477"/>
      <c r="F83" s="1783"/>
      <c r="G83" s="1477"/>
      <c r="H83" s="1784"/>
      <c r="I83" s="1477"/>
      <c r="J83" s="1783"/>
      <c r="K83" s="1477"/>
      <c r="L83" s="1784"/>
      <c r="M83" s="1477"/>
      <c r="N83" s="1784"/>
      <c r="P83" s="1345"/>
      <c r="Q83" s="1345"/>
      <c r="R83" s="1345"/>
      <c r="S83" s="1089"/>
      <c r="T83" s="1477"/>
      <c r="U83" s="1783"/>
      <c r="V83" s="1477"/>
      <c r="W83" s="1785"/>
    </row>
    <row r="84" spans="2:23" ht="15" customHeight="1">
      <c r="B84" s="1056" t="s">
        <v>345</v>
      </c>
      <c r="C84" s="1476">
        <v>16.31808513</v>
      </c>
      <c r="D84" s="1167">
        <v>322.28498361000004</v>
      </c>
      <c r="E84" s="1477">
        <v>1106.8074879800001</v>
      </c>
      <c r="F84" s="1167">
        <v>361.75885392999999</v>
      </c>
      <c r="G84" s="1477">
        <v>421.77825460000003</v>
      </c>
      <c r="H84" s="1345">
        <v>0</v>
      </c>
      <c r="I84" s="1477">
        <v>283.03466255000001</v>
      </c>
      <c r="J84" s="1167">
        <v>20.135463000000001</v>
      </c>
      <c r="K84" s="1477">
        <v>0</v>
      </c>
      <c r="L84" s="1345">
        <v>0</v>
      </c>
      <c r="M84" s="1477">
        <v>478.22871228070636</v>
      </c>
      <c r="N84" s="1345">
        <v>0</v>
      </c>
      <c r="P84" s="1345"/>
      <c r="Q84" s="1345"/>
      <c r="R84" s="1345">
        <v>1498.8484463227503</v>
      </c>
      <c r="S84" s="1089"/>
      <c r="T84" s="1477"/>
      <c r="U84" s="1167">
        <v>717.50976610492751</v>
      </c>
      <c r="V84" s="1477">
        <v>1552.8250838727822</v>
      </c>
      <c r="W84" s="1429">
        <v>6779.5297993811673</v>
      </c>
    </row>
    <row r="85" spans="2:23" ht="15" customHeight="1">
      <c r="B85" s="1056" t="s">
        <v>334</v>
      </c>
      <c r="C85" s="1476">
        <v>14.45691397</v>
      </c>
      <c r="D85" s="1167">
        <v>368.22478000000001</v>
      </c>
      <c r="E85" s="1477">
        <v>977.15740159999996</v>
      </c>
      <c r="F85" s="1167">
        <v>612.48883158000001</v>
      </c>
      <c r="G85" s="1477">
        <v>370.481176</v>
      </c>
      <c r="H85" s="1345">
        <v>0</v>
      </c>
      <c r="I85" s="1477">
        <v>357.05419319999999</v>
      </c>
      <c r="J85" s="1167">
        <v>20.142821000000001</v>
      </c>
      <c r="K85" s="1477">
        <v>0</v>
      </c>
      <c r="L85" s="1345">
        <v>1.463317</v>
      </c>
      <c r="M85" s="1477">
        <v>503.61512397000001</v>
      </c>
      <c r="N85" s="1345">
        <v>0</v>
      </c>
      <c r="P85" s="1345"/>
      <c r="Q85" s="1345"/>
      <c r="R85" s="1345">
        <v>2097.7126973099998</v>
      </c>
      <c r="S85" s="1089"/>
      <c r="T85" s="1477"/>
      <c r="U85" s="1167">
        <v>735.87934955999992</v>
      </c>
      <c r="V85" s="1477">
        <v>1538.75062877</v>
      </c>
      <c r="W85" s="1429">
        <v>7597.4272339599993</v>
      </c>
    </row>
    <row r="86" spans="2:23" ht="15" customHeight="1">
      <c r="B86" s="1056" t="s">
        <v>335</v>
      </c>
      <c r="C86" s="1476">
        <v>20.06441074</v>
      </c>
      <c r="D86" s="1167">
        <v>529.41734685000006</v>
      </c>
      <c r="E86" s="1477">
        <v>1423.7479273447302</v>
      </c>
      <c r="F86" s="1167">
        <v>261.79635328660009</v>
      </c>
      <c r="G86" s="1477">
        <v>282.62344139000004</v>
      </c>
      <c r="H86" s="1345">
        <v>0</v>
      </c>
      <c r="I86" s="1477">
        <v>341.59702269999997</v>
      </c>
      <c r="J86" s="1167">
        <v>19.236160851499999</v>
      </c>
      <c r="K86" s="1477">
        <v>0</v>
      </c>
      <c r="L86" s="1345">
        <v>0.55101169999999999</v>
      </c>
      <c r="M86" s="1477">
        <v>526.37224252799035</v>
      </c>
      <c r="N86" s="1345">
        <v>0</v>
      </c>
      <c r="P86" s="1345"/>
      <c r="Q86" s="1345"/>
      <c r="R86" s="1345">
        <v>2406.4194173750948</v>
      </c>
      <c r="S86" s="1089"/>
      <c r="T86" s="1477"/>
      <c r="U86" s="1167">
        <v>1165.5757753645044</v>
      </c>
      <c r="V86" s="1477">
        <v>1914.0751650328616</v>
      </c>
      <c r="W86" s="1429">
        <v>8891.4762751632825</v>
      </c>
    </row>
    <row r="87" spans="2:23" ht="15" customHeight="1">
      <c r="B87" s="1056" t="s">
        <v>336</v>
      </c>
      <c r="C87" s="1476">
        <v>33.086055819999999</v>
      </c>
      <c r="D87" s="1167">
        <v>493.06123673000002</v>
      </c>
      <c r="E87" s="1477">
        <v>914.20145298</v>
      </c>
      <c r="F87" s="1167">
        <v>232.07614701660017</v>
      </c>
      <c r="G87" s="1477">
        <v>384.93541313999998</v>
      </c>
      <c r="H87" s="1345">
        <v>0</v>
      </c>
      <c r="I87" s="1477">
        <v>424.27115563000001</v>
      </c>
      <c r="J87" s="1167">
        <v>18.098164667499997</v>
      </c>
      <c r="K87" s="1477">
        <v>0</v>
      </c>
      <c r="L87" s="1345">
        <v>0</v>
      </c>
      <c r="M87" s="1477">
        <v>525.91419854444382</v>
      </c>
      <c r="N87" s="1345">
        <v>0</v>
      </c>
      <c r="P87" s="1345"/>
      <c r="Q87" s="1345"/>
      <c r="R87" s="1345">
        <v>2568.2437667217091</v>
      </c>
      <c r="S87" s="1089"/>
      <c r="T87" s="1477"/>
      <c r="U87" s="1167">
        <v>1528.4608566493189</v>
      </c>
      <c r="V87" s="1477">
        <v>2134.4145967831</v>
      </c>
      <c r="W87" s="1429">
        <v>9256.7630446826734</v>
      </c>
    </row>
    <row r="88" spans="2:23" ht="15" customHeight="1">
      <c r="B88" s="1056" t="s">
        <v>337</v>
      </c>
      <c r="C88" s="1476">
        <v>39.737946690000001</v>
      </c>
      <c r="D88" s="1167">
        <v>434.68416130000003</v>
      </c>
      <c r="E88" s="1477">
        <v>1248.4361408200002</v>
      </c>
      <c r="F88" s="1167">
        <v>192.34791262000007</v>
      </c>
      <c r="G88" s="1477">
        <v>724.95463275999998</v>
      </c>
      <c r="H88" s="1345">
        <v>0</v>
      </c>
      <c r="I88" s="1477">
        <v>382.37986238999997</v>
      </c>
      <c r="J88" s="1167">
        <v>16.964146779500002</v>
      </c>
      <c r="K88" s="1477">
        <v>0</v>
      </c>
      <c r="L88" s="1345">
        <v>0</v>
      </c>
      <c r="M88" s="1477">
        <v>517.64780205738487</v>
      </c>
      <c r="N88" s="1345">
        <v>0</v>
      </c>
      <c r="P88" s="1345"/>
      <c r="Q88" s="1345"/>
      <c r="R88" s="1345">
        <v>2793.4237804248687</v>
      </c>
      <c r="S88" s="1089"/>
      <c r="T88" s="1477"/>
      <c r="U88" s="1167">
        <v>2669.5847369719859</v>
      </c>
      <c r="V88" s="1477">
        <v>2146.1218700939316</v>
      </c>
      <c r="W88" s="1429">
        <v>11166.282992907672</v>
      </c>
    </row>
    <row r="89" spans="2:23" ht="15" customHeight="1">
      <c r="B89" s="1056" t="s">
        <v>338</v>
      </c>
      <c r="C89" s="1476">
        <v>88.655525619999992</v>
      </c>
      <c r="D89" s="1167">
        <v>1167.8596773040001</v>
      </c>
      <c r="E89" s="1477">
        <v>2857.7940535520002</v>
      </c>
      <c r="F89" s="1167">
        <v>395.92462782999979</v>
      </c>
      <c r="G89" s="1477">
        <v>1221.9617454500001</v>
      </c>
      <c r="H89" s="1345">
        <v>0</v>
      </c>
      <c r="I89" s="1477">
        <v>385.44257092999999</v>
      </c>
      <c r="J89" s="1167">
        <v>13.816342784</v>
      </c>
      <c r="K89" s="1477">
        <v>0</v>
      </c>
      <c r="L89" s="1345">
        <v>0</v>
      </c>
      <c r="M89" s="1477">
        <v>653.40442494044407</v>
      </c>
      <c r="N89" s="1345">
        <v>0</v>
      </c>
      <c r="P89" s="1345"/>
      <c r="Q89" s="1345"/>
      <c r="R89" s="1345">
        <v>4663.9293970949038</v>
      </c>
      <c r="S89" s="1089"/>
      <c r="T89" s="1477"/>
      <c r="U89" s="1167">
        <v>2687.9919109745374</v>
      </c>
      <c r="V89" s="1477">
        <v>4712.0538650429917</v>
      </c>
      <c r="W89" s="1429">
        <v>18848.834141522879</v>
      </c>
    </row>
    <row r="90" spans="2:23" ht="15" customHeight="1">
      <c r="B90" s="1056" t="s">
        <v>339</v>
      </c>
      <c r="C90" s="1476">
        <v>109.08157133000002</v>
      </c>
      <c r="D90" s="1167">
        <v>1780.6514027400001</v>
      </c>
      <c r="E90" s="1477">
        <v>3878.8644734449995</v>
      </c>
      <c r="F90" s="1167">
        <v>1342.8541598299996</v>
      </c>
      <c r="G90" s="1477">
        <v>1879.4158536300001</v>
      </c>
      <c r="H90" s="1345">
        <v>0</v>
      </c>
      <c r="I90" s="1477">
        <v>346.62004066999998</v>
      </c>
      <c r="J90" s="1167">
        <v>13.350621405500002</v>
      </c>
      <c r="K90" s="1477">
        <v>0</v>
      </c>
      <c r="L90" s="1345">
        <v>0</v>
      </c>
      <c r="M90" s="1477">
        <v>585.72905170542765</v>
      </c>
      <c r="N90" s="1345">
        <v>0</v>
      </c>
      <c r="P90" s="1345"/>
      <c r="Q90" s="1345"/>
      <c r="R90" s="1345">
        <v>5647.9652140684011</v>
      </c>
      <c r="S90" s="1089"/>
      <c r="T90" s="1477"/>
      <c r="U90" s="1167">
        <v>3879.4852870361151</v>
      </c>
      <c r="V90" s="1477">
        <v>4927.7328660729445</v>
      </c>
      <c r="W90" s="1429">
        <v>24391.750541933387</v>
      </c>
    </row>
    <row r="91" spans="2:23" ht="15" customHeight="1">
      <c r="B91" s="1056" t="s">
        <v>340</v>
      </c>
      <c r="C91" s="1476">
        <v>142.87196524000001</v>
      </c>
      <c r="D91" s="1167">
        <v>2175.5137653999996</v>
      </c>
      <c r="E91" s="1477">
        <v>4799.2816111900001</v>
      </c>
      <c r="F91" s="1167">
        <v>341.67521413999981</v>
      </c>
      <c r="G91" s="1477">
        <v>2310.6168210199999</v>
      </c>
      <c r="H91" s="1345">
        <v>0</v>
      </c>
      <c r="I91" s="1477">
        <v>294.62713420999995</v>
      </c>
      <c r="J91" s="1167">
        <v>13.124002600999997</v>
      </c>
      <c r="K91" s="1477">
        <v>0</v>
      </c>
      <c r="L91" s="1345">
        <v>0</v>
      </c>
      <c r="M91" s="1477">
        <v>688.74822647999997</v>
      </c>
      <c r="N91" s="1345">
        <v>0</v>
      </c>
      <c r="P91" s="1345"/>
      <c r="Q91" s="1345"/>
      <c r="R91" s="1345">
        <v>6552.0856758025238</v>
      </c>
      <c r="S91" s="1089"/>
      <c r="T91" s="1477"/>
      <c r="U91" s="1167">
        <v>4480.329501799285</v>
      </c>
      <c r="V91" s="1477">
        <v>6104.5644607968961</v>
      </c>
      <c r="W91" s="1429">
        <v>27903.438378679708</v>
      </c>
    </row>
    <row r="92" spans="2:23" ht="15" customHeight="1">
      <c r="B92" s="1056" t="s">
        <v>341</v>
      </c>
      <c r="C92" s="1476">
        <v>179.75997633999998</v>
      </c>
      <c r="D92" s="1167">
        <v>2469.8669639300001</v>
      </c>
      <c r="E92" s="1477">
        <v>4547.0579261872545</v>
      </c>
      <c r="F92" s="1167">
        <v>504.61418220744872</v>
      </c>
      <c r="G92" s="1477">
        <v>1027.7134617199999</v>
      </c>
      <c r="H92" s="1345">
        <v>0</v>
      </c>
      <c r="I92" s="1477">
        <v>218.31149933890683</v>
      </c>
      <c r="J92" s="1167">
        <v>12.8742538235</v>
      </c>
      <c r="K92" s="1477">
        <v>0</v>
      </c>
      <c r="L92" s="1345">
        <v>0.38524590000000003</v>
      </c>
      <c r="M92" s="1477">
        <v>741.50292283414092</v>
      </c>
      <c r="N92" s="1345">
        <v>0</v>
      </c>
      <c r="P92" s="1345"/>
      <c r="Q92" s="1345"/>
      <c r="R92" s="1345">
        <v>6518.3421351514007</v>
      </c>
      <c r="S92" s="1089"/>
      <c r="T92" s="1477"/>
      <c r="U92" s="1167">
        <v>2774.8930942469287</v>
      </c>
      <c r="V92" s="1477">
        <v>6503.7987320573347</v>
      </c>
      <c r="W92" s="1429">
        <v>25499.120393736914</v>
      </c>
    </row>
    <row r="93" spans="2:23" ht="15" customHeight="1">
      <c r="B93" s="1056" t="s">
        <v>342</v>
      </c>
      <c r="C93" s="1476">
        <v>149.09507389000001</v>
      </c>
      <c r="D93" s="1167">
        <v>2786.9718380699992</v>
      </c>
      <c r="E93" s="1477">
        <v>5056.0960046646896</v>
      </c>
      <c r="F93" s="1167">
        <v>778.88737286398964</v>
      </c>
      <c r="G93" s="1477">
        <v>1182.3513753999998</v>
      </c>
      <c r="H93" s="1345">
        <v>0</v>
      </c>
      <c r="I93" s="1477">
        <v>206.47066242113218</v>
      </c>
      <c r="J93" s="1167">
        <v>12.280378347500001</v>
      </c>
      <c r="K93" s="1477">
        <v>0</v>
      </c>
      <c r="L93" s="1345">
        <v>112.18596448999999</v>
      </c>
      <c r="M93" s="1477">
        <v>772.25783854214092</v>
      </c>
      <c r="N93" s="1345">
        <v>0</v>
      </c>
      <c r="P93" s="1345"/>
      <c r="Q93" s="1345"/>
      <c r="R93" s="1345">
        <v>6874.3645877094878</v>
      </c>
      <c r="S93" s="1089"/>
      <c r="T93" s="1477"/>
      <c r="U93" s="1167">
        <v>2795.3945294572259</v>
      </c>
      <c r="V93" s="1477">
        <v>6537.050010513969</v>
      </c>
      <c r="W93" s="1429">
        <v>27263.405636370135</v>
      </c>
    </row>
    <row r="94" spans="2:23" ht="15" customHeight="1">
      <c r="B94" s="1056" t="s">
        <v>343</v>
      </c>
      <c r="C94" s="1476">
        <v>104.30754582000002</v>
      </c>
      <c r="D94" s="1167">
        <v>2935.6519424999992</v>
      </c>
      <c r="E94" s="1477">
        <v>4448.9442651208201</v>
      </c>
      <c r="F94" s="1167">
        <v>690.95204390484662</v>
      </c>
      <c r="G94" s="1477">
        <v>1412.837771</v>
      </c>
      <c r="H94" s="1345">
        <v>0</v>
      </c>
      <c r="I94" s="1477">
        <v>1666.6824704003714</v>
      </c>
      <c r="J94" s="1167">
        <v>11.639527898500001</v>
      </c>
      <c r="K94" s="1477">
        <v>0</v>
      </c>
      <c r="L94" s="1345">
        <v>157.82892033000002</v>
      </c>
      <c r="M94" s="1477">
        <v>930.4322090634397</v>
      </c>
      <c r="N94" s="1345">
        <v>0</v>
      </c>
      <c r="P94" s="1345"/>
      <c r="Q94" s="1345"/>
      <c r="R94" s="1345">
        <v>7498.6447657011386</v>
      </c>
      <c r="S94" s="1089"/>
      <c r="T94" s="1477"/>
      <c r="U94" s="1167">
        <v>2571.1179449187548</v>
      </c>
      <c r="V94" s="1477">
        <v>6712.8958070905992</v>
      </c>
      <c r="W94" s="1429">
        <v>29141.935213748468</v>
      </c>
    </row>
    <row r="95" spans="2:23" ht="15" customHeight="1">
      <c r="B95" s="1056" t="s">
        <v>344</v>
      </c>
      <c r="C95" s="1476">
        <v>116.17167289999999</v>
      </c>
      <c r="D95" s="1167">
        <v>3210.3455324562301</v>
      </c>
      <c r="E95" s="1477">
        <v>5085.9041442937696</v>
      </c>
      <c r="F95" s="1167">
        <v>801.96834912255997</v>
      </c>
      <c r="G95" s="1477">
        <v>1183.39299465</v>
      </c>
      <c r="H95" s="1345">
        <v>0</v>
      </c>
      <c r="I95" s="1477">
        <v>1830.1942724414168</v>
      </c>
      <c r="J95" s="1167">
        <v>11.1688467315</v>
      </c>
      <c r="K95" s="1477">
        <v>0</v>
      </c>
      <c r="L95" s="1345">
        <v>251.05236076</v>
      </c>
      <c r="M95" s="1477">
        <v>1008.398469293089</v>
      </c>
      <c r="N95" s="1345">
        <v>0</v>
      </c>
      <c r="P95" s="1345"/>
      <c r="Q95" s="1345"/>
      <c r="R95" s="1345">
        <v>8562.2976805368289</v>
      </c>
      <c r="S95" s="1089"/>
      <c r="T95" s="1477"/>
      <c r="U95" s="1167">
        <v>2559.4358923933878</v>
      </c>
      <c r="V95" s="1477">
        <v>7352.9034248272328</v>
      </c>
      <c r="W95" s="1429">
        <v>31973.233640406012</v>
      </c>
    </row>
    <row r="96" spans="2:23" ht="15" customHeight="1">
      <c r="B96" s="1782"/>
      <c r="C96" s="1476"/>
      <c r="D96" s="1783"/>
      <c r="E96" s="1477"/>
      <c r="F96" s="1783"/>
      <c r="G96" s="1477"/>
      <c r="H96" s="1784"/>
      <c r="I96" s="1477"/>
      <c r="J96" s="1783"/>
      <c r="K96" s="1477"/>
      <c r="L96" s="1784"/>
      <c r="M96" s="1477"/>
      <c r="N96" s="1784"/>
      <c r="P96" s="1345"/>
      <c r="Q96" s="1345"/>
      <c r="R96" s="1345"/>
      <c r="S96" s="1089"/>
      <c r="T96" s="1477"/>
      <c r="U96" s="1783"/>
      <c r="V96" s="1477"/>
      <c r="W96" s="1785"/>
    </row>
    <row r="97" spans="2:23" ht="15" customHeight="1">
      <c r="B97" s="1201">
        <v>2021</v>
      </c>
      <c r="C97" s="1476"/>
      <c r="D97" s="1783"/>
      <c r="E97" s="1477"/>
      <c r="F97" s="1783"/>
      <c r="G97" s="1477"/>
      <c r="H97" s="1784"/>
      <c r="I97" s="1477"/>
      <c r="J97" s="1783"/>
      <c r="K97" s="1477"/>
      <c r="L97" s="1784"/>
      <c r="M97" s="1477"/>
      <c r="N97" s="1784"/>
      <c r="P97" s="1345"/>
      <c r="Q97" s="1345"/>
      <c r="R97" s="1345"/>
      <c r="S97" s="1089"/>
      <c r="T97" s="1477"/>
      <c r="U97" s="1783"/>
      <c r="V97" s="1477"/>
      <c r="W97" s="1785"/>
    </row>
    <row r="98" spans="2:23" ht="15" customHeight="1">
      <c r="B98" s="1056" t="s">
        <v>345</v>
      </c>
      <c r="C98" s="1476">
        <v>188.72587858999998</v>
      </c>
      <c r="D98" s="1167">
        <v>2943.2719272762301</v>
      </c>
      <c r="E98" s="1477">
        <v>5986.4915639037699</v>
      </c>
      <c r="F98" s="1167">
        <v>793.82769080821924</v>
      </c>
      <c r="G98" s="1477">
        <v>843.47992046999991</v>
      </c>
      <c r="H98" s="1345">
        <v>0</v>
      </c>
      <c r="I98" s="1477">
        <v>1783.7679472900002</v>
      </c>
      <c r="J98" s="1167">
        <v>10.185932480500002</v>
      </c>
      <c r="K98" s="1477">
        <v>0</v>
      </c>
      <c r="L98" s="1345">
        <v>211.25470604999998</v>
      </c>
      <c r="M98" s="1477">
        <v>1091.2916154838522</v>
      </c>
      <c r="N98" s="1345">
        <v>1.4366230000000001E-2</v>
      </c>
      <c r="P98" s="1345"/>
      <c r="Q98" s="1345"/>
      <c r="R98" s="1345">
        <v>9329.1447504549615</v>
      </c>
      <c r="S98" s="1089"/>
      <c r="T98" s="1477"/>
      <c r="U98" s="1167">
        <v>2980.3346851229044</v>
      </c>
      <c r="V98" s="1477">
        <v>7685.1311323164537</v>
      </c>
      <c r="W98" s="1429">
        <v>33846.92211647689</v>
      </c>
    </row>
    <row r="99" spans="2:23" ht="15" customHeight="1">
      <c r="B99" s="1056" t="s">
        <v>334</v>
      </c>
      <c r="C99" s="1476">
        <v>345.73327512000003</v>
      </c>
      <c r="D99" s="1167">
        <v>2762.9260030799996</v>
      </c>
      <c r="E99" s="1477">
        <v>6004.8130936799989</v>
      </c>
      <c r="F99" s="1167">
        <v>811.12722580785385</v>
      </c>
      <c r="G99" s="1477">
        <v>984.19146840999997</v>
      </c>
      <c r="H99" s="1345">
        <v>0</v>
      </c>
      <c r="I99" s="1477">
        <v>2730.9993166821455</v>
      </c>
      <c r="J99" s="1167">
        <v>9.1675970299999996</v>
      </c>
      <c r="K99" s="1477">
        <v>0</v>
      </c>
      <c r="L99" s="1345">
        <v>236.76753309</v>
      </c>
      <c r="M99" s="1477">
        <v>2089.3460123586115</v>
      </c>
      <c r="N99" s="1345">
        <v>0</v>
      </c>
      <c r="P99" s="1345"/>
      <c r="Q99" s="1345"/>
      <c r="R99" s="1345">
        <v>8950.1607775423272</v>
      </c>
      <c r="S99" s="1089"/>
      <c r="T99" s="1477"/>
      <c r="U99" s="1167">
        <v>2949.2094214099802</v>
      </c>
      <c r="V99" s="1477">
        <v>7790.603048579238</v>
      </c>
      <c r="W99" s="1429">
        <v>35665.044772790156</v>
      </c>
    </row>
    <row r="100" spans="2:23" ht="15" customHeight="1">
      <c r="B100" s="1056" t="s">
        <v>335</v>
      </c>
      <c r="C100" s="1476">
        <v>168.32605020999998</v>
      </c>
      <c r="D100" s="1167">
        <v>2278.9216511</v>
      </c>
      <c r="E100" s="1477">
        <v>6313.0841565299997</v>
      </c>
      <c r="F100" s="1167">
        <v>1594.4235693000005</v>
      </c>
      <c r="G100" s="1477">
        <v>1028.21327604</v>
      </c>
      <c r="H100" s="1345">
        <v>0</v>
      </c>
      <c r="I100" s="1477">
        <v>1341.6600491000002</v>
      </c>
      <c r="J100" s="1167">
        <v>8.3771997784999996</v>
      </c>
      <c r="K100" s="1477">
        <v>0</v>
      </c>
      <c r="L100" s="1345">
        <v>415.11087133999996</v>
      </c>
      <c r="M100" s="1477">
        <v>1242.42561957</v>
      </c>
      <c r="N100" s="1345">
        <v>0</v>
      </c>
      <c r="P100" s="1345"/>
      <c r="Q100" s="1345"/>
      <c r="R100" s="1345">
        <v>10867.704249488281</v>
      </c>
      <c r="S100" s="1089"/>
      <c r="T100" s="1477"/>
      <c r="U100" s="1167">
        <v>3027.5479557207727</v>
      </c>
      <c r="V100" s="1477">
        <v>7840.9929520474616</v>
      </c>
      <c r="W100" s="1429">
        <v>36126.78760022502</v>
      </c>
    </row>
    <row r="101" spans="2:23" ht="15" customHeight="1">
      <c r="B101" s="1056" t="s">
        <v>336</v>
      </c>
      <c r="C101" s="1476">
        <v>206.94314884000002</v>
      </c>
      <c r="D101" s="1167">
        <v>2702.1342951800002</v>
      </c>
      <c r="E101" s="1477">
        <v>5302.6234961199998</v>
      </c>
      <c r="F101" s="1167">
        <v>1156.6626355500011</v>
      </c>
      <c r="G101" s="1477">
        <v>1085.4277954700001</v>
      </c>
      <c r="H101" s="1345">
        <v>0</v>
      </c>
      <c r="I101" s="1477">
        <v>871.7309294500003</v>
      </c>
      <c r="J101" s="1167">
        <v>7.6570976504999999</v>
      </c>
      <c r="K101" s="1477">
        <v>0</v>
      </c>
      <c r="L101" s="1345">
        <v>508.93924592999997</v>
      </c>
      <c r="M101" s="1477">
        <v>1581.4817734403966</v>
      </c>
      <c r="N101" s="1345">
        <v>0</v>
      </c>
      <c r="P101" s="1345"/>
      <c r="Q101" s="1345"/>
      <c r="R101" s="1345">
        <v>14233.572312255099</v>
      </c>
      <c r="S101" s="1089"/>
      <c r="T101" s="1477"/>
      <c r="U101" s="1167">
        <v>3431.0981798976027</v>
      </c>
      <c r="V101" s="1477">
        <v>7237.9373557996842</v>
      </c>
      <c r="W101" s="1429">
        <v>38326.208265583286</v>
      </c>
    </row>
    <row r="102" spans="2:23" ht="15" customHeight="1">
      <c r="B102" s="1056" t="s">
        <v>337</v>
      </c>
      <c r="C102" s="1476">
        <v>210.34572035999997</v>
      </c>
      <c r="D102" s="1167">
        <v>1687.59906901</v>
      </c>
      <c r="E102" s="1477">
        <v>5962.1779349999997</v>
      </c>
      <c r="F102" s="1167">
        <v>1250.855529630001</v>
      </c>
      <c r="G102" s="1477">
        <v>3847.0795604999998</v>
      </c>
      <c r="H102" s="1345">
        <v>0</v>
      </c>
      <c r="I102" s="1477">
        <v>116.94633529999997</v>
      </c>
      <c r="J102" s="1167">
        <v>6.9622313794999995</v>
      </c>
      <c r="K102" s="1477">
        <v>0</v>
      </c>
      <c r="L102" s="1345">
        <v>517.67431981999994</v>
      </c>
      <c r="M102" s="1477">
        <v>1568.7882512451808</v>
      </c>
      <c r="N102" s="1345">
        <v>0</v>
      </c>
      <c r="P102" s="1345"/>
      <c r="Q102" s="1345"/>
      <c r="R102" s="1345">
        <v>17154.947261046724</v>
      </c>
      <c r="S102" s="1089"/>
      <c r="T102" s="1477"/>
      <c r="U102" s="1167">
        <v>2927.8959493049192</v>
      </c>
      <c r="V102" s="1477">
        <v>7532.9257667019738</v>
      </c>
      <c r="W102" s="1429">
        <v>42784.197929298301</v>
      </c>
    </row>
    <row r="103" spans="2:23" ht="15" customHeight="1">
      <c r="B103" s="1056" t="s">
        <v>338</v>
      </c>
      <c r="C103" s="1476">
        <v>249.64057728999998</v>
      </c>
      <c r="D103" s="1167">
        <v>1649.67402999</v>
      </c>
      <c r="E103" s="1477">
        <v>6202.5767742699991</v>
      </c>
      <c r="F103" s="1167">
        <v>1163.8038377900002</v>
      </c>
      <c r="G103" s="1477">
        <v>1866.72548753</v>
      </c>
      <c r="H103" s="1345">
        <v>0</v>
      </c>
      <c r="I103" s="1477">
        <v>204.62315055999991</v>
      </c>
      <c r="J103" s="1167">
        <v>6.4641891009999997</v>
      </c>
      <c r="K103" s="1477">
        <v>0</v>
      </c>
      <c r="L103" s="1345">
        <v>587.95682360000001</v>
      </c>
      <c r="M103" s="1477">
        <v>1851.876673075179</v>
      </c>
      <c r="N103" s="1345">
        <v>0</v>
      </c>
      <c r="P103" s="1345"/>
      <c r="Q103" s="1345"/>
      <c r="R103" s="1345">
        <v>18795.351255482179</v>
      </c>
      <c r="S103" s="1089"/>
      <c r="T103" s="1477"/>
      <c r="U103" s="1167">
        <v>2580.9110148694076</v>
      </c>
      <c r="V103" s="1477">
        <v>7701.0793097742626</v>
      </c>
      <c r="W103" s="1429">
        <v>42860.683123332034</v>
      </c>
    </row>
    <row r="104" spans="2:23" ht="15" customHeight="1">
      <c r="B104" s="1056" t="s">
        <v>339</v>
      </c>
      <c r="C104" s="1476">
        <v>283.6644919900001</v>
      </c>
      <c r="D104" s="1167">
        <v>1212.2067551500002</v>
      </c>
      <c r="E104" s="1477">
        <v>7193.3632238199998</v>
      </c>
      <c r="F104" s="1167">
        <v>1892.6697142022456</v>
      </c>
      <c r="G104" s="1477">
        <v>1875.3510652499999</v>
      </c>
      <c r="H104" s="1345">
        <v>0</v>
      </c>
      <c r="I104" s="1477">
        <v>1143.4243773500002</v>
      </c>
      <c r="J104" s="1167">
        <v>5.9551628275000006</v>
      </c>
      <c r="K104" s="1477">
        <v>0</v>
      </c>
      <c r="L104" s="1345">
        <v>447.25446223</v>
      </c>
      <c r="M104" s="1477">
        <v>1963.2156499253583</v>
      </c>
      <c r="N104" s="1345">
        <v>0</v>
      </c>
      <c r="P104" s="1345"/>
      <c r="Q104" s="1345"/>
      <c r="R104" s="1345">
        <v>18280.2727417686</v>
      </c>
      <c r="S104" s="1089"/>
      <c r="T104" s="1477"/>
      <c r="U104" s="1167">
        <v>3923.5068240994947</v>
      </c>
      <c r="V104" s="1477">
        <v>7695.6069856713266</v>
      </c>
      <c r="W104" s="1429">
        <v>45916.491454284529</v>
      </c>
    </row>
    <row r="105" spans="2:23" ht="15" customHeight="1">
      <c r="B105" s="1056" t="s">
        <v>340</v>
      </c>
      <c r="C105" s="1476">
        <v>352.78168496999996</v>
      </c>
      <c r="D105" s="1167">
        <v>1408.8220847299997</v>
      </c>
      <c r="E105" s="1477">
        <v>7869.31647961</v>
      </c>
      <c r="F105" s="1167">
        <v>2537.6477137742449</v>
      </c>
      <c r="G105" s="1477">
        <v>2316.2003773200004</v>
      </c>
      <c r="H105" s="1345">
        <v>0</v>
      </c>
      <c r="I105" s="1477">
        <v>3535.6225467600002</v>
      </c>
      <c r="J105" s="1167">
        <v>5.4233435079999994</v>
      </c>
      <c r="K105" s="1477">
        <v>0</v>
      </c>
      <c r="L105" s="1345">
        <v>399.46909611000001</v>
      </c>
      <c r="M105" s="1477">
        <v>2101.3383865539058</v>
      </c>
      <c r="N105" s="1345">
        <v>0</v>
      </c>
      <c r="P105" s="1345"/>
      <c r="Q105" s="1345"/>
      <c r="R105" s="1345">
        <v>19422.164784847126</v>
      </c>
      <c r="S105" s="1089"/>
      <c r="T105" s="1477"/>
      <c r="U105" s="1167">
        <v>3837.5733866778373</v>
      </c>
      <c r="V105" s="1477">
        <v>7666.5966079071095</v>
      </c>
      <c r="W105" s="1429">
        <v>51452.95649276823</v>
      </c>
    </row>
    <row r="106" spans="2:23" ht="15" customHeight="1">
      <c r="B106" s="1056" t="s">
        <v>341</v>
      </c>
      <c r="C106" s="1476">
        <v>349.82800892</v>
      </c>
      <c r="D106" s="1167">
        <v>1926.5657753099997</v>
      </c>
      <c r="E106" s="1477">
        <v>7608.4670800900003</v>
      </c>
      <c r="F106" s="1167">
        <v>2430.2459269500009</v>
      </c>
      <c r="G106" s="1477">
        <v>1941.3913332499999</v>
      </c>
      <c r="H106" s="1345">
        <v>0</v>
      </c>
      <c r="I106" s="1477">
        <v>4314.5732376999995</v>
      </c>
      <c r="J106" s="1167">
        <v>5.1156597599999998</v>
      </c>
      <c r="K106" s="1477">
        <v>0</v>
      </c>
      <c r="L106" s="1345">
        <v>205.24150090999998</v>
      </c>
      <c r="M106" s="1477">
        <v>2231.663301346654</v>
      </c>
      <c r="N106" s="1345">
        <v>0</v>
      </c>
      <c r="P106" s="1345"/>
      <c r="Q106" s="1345"/>
      <c r="R106" s="1345">
        <v>20461.076017514108</v>
      </c>
      <c r="S106" s="1089"/>
      <c r="T106" s="1477"/>
      <c r="U106" s="1167">
        <v>4013.2366708564386</v>
      </c>
      <c r="V106" s="1477">
        <v>9460.6646329966115</v>
      </c>
      <c r="W106" s="1429">
        <v>54948.069145603811</v>
      </c>
    </row>
    <row r="107" spans="2:23" ht="15" customHeight="1">
      <c r="B107" s="1056" t="s">
        <v>342</v>
      </c>
      <c r="C107" s="1476">
        <v>411.5297936099999</v>
      </c>
      <c r="D107" s="1167">
        <v>2396.1996104699997</v>
      </c>
      <c r="E107" s="1477">
        <v>8221.0230369800011</v>
      </c>
      <c r="F107" s="1167">
        <v>2162.3616355000004</v>
      </c>
      <c r="G107" s="1477">
        <v>3421.49034566</v>
      </c>
      <c r="H107" s="1345">
        <v>0</v>
      </c>
      <c r="I107" s="1477">
        <v>5627.7487918500001</v>
      </c>
      <c r="J107" s="1167">
        <v>4.2790129710000002</v>
      </c>
      <c r="K107" s="1477">
        <v>0</v>
      </c>
      <c r="L107" s="1345">
        <v>271.08777702999998</v>
      </c>
      <c r="M107" s="1477">
        <v>2539.5035676194257</v>
      </c>
      <c r="N107" s="1345">
        <v>0</v>
      </c>
      <c r="P107" s="1345"/>
      <c r="Q107" s="1345"/>
      <c r="R107" s="1345">
        <v>22881.259124272252</v>
      </c>
      <c r="S107" s="1089"/>
      <c r="T107" s="1477"/>
      <c r="U107" s="1167">
        <v>5432.2814430985873</v>
      </c>
      <c r="V107" s="1477">
        <v>9501.3048907722532</v>
      </c>
      <c r="W107" s="1429">
        <v>62870.069029833525</v>
      </c>
    </row>
    <row r="108" spans="2:23" ht="15" customHeight="1">
      <c r="B108" s="1056" t="s">
        <v>343</v>
      </c>
      <c r="C108" s="1476">
        <v>339.83835669500007</v>
      </c>
      <c r="D108" s="1167">
        <v>3578.3792554550005</v>
      </c>
      <c r="E108" s="1477">
        <v>7561.5778536500002</v>
      </c>
      <c r="F108" s="1167">
        <v>2568.763688850001</v>
      </c>
      <c r="G108" s="1477">
        <v>2299.4617043900002</v>
      </c>
      <c r="H108" s="1345">
        <v>0</v>
      </c>
      <c r="I108" s="1477">
        <v>5882.65341928</v>
      </c>
      <c r="J108" s="1167">
        <v>3.6659585719999996</v>
      </c>
      <c r="K108" s="1477">
        <v>0</v>
      </c>
      <c r="L108" s="1345">
        <v>566.39302382999995</v>
      </c>
      <c r="M108" s="1477">
        <v>2788.501307581746</v>
      </c>
      <c r="N108" s="1345">
        <v>0</v>
      </c>
      <c r="P108" s="1345"/>
      <c r="Q108" s="1345"/>
      <c r="R108" s="1345">
        <v>27326.085812809426</v>
      </c>
      <c r="S108" s="1089"/>
      <c r="T108" s="1477"/>
      <c r="U108" s="1167">
        <v>4400.3458975463673</v>
      </c>
      <c r="V108" s="1477">
        <v>9614.2864038861135</v>
      </c>
      <c r="W108" s="1429">
        <v>66929.952682545656</v>
      </c>
    </row>
    <row r="109" spans="2:23" ht="15" customHeight="1">
      <c r="B109" s="1056" t="s">
        <v>344</v>
      </c>
      <c r="C109" s="1476">
        <v>351.11737953999994</v>
      </c>
      <c r="D109" s="1167">
        <v>3217.2833838800002</v>
      </c>
      <c r="E109" s="1477">
        <v>8557.7572941999988</v>
      </c>
      <c r="F109" s="1167">
        <v>2619.1694753160023</v>
      </c>
      <c r="G109" s="1477">
        <v>3620.1501777100002</v>
      </c>
      <c r="H109" s="1345">
        <v>0</v>
      </c>
      <c r="I109" s="1477">
        <v>2353.6322416627404</v>
      </c>
      <c r="J109" s="1167">
        <v>3.0316337680000003</v>
      </c>
      <c r="K109" s="1477">
        <v>0</v>
      </c>
      <c r="L109" s="1345">
        <v>1188.98254198</v>
      </c>
      <c r="M109" s="1477">
        <v>2786.8862767912283</v>
      </c>
      <c r="N109" s="1345">
        <v>0</v>
      </c>
      <c r="P109" s="1345"/>
      <c r="Q109" s="1345"/>
      <c r="R109" s="1345">
        <v>33115.308979800371</v>
      </c>
      <c r="S109" s="1089"/>
      <c r="T109" s="1477"/>
      <c r="U109" s="1167">
        <v>5610.8287897236769</v>
      </c>
      <c r="V109" s="1477">
        <v>11334.113673261598</v>
      </c>
      <c r="W109" s="1429">
        <v>74758.261847633621</v>
      </c>
    </row>
    <row r="110" spans="2:23" ht="15" customHeight="1">
      <c r="B110" s="1782"/>
      <c r="C110" s="1476"/>
      <c r="D110" s="1783"/>
      <c r="E110" s="1477"/>
      <c r="F110" s="1783"/>
      <c r="G110" s="1477"/>
      <c r="H110" s="1784"/>
      <c r="I110" s="1477"/>
      <c r="J110" s="1783"/>
      <c r="K110" s="1477"/>
      <c r="L110" s="1784"/>
      <c r="M110" s="1477"/>
      <c r="N110" s="1784"/>
      <c r="P110" s="1345"/>
      <c r="Q110" s="1345"/>
      <c r="R110" s="1345"/>
      <c r="S110" s="1089"/>
      <c r="T110" s="1477"/>
      <c r="U110" s="1783"/>
      <c r="V110" s="1477"/>
      <c r="W110" s="1785"/>
    </row>
    <row r="111" spans="2:23" ht="15" customHeight="1">
      <c r="B111" s="1201">
        <v>2022</v>
      </c>
      <c r="C111" s="1476"/>
      <c r="D111" s="1783"/>
      <c r="E111" s="1477"/>
      <c r="F111" s="1783"/>
      <c r="G111" s="1477"/>
      <c r="H111" s="1784"/>
      <c r="I111" s="1477"/>
      <c r="J111" s="1783"/>
      <c r="K111" s="1477"/>
      <c r="L111" s="1784"/>
      <c r="M111" s="1477"/>
      <c r="N111" s="1784"/>
      <c r="P111" s="1345"/>
      <c r="Q111" s="1345"/>
      <c r="R111" s="1345"/>
      <c r="S111" s="1089"/>
      <c r="T111" s="1477"/>
      <c r="U111" s="1783"/>
      <c r="V111" s="1477"/>
      <c r="W111" s="1785"/>
    </row>
    <row r="112" spans="2:23" ht="15" customHeight="1">
      <c r="B112" s="1056" t="s">
        <v>345</v>
      </c>
      <c r="C112" s="1476">
        <v>324.58601603</v>
      </c>
      <c r="D112" s="1167">
        <v>3504.3273107700002</v>
      </c>
      <c r="E112" s="1477">
        <v>8506.5353671699995</v>
      </c>
      <c r="F112" s="1167">
        <v>2680.3266177517075</v>
      </c>
      <c r="G112" s="1477">
        <v>2630.9819976999997</v>
      </c>
      <c r="H112" s="1345">
        <v>0</v>
      </c>
      <c r="I112" s="1477">
        <v>1110.7725293700003</v>
      </c>
      <c r="J112" s="1167">
        <v>2.368905313</v>
      </c>
      <c r="K112" s="1477">
        <v>0</v>
      </c>
      <c r="L112" s="1345">
        <v>1487.3479450799998</v>
      </c>
      <c r="M112" s="1477">
        <v>2967.6435574049478</v>
      </c>
      <c r="N112" s="1345">
        <v>0</v>
      </c>
      <c r="P112" s="1345"/>
      <c r="Q112" s="1345"/>
      <c r="R112" s="1345">
        <v>35913.489030382683</v>
      </c>
      <c r="S112" s="1089"/>
      <c r="T112" s="1477"/>
      <c r="U112" s="1167">
        <v>6693.8168129435371</v>
      </c>
      <c r="V112" s="1477">
        <v>14008.660624258615</v>
      </c>
      <c r="W112" s="1429">
        <v>79830.856714174486</v>
      </c>
    </row>
    <row r="113" spans="2:23" ht="15" customHeight="1">
      <c r="B113" s="1056" t="s">
        <v>334</v>
      </c>
      <c r="C113" s="1476">
        <v>411.46394587000003</v>
      </c>
      <c r="D113" s="1167">
        <v>4021.535412669999</v>
      </c>
      <c r="E113" s="1477">
        <v>9763.5663256100015</v>
      </c>
      <c r="F113" s="1167">
        <v>3069.6545126100023</v>
      </c>
      <c r="G113" s="1477">
        <v>5677.9716605900003</v>
      </c>
      <c r="H113" s="1345">
        <v>0</v>
      </c>
      <c r="I113" s="1477">
        <v>4048.8924549399999</v>
      </c>
      <c r="J113" s="1167">
        <v>1.5785394479999999</v>
      </c>
      <c r="K113" s="1477">
        <v>0</v>
      </c>
      <c r="L113" s="1345">
        <v>1465.41673891</v>
      </c>
      <c r="M113" s="1477">
        <v>3241.1333563449311</v>
      </c>
      <c r="N113" s="1345">
        <v>0</v>
      </c>
      <c r="P113" s="1345"/>
      <c r="Q113" s="1345"/>
      <c r="R113" s="1345">
        <v>39977.450214360084</v>
      </c>
      <c r="S113" s="1089"/>
      <c r="T113" s="1477"/>
      <c r="U113" s="1167">
        <v>4511.4937122104984</v>
      </c>
      <c r="V113" s="1477">
        <v>13964.432891423679</v>
      </c>
      <c r="W113" s="1429">
        <v>90154.589764987206</v>
      </c>
    </row>
    <row r="114" spans="2:23" ht="15" customHeight="1">
      <c r="B114" s="1056" t="s">
        <v>335</v>
      </c>
      <c r="C114" s="1476">
        <v>354.31246495000005</v>
      </c>
      <c r="D114" s="1167">
        <v>4413.61475376</v>
      </c>
      <c r="E114" s="1477">
        <v>11882.591549680001</v>
      </c>
      <c r="F114" s="1167">
        <v>3691.3134997000006</v>
      </c>
      <c r="G114" s="1477">
        <v>4932.2687849699996</v>
      </c>
      <c r="H114" s="1345">
        <v>0</v>
      </c>
      <c r="I114" s="1477">
        <v>5234.9974740206844</v>
      </c>
      <c r="J114" s="1167">
        <v>0.89815617000000003</v>
      </c>
      <c r="K114" s="1477">
        <v>0</v>
      </c>
      <c r="L114" s="1345">
        <v>1589.9916160500002</v>
      </c>
      <c r="M114" s="1477">
        <v>3888.2892639702941</v>
      </c>
      <c r="N114" s="1345">
        <v>0</v>
      </c>
      <c r="P114" s="1345"/>
      <c r="Q114" s="1345"/>
      <c r="R114" s="1345">
        <v>42741.288277992047</v>
      </c>
      <c r="S114" s="1089"/>
      <c r="T114" s="1477"/>
      <c r="U114" s="1167">
        <v>9086.6059856965403</v>
      </c>
      <c r="V114" s="1477">
        <v>15421.227272759359</v>
      </c>
      <c r="W114" s="1429">
        <v>103237.39909971892</v>
      </c>
    </row>
    <row r="115" spans="2:23" ht="15" customHeight="1">
      <c r="B115" s="1056" t="s">
        <v>336</v>
      </c>
      <c r="C115" s="1476">
        <v>546.43869970000003</v>
      </c>
      <c r="D115" s="1167">
        <v>3054.1223265399994</v>
      </c>
      <c r="E115" s="1477">
        <v>15585.766026159999</v>
      </c>
      <c r="F115" s="1167">
        <v>4857.665091740002</v>
      </c>
      <c r="G115" s="1477">
        <v>5768.6088704800004</v>
      </c>
      <c r="H115" s="1345">
        <v>0</v>
      </c>
      <c r="I115" s="1477">
        <v>5714.413350243698</v>
      </c>
      <c r="J115" s="1167">
        <v>0.18426056399999999</v>
      </c>
      <c r="K115" s="1477">
        <v>0</v>
      </c>
      <c r="L115" s="1345">
        <v>1861.39410241</v>
      </c>
      <c r="M115" s="1477">
        <v>4143.6644780673369</v>
      </c>
      <c r="N115" s="1345">
        <v>0</v>
      </c>
      <c r="P115" s="1345"/>
      <c r="Q115" s="1345"/>
      <c r="R115" s="1345">
        <v>48582.443708992309</v>
      </c>
      <c r="S115" s="1089"/>
      <c r="T115" s="1477"/>
      <c r="U115" s="1167">
        <v>9654.206765092973</v>
      </c>
      <c r="V115" s="1477">
        <v>16999.23132339849</v>
      </c>
      <c r="W115" s="1429">
        <v>116768.1390033888</v>
      </c>
    </row>
    <row r="116" spans="2:23" ht="15" customHeight="1">
      <c r="B116" s="1056" t="s">
        <v>337</v>
      </c>
      <c r="C116" s="1476">
        <v>639.52030324999998</v>
      </c>
      <c r="D116" s="1167">
        <v>8326.6782351099992</v>
      </c>
      <c r="E116" s="1477">
        <v>23817.573489800001</v>
      </c>
      <c r="F116" s="1167">
        <v>4251.9155570900048</v>
      </c>
      <c r="G116" s="1477">
        <v>16001.634928989999</v>
      </c>
      <c r="H116" s="1345">
        <v>0</v>
      </c>
      <c r="I116" s="1477">
        <v>6150.8820819399998</v>
      </c>
      <c r="J116" s="1167">
        <v>0</v>
      </c>
      <c r="K116" s="1477">
        <v>0</v>
      </c>
      <c r="L116" s="1345">
        <v>1486.3387751700002</v>
      </c>
      <c r="M116" s="1477">
        <v>8474.8123331734969</v>
      </c>
      <c r="N116" s="1345">
        <v>0</v>
      </c>
      <c r="P116" s="1345"/>
      <c r="Q116" s="1345"/>
      <c r="R116" s="1345">
        <v>74863.995783355247</v>
      </c>
      <c r="S116" s="1089"/>
      <c r="T116" s="1477"/>
      <c r="U116" s="1167">
        <v>14793.924493235496</v>
      </c>
      <c r="V116" s="1477">
        <v>17091.209505158491</v>
      </c>
      <c r="W116" s="1429">
        <v>175898.48548627278</v>
      </c>
    </row>
    <row r="117" spans="2:23" ht="15" customHeight="1">
      <c r="B117" s="1056" t="s">
        <v>338</v>
      </c>
      <c r="C117" s="1476">
        <v>418.45636604000003</v>
      </c>
      <c r="D117" s="1167">
        <v>8464.3491257999976</v>
      </c>
      <c r="E117" s="1477">
        <v>32497.554407270003</v>
      </c>
      <c r="F117" s="1167">
        <v>3807.4915178699971</v>
      </c>
      <c r="G117" s="1477">
        <v>21184.843234249998</v>
      </c>
      <c r="H117" s="1345">
        <v>0</v>
      </c>
      <c r="I117" s="1477">
        <v>2639.3485565200003</v>
      </c>
      <c r="J117" s="1167">
        <v>0</v>
      </c>
      <c r="K117" s="1477">
        <v>0</v>
      </c>
      <c r="L117" s="1345">
        <v>1340.00096368</v>
      </c>
      <c r="M117" s="1477">
        <v>10851.14710431913</v>
      </c>
      <c r="N117" s="1345">
        <v>0</v>
      </c>
      <c r="P117" s="1345"/>
      <c r="Q117" s="1345"/>
      <c r="R117" s="1345">
        <v>85145.944433481389</v>
      </c>
      <c r="S117" s="1089"/>
      <c r="T117" s="1477"/>
      <c r="U117" s="1167">
        <v>18155.796830982476</v>
      </c>
      <c r="V117" s="1477">
        <v>35128.070500918489</v>
      </c>
      <c r="W117" s="1429">
        <v>219633.00304113145</v>
      </c>
    </row>
    <row r="118" spans="2:23" ht="15" customHeight="1">
      <c r="B118" s="1056" t="s">
        <v>339</v>
      </c>
      <c r="C118" s="1476">
        <v>700.3873485700002</v>
      </c>
      <c r="D118" s="1167">
        <v>9914.6412057699999</v>
      </c>
      <c r="E118" s="1477">
        <v>30660.25972183753</v>
      </c>
      <c r="F118" s="1167">
        <v>4983.3993396400001</v>
      </c>
      <c r="G118" s="1477">
        <v>24902.913574009999</v>
      </c>
      <c r="H118" s="1345">
        <v>0</v>
      </c>
      <c r="I118" s="1477">
        <v>4077.5891049300003</v>
      </c>
      <c r="J118" s="1167">
        <v>0</v>
      </c>
      <c r="K118" s="1477">
        <v>0</v>
      </c>
      <c r="L118" s="1345">
        <v>1411.4666558800002</v>
      </c>
      <c r="M118" s="1477">
        <v>13722.078806769996</v>
      </c>
      <c r="N118" s="1345">
        <v>0</v>
      </c>
      <c r="P118" s="1345"/>
      <c r="Q118" s="1345"/>
      <c r="R118" s="1345">
        <v>98065.982567081228</v>
      </c>
      <c r="S118" s="1089"/>
      <c r="T118" s="1477"/>
      <c r="U118" s="1167">
        <v>9998.5549388199506</v>
      </c>
      <c r="V118" s="1477">
        <v>45127.860255158492</v>
      </c>
      <c r="W118" s="1429">
        <v>243565.13351846719</v>
      </c>
    </row>
    <row r="119" spans="2:23" ht="15" customHeight="1">
      <c r="B119" s="1056" t="s">
        <v>340</v>
      </c>
      <c r="C119" s="1476">
        <v>863.8311040668317</v>
      </c>
      <c r="D119" s="1167">
        <v>14422.131775260004</v>
      </c>
      <c r="E119" s="1477">
        <v>33703.176898713697</v>
      </c>
      <c r="F119" s="1167">
        <v>4483.0458909635881</v>
      </c>
      <c r="G119" s="1477">
        <v>34971.849907384974</v>
      </c>
      <c r="H119" s="1345">
        <v>0</v>
      </c>
      <c r="I119" s="1477">
        <v>4379.7514381738283</v>
      </c>
      <c r="J119" s="1167">
        <v>0</v>
      </c>
      <c r="K119" s="1477">
        <v>0</v>
      </c>
      <c r="L119" s="1345">
        <v>2106.6423427099999</v>
      </c>
      <c r="M119" s="1477">
        <v>16515.401587923803</v>
      </c>
      <c r="N119" s="1345">
        <v>0</v>
      </c>
      <c r="P119" s="1345"/>
      <c r="Q119" s="1345"/>
      <c r="R119" s="1345">
        <v>115491.94842637176</v>
      </c>
      <c r="S119" s="1089"/>
      <c r="T119" s="1477"/>
      <c r="U119" s="1167">
        <v>8745.3381906065497</v>
      </c>
      <c r="V119" s="1477">
        <v>45693.963235828502</v>
      </c>
      <c r="W119" s="1429">
        <v>281377.08079800353</v>
      </c>
    </row>
    <row r="120" spans="2:23" ht="15" customHeight="1">
      <c r="B120" s="1056" t="s">
        <v>341</v>
      </c>
      <c r="C120" s="1476">
        <v>1086.8073696383115</v>
      </c>
      <c r="D120" s="1167">
        <v>14998.162132689995</v>
      </c>
      <c r="E120" s="1477">
        <v>37911.318439657378</v>
      </c>
      <c r="F120" s="1167">
        <v>7470.0536805782267</v>
      </c>
      <c r="G120" s="1477">
        <v>45094.821832214577</v>
      </c>
      <c r="H120" s="1345">
        <v>0</v>
      </c>
      <c r="I120" s="1477">
        <v>8440.7561138862184</v>
      </c>
      <c r="J120" s="1167">
        <v>0</v>
      </c>
      <c r="K120" s="1477">
        <v>0</v>
      </c>
      <c r="L120" s="1345">
        <v>1302.7536474000001</v>
      </c>
      <c r="M120" s="1477">
        <v>17996.777430514405</v>
      </c>
      <c r="N120" s="1345">
        <v>0</v>
      </c>
      <c r="P120" s="1345"/>
      <c r="Q120" s="1345"/>
      <c r="R120" s="1345">
        <v>129242.69639876875</v>
      </c>
      <c r="S120" s="1089"/>
      <c r="T120" s="1477"/>
      <c r="U120" s="1167">
        <v>11630.670010859263</v>
      </c>
      <c r="V120" s="1477">
        <v>60830.407396888484</v>
      </c>
      <c r="W120" s="1429">
        <v>336005.22445309558</v>
      </c>
    </row>
    <row r="121" spans="2:23" ht="15" customHeight="1">
      <c r="B121" s="1056" t="s">
        <v>342</v>
      </c>
      <c r="C121" s="1476">
        <v>1158.3087767716452</v>
      </c>
      <c r="D121" s="1167">
        <v>14768.706815100002</v>
      </c>
      <c r="E121" s="1477">
        <v>44296.517271668505</v>
      </c>
      <c r="F121" s="1167">
        <v>10013.693251208864</v>
      </c>
      <c r="G121" s="1477">
        <v>44664.144434858667</v>
      </c>
      <c r="H121" s="1345">
        <v>0</v>
      </c>
      <c r="I121" s="1477">
        <v>14109.918001161774</v>
      </c>
      <c r="J121" s="1167">
        <v>0</v>
      </c>
      <c r="K121" s="1477">
        <v>0</v>
      </c>
      <c r="L121" s="1345">
        <v>1142.38243693</v>
      </c>
      <c r="M121" s="1477">
        <v>16817.681558470602</v>
      </c>
      <c r="N121" s="1345">
        <v>0</v>
      </c>
      <c r="P121" s="1345"/>
      <c r="Q121" s="1345"/>
      <c r="R121" s="1345">
        <v>123793.7713973488</v>
      </c>
      <c r="S121" s="1089"/>
      <c r="T121" s="1477"/>
      <c r="U121" s="1167">
        <v>30036.362602104171</v>
      </c>
      <c r="V121" s="1477">
        <v>47678.22779429848</v>
      </c>
      <c r="W121" s="1429">
        <v>348479.71433992154</v>
      </c>
    </row>
    <row r="122" spans="2:23" ht="15" customHeight="1">
      <c r="B122" s="1056" t="s">
        <v>343</v>
      </c>
      <c r="C122" s="1476">
        <v>1449.2883147000002</v>
      </c>
      <c r="D122" s="1167">
        <v>22456.921206229996</v>
      </c>
      <c r="E122" s="1477">
        <v>41397.972401520004</v>
      </c>
      <c r="F122" s="1167">
        <v>9771.7892965100073</v>
      </c>
      <c r="G122" s="1477">
        <v>41317.575063370001</v>
      </c>
      <c r="H122" s="1345">
        <v>0</v>
      </c>
      <c r="I122" s="1477">
        <v>17572.561431330003</v>
      </c>
      <c r="J122" s="1167">
        <v>0</v>
      </c>
      <c r="K122" s="1477">
        <v>0</v>
      </c>
      <c r="L122" s="1345">
        <v>2085.2904598800001</v>
      </c>
      <c r="M122" s="1477">
        <v>16785.788463429999</v>
      </c>
      <c r="N122" s="1345">
        <v>0</v>
      </c>
      <c r="P122" s="1345"/>
      <c r="Q122" s="1345"/>
      <c r="R122" s="1345">
        <v>136029.85599386919</v>
      </c>
      <c r="S122" s="1089"/>
      <c r="T122" s="1477"/>
      <c r="U122" s="1167">
        <v>30694.044016478747</v>
      </c>
      <c r="V122" s="1477">
        <v>46275.828301438494</v>
      </c>
      <c r="W122" s="1429">
        <v>365836.9149487564</v>
      </c>
    </row>
    <row r="123" spans="2:23" ht="15" customHeight="1">
      <c r="B123" s="1056" t="s">
        <v>344</v>
      </c>
      <c r="C123" s="1476">
        <v>1470.7487868535254</v>
      </c>
      <c r="D123" s="1167">
        <v>23012.668405219996</v>
      </c>
      <c r="E123" s="1477">
        <v>48533.796127081223</v>
      </c>
      <c r="F123" s="1167">
        <v>8913.7457811967579</v>
      </c>
      <c r="G123" s="1477">
        <v>50228.952929627296</v>
      </c>
      <c r="H123" s="1345">
        <v>0</v>
      </c>
      <c r="I123" s="1477">
        <v>21411.05707205645</v>
      </c>
      <c r="J123" s="1167">
        <v>0</v>
      </c>
      <c r="K123" s="1477">
        <v>19993.391330910006</v>
      </c>
      <c r="L123" s="1345">
        <v>2176.1831094899999</v>
      </c>
      <c r="M123" s="1477">
        <v>17693.687704319997</v>
      </c>
      <c r="N123" s="1345">
        <v>0</v>
      </c>
      <c r="P123" s="1345"/>
      <c r="Q123" s="1345"/>
      <c r="R123" s="1345">
        <v>119322.29675956069</v>
      </c>
      <c r="S123" s="1089"/>
      <c r="T123" s="1477"/>
      <c r="U123" s="1167">
        <v>39279.064544937086</v>
      </c>
      <c r="V123" s="1477">
        <v>69102.484862719532</v>
      </c>
      <c r="W123" s="1429">
        <v>421138.07741397264</v>
      </c>
    </row>
    <row r="124" spans="2:23" ht="15" customHeight="1">
      <c r="B124" s="1782"/>
      <c r="C124" s="1476"/>
      <c r="D124" s="1783"/>
      <c r="E124" s="1477"/>
      <c r="F124" s="1783"/>
      <c r="G124" s="1477"/>
      <c r="H124" s="1784"/>
      <c r="I124" s="1477"/>
      <c r="J124" s="1783"/>
      <c r="K124" s="1477"/>
      <c r="L124" s="1784"/>
      <c r="M124" s="1477"/>
      <c r="N124" s="1784"/>
      <c r="P124" s="1345"/>
      <c r="Q124" s="1345"/>
      <c r="R124" s="1345"/>
      <c r="S124" s="1089"/>
      <c r="T124" s="1477"/>
      <c r="U124" s="1783"/>
      <c r="V124" s="1477"/>
      <c r="W124" s="1785"/>
    </row>
    <row r="125" spans="2:23" ht="15" customHeight="1">
      <c r="B125" s="1201">
        <v>2023</v>
      </c>
      <c r="C125" s="1476"/>
      <c r="D125" s="1167"/>
      <c r="E125" s="1477"/>
      <c r="F125" s="1167"/>
      <c r="G125" s="1477"/>
      <c r="H125" s="1345"/>
      <c r="I125" s="1477"/>
      <c r="J125" s="1167"/>
      <c r="K125" s="1477"/>
      <c r="L125" s="1345"/>
      <c r="M125" s="1477"/>
      <c r="N125" s="1345"/>
      <c r="P125" s="1345"/>
      <c r="Q125" s="1345"/>
      <c r="R125" s="1345"/>
      <c r="S125" s="1089"/>
      <c r="T125" s="1477"/>
      <c r="U125" s="1167"/>
      <c r="V125" s="1477"/>
      <c r="W125" s="1429"/>
    </row>
    <row r="126" spans="2:23" ht="15" customHeight="1">
      <c r="B126" s="1056" t="s">
        <v>345</v>
      </c>
      <c r="C126" s="1476">
        <v>2402.7492616786067</v>
      </c>
      <c r="D126" s="1167">
        <v>32405.057319020005</v>
      </c>
      <c r="E126" s="1477">
        <v>47062.583708861042</v>
      </c>
      <c r="F126" s="1167">
        <v>8410.7682748612224</v>
      </c>
      <c r="G126" s="1477">
        <v>50364.619158235408</v>
      </c>
      <c r="H126" s="1345">
        <v>0</v>
      </c>
      <c r="I126" s="1477">
        <v>17976.244195763884</v>
      </c>
      <c r="J126" s="1167">
        <v>0</v>
      </c>
      <c r="K126" s="1477">
        <v>23668.492663800003</v>
      </c>
      <c r="L126" s="1345">
        <v>2406.3241079299996</v>
      </c>
      <c r="M126" s="1477">
        <v>18310.97076341412</v>
      </c>
      <c r="N126" s="1345">
        <v>0</v>
      </c>
      <c r="P126" s="1345"/>
      <c r="Q126" s="1345"/>
      <c r="R126" s="1345">
        <v>132757.42029080156</v>
      </c>
      <c r="S126" s="1089"/>
      <c r="T126" s="1477"/>
      <c r="U126" s="1167">
        <v>41367.397212556221</v>
      </c>
      <c r="V126" s="1477">
        <v>69570.12614478929</v>
      </c>
      <c r="W126" s="1429">
        <v>446702.75310171134</v>
      </c>
    </row>
    <row r="127" spans="2:23" ht="15" customHeight="1">
      <c r="B127" s="1056" t="s">
        <v>334</v>
      </c>
      <c r="C127" s="1476">
        <v>234.88264751</v>
      </c>
      <c r="D127" s="1167">
        <v>59685.408160190003</v>
      </c>
      <c r="E127" s="1477">
        <v>50103.02824942999</v>
      </c>
      <c r="F127" s="1167">
        <v>9568.6213795500025</v>
      </c>
      <c r="G127" s="1477">
        <v>62701.445481919996</v>
      </c>
      <c r="H127" s="1345">
        <v>889.90432036000004</v>
      </c>
      <c r="I127" s="1477">
        <v>24809.696587300001</v>
      </c>
      <c r="J127" s="1167">
        <v>0</v>
      </c>
      <c r="K127" s="1477">
        <v>26667.143323812001</v>
      </c>
      <c r="L127" s="1345">
        <v>4451.8693876299994</v>
      </c>
      <c r="M127" s="1477">
        <v>21629.051600450002</v>
      </c>
      <c r="N127" s="1345">
        <v>0</v>
      </c>
      <c r="P127" s="1345"/>
      <c r="Q127" s="1345"/>
      <c r="R127" s="1345">
        <v>146798.42304368227</v>
      </c>
      <c r="S127" s="1089"/>
      <c r="T127" s="1477"/>
      <c r="U127" s="1167">
        <v>50093.594653995999</v>
      </c>
      <c r="V127" s="1477">
        <v>70987.850047410568</v>
      </c>
      <c r="W127" s="1429">
        <v>528620.91888324078</v>
      </c>
    </row>
    <row r="128" spans="2:23" ht="15" customHeight="1">
      <c r="B128" s="1056" t="s">
        <v>335</v>
      </c>
      <c r="C128" s="1476">
        <v>214.6377848399998</v>
      </c>
      <c r="D128" s="1167">
        <v>72311.868531950007</v>
      </c>
      <c r="E128" s="1477">
        <v>57399.599388880008</v>
      </c>
      <c r="F128" s="1167">
        <v>9196.8195221999886</v>
      </c>
      <c r="G128" s="1477">
        <v>51300.908960520006</v>
      </c>
      <c r="H128" s="1345">
        <v>0</v>
      </c>
      <c r="I128" s="1477">
        <v>28841.478293630003</v>
      </c>
      <c r="J128" s="1167">
        <v>0</v>
      </c>
      <c r="K128" s="1477">
        <v>24689.001317705501</v>
      </c>
      <c r="L128" s="1345">
        <v>5503.9190848900007</v>
      </c>
      <c r="M128" s="1477">
        <v>19118.591370679987</v>
      </c>
      <c r="N128" s="1345">
        <v>0</v>
      </c>
      <c r="P128" s="1345"/>
      <c r="Q128" s="1345"/>
      <c r="R128" s="1345">
        <v>170376.61993274026</v>
      </c>
      <c r="S128" s="1089"/>
      <c r="T128" s="1477"/>
      <c r="U128" s="1167">
        <v>54524.698277988413</v>
      </c>
      <c r="V128" s="1477">
        <v>84489.10942536057</v>
      </c>
      <c r="W128" s="1429">
        <v>577967.2518913846</v>
      </c>
    </row>
    <row r="129" spans="2:23" ht="15" customHeight="1">
      <c r="B129" s="1056" t="s">
        <v>336</v>
      </c>
      <c r="C129" s="1476">
        <v>184.08693064000011</v>
      </c>
      <c r="D129" s="1167">
        <v>61341.630340699994</v>
      </c>
      <c r="E129" s="1477">
        <v>63129.493937489991</v>
      </c>
      <c r="F129" s="1167">
        <v>16343.203857560009</v>
      </c>
      <c r="G129" s="1477">
        <v>61444.019270020006</v>
      </c>
      <c r="H129" s="1345">
        <v>0</v>
      </c>
      <c r="I129" s="1477">
        <v>28727.038960779995</v>
      </c>
      <c r="J129" s="1167">
        <v>0</v>
      </c>
      <c r="K129" s="1477">
        <v>28119.040022425506</v>
      </c>
      <c r="L129" s="1345">
        <v>5989.2001389899997</v>
      </c>
      <c r="M129" s="1477">
        <v>27619.884690927967</v>
      </c>
      <c r="N129" s="1345">
        <v>0</v>
      </c>
      <c r="P129" s="1345"/>
      <c r="Q129" s="1345"/>
      <c r="R129" s="1345">
        <v>205412.19877722242</v>
      </c>
      <c r="S129" s="1089"/>
      <c r="T129" s="1477"/>
      <c r="U129" s="1167">
        <v>81442.906987702154</v>
      </c>
      <c r="V129" s="1477">
        <v>86571.176369124121</v>
      </c>
      <c r="W129" s="1429">
        <v>666323.88028358214</v>
      </c>
    </row>
    <row r="130" spans="2:23" ht="15" customHeight="1">
      <c r="B130" s="1056" t="s">
        <v>337</v>
      </c>
      <c r="C130" s="1476">
        <v>78.134182339999498</v>
      </c>
      <c r="D130" s="1167">
        <v>125685.05332428</v>
      </c>
      <c r="E130" s="1477">
        <v>100808.67102002</v>
      </c>
      <c r="F130" s="1167">
        <v>22706.988686069977</v>
      </c>
      <c r="G130" s="1477">
        <v>195646.58598940997</v>
      </c>
      <c r="H130" s="1345">
        <v>0</v>
      </c>
      <c r="I130" s="1477">
        <v>81344.277497149989</v>
      </c>
      <c r="J130" s="1167">
        <v>0</v>
      </c>
      <c r="K130" s="1477">
        <v>69908.899756682498</v>
      </c>
      <c r="L130" s="1345">
        <v>6246.7834311500001</v>
      </c>
      <c r="M130" s="1477">
        <v>53180.665080619998</v>
      </c>
      <c r="N130" s="1345">
        <v>0</v>
      </c>
      <c r="P130" s="1345"/>
      <c r="Q130" s="1345"/>
      <c r="R130" s="1345">
        <v>440462.447718554</v>
      </c>
      <c r="S130" s="1089"/>
      <c r="T130" s="1477"/>
      <c r="U130" s="1167">
        <v>103176.06063772338</v>
      </c>
      <c r="V130" s="1477">
        <v>116103.66879856057</v>
      </c>
      <c r="W130" s="1429">
        <v>1315348.2361225602</v>
      </c>
    </row>
    <row r="131" spans="2:23" ht="15" customHeight="1">
      <c r="B131" s="1056" t="s">
        <v>338</v>
      </c>
      <c r="C131" s="1476">
        <v>176.56966763330882</v>
      </c>
      <c r="D131" s="1167">
        <v>227001.81389829694</v>
      </c>
      <c r="E131" s="1477">
        <v>172666.48582276228</v>
      </c>
      <c r="F131" s="1167">
        <v>25998.206076965125</v>
      </c>
      <c r="G131" s="1477">
        <v>452772.61269386997</v>
      </c>
      <c r="H131" s="1345">
        <v>40326.731244226685</v>
      </c>
      <c r="I131" s="1477">
        <v>115193.34240423041</v>
      </c>
      <c r="J131" s="1167">
        <v>0</v>
      </c>
      <c r="K131" s="1477">
        <v>196310.33118742</v>
      </c>
      <c r="L131" s="1345">
        <v>4209.4506927499997</v>
      </c>
      <c r="M131" s="1477">
        <v>121677.46194443191</v>
      </c>
      <c r="N131" s="1345">
        <v>0</v>
      </c>
      <c r="P131" s="1345"/>
      <c r="Q131" s="1345"/>
      <c r="R131" s="1345">
        <v>870075.10100644233</v>
      </c>
      <c r="S131" s="1089"/>
      <c r="T131" s="1477"/>
      <c r="U131" s="1167">
        <v>230604.38968185498</v>
      </c>
      <c r="V131" s="1477">
        <v>544587.81879196048</v>
      </c>
      <c r="W131" s="1429">
        <v>3001600.3151128441</v>
      </c>
    </row>
    <row r="132" spans="2:23" ht="15" customHeight="1">
      <c r="B132" s="1056" t="s">
        <v>339</v>
      </c>
      <c r="C132" s="1476">
        <v>162.73255327000135</v>
      </c>
      <c r="D132" s="1167">
        <v>132017.20710929</v>
      </c>
      <c r="E132" s="1477">
        <v>220994.96187295581</v>
      </c>
      <c r="F132" s="1167">
        <v>20797.212923464285</v>
      </c>
      <c r="G132" s="1477">
        <v>459668.20490953</v>
      </c>
      <c r="H132" s="1345">
        <v>32010.77764729</v>
      </c>
      <c r="I132" s="1477">
        <v>105308.64525932999</v>
      </c>
      <c r="J132" s="1167">
        <v>0</v>
      </c>
      <c r="K132" s="1477">
        <v>154472.73912514851</v>
      </c>
      <c r="L132" s="1345">
        <v>13777.813047459998</v>
      </c>
      <c r="M132" s="1477">
        <v>153638.45549885998</v>
      </c>
      <c r="N132" s="1345">
        <v>0</v>
      </c>
      <c r="P132" s="1345"/>
      <c r="Q132" s="1345"/>
      <c r="R132" s="1345">
        <v>697177.837451039</v>
      </c>
      <c r="S132" s="1089"/>
      <c r="T132" s="1477"/>
      <c r="U132" s="1167">
        <v>209734.55625142259</v>
      </c>
      <c r="V132" s="1477">
        <v>612937.80463892058</v>
      </c>
      <c r="W132" s="1429">
        <v>2812698.9482879806</v>
      </c>
    </row>
    <row r="133" spans="2:23" ht="15" customHeight="1">
      <c r="B133" s="1056" t="s">
        <v>340</v>
      </c>
      <c r="C133" s="1476">
        <v>610.99759470999766</v>
      </c>
      <c r="D133" s="1167">
        <v>105296.59034128001</v>
      </c>
      <c r="E133" s="1477">
        <v>309821.66240516002</v>
      </c>
      <c r="F133" s="1167">
        <v>55744.738733840022</v>
      </c>
      <c r="G133" s="1477">
        <v>475838.26375505998</v>
      </c>
      <c r="H133" s="1345">
        <v>37447.130989379999</v>
      </c>
      <c r="I133" s="1477">
        <v>102495.18635019998</v>
      </c>
      <c r="J133" s="1167">
        <v>0</v>
      </c>
      <c r="K133" s="1477">
        <v>153578.1627318945</v>
      </c>
      <c r="L133" s="1345">
        <v>6767.4873127199999</v>
      </c>
      <c r="M133" s="1477">
        <v>135193.28949371004</v>
      </c>
      <c r="N133" s="1345">
        <v>0</v>
      </c>
      <c r="P133" s="1345"/>
      <c r="Q133" s="1345"/>
      <c r="R133" s="1345">
        <v>758439.21789419581</v>
      </c>
      <c r="S133" s="1089"/>
      <c r="T133" s="1477"/>
      <c r="U133" s="1167">
        <v>223114.37262318778</v>
      </c>
      <c r="V133" s="1477">
        <v>564622.12650542054</v>
      </c>
      <c r="W133" s="1429">
        <v>2928969.2267307588</v>
      </c>
    </row>
    <row r="134" spans="2:23" ht="15" customHeight="1">
      <c r="B134" s="1056" t="s">
        <v>341</v>
      </c>
      <c r="C134" s="1476">
        <v>949.28888282999333</v>
      </c>
      <c r="D134" s="1167">
        <v>193065.62836449</v>
      </c>
      <c r="E134" s="1477">
        <v>339269.20690766</v>
      </c>
      <c r="F134" s="1167">
        <v>41680.139351088124</v>
      </c>
      <c r="G134" s="1477">
        <v>437995.98975875002</v>
      </c>
      <c r="H134" s="1345">
        <v>58554.527647129995</v>
      </c>
      <c r="I134" s="1477">
        <v>110351.31518210001</v>
      </c>
      <c r="J134" s="1167">
        <v>0</v>
      </c>
      <c r="K134" s="1477">
        <v>161346.61474820902</v>
      </c>
      <c r="L134" s="1345">
        <v>4522.07215086</v>
      </c>
      <c r="M134" s="1477">
        <v>153113.69205292006</v>
      </c>
      <c r="N134" s="1345">
        <v>0</v>
      </c>
      <c r="P134" s="1345"/>
      <c r="Q134" s="1345"/>
      <c r="R134" s="1345">
        <v>880148.75049560727</v>
      </c>
      <c r="S134" s="1089"/>
      <c r="T134" s="1477"/>
      <c r="U134" s="1167">
        <v>290026.69059764693</v>
      </c>
      <c r="V134" s="1477">
        <v>565616.40549411054</v>
      </c>
      <c r="W134" s="1429">
        <v>3236640.3216334023</v>
      </c>
    </row>
    <row r="135" spans="2:23" ht="15" customHeight="1">
      <c r="B135" s="1056" t="s">
        <v>342</v>
      </c>
      <c r="C135" s="1476">
        <v>403.83829306999991</v>
      </c>
      <c r="D135" s="1167">
        <v>204713.4154685</v>
      </c>
      <c r="E135" s="1477">
        <v>254684.11846915996</v>
      </c>
      <c r="F135" s="1167">
        <v>187632.11155954003</v>
      </c>
      <c r="G135" s="1477">
        <v>440150.27334059199</v>
      </c>
      <c r="H135" s="1345">
        <v>65022.078938580002</v>
      </c>
      <c r="I135" s="1477">
        <v>97046.115540699961</v>
      </c>
      <c r="J135" s="1167">
        <v>0</v>
      </c>
      <c r="K135" s="1477">
        <v>176111.89708817302</v>
      </c>
      <c r="L135" s="1345">
        <v>13771.795465315001</v>
      </c>
      <c r="M135" s="1477">
        <v>173523.53413895995</v>
      </c>
      <c r="N135" s="1345">
        <v>0</v>
      </c>
      <c r="P135" s="1345"/>
      <c r="Q135" s="1345"/>
      <c r="R135" s="1345">
        <v>829479.4813957687</v>
      </c>
      <c r="S135" s="1089"/>
      <c r="T135" s="1477"/>
      <c r="U135" s="1167">
        <v>345029.25757743616</v>
      </c>
      <c r="V135" s="1477">
        <v>586015.62037943059</v>
      </c>
      <c r="W135" s="1429">
        <v>3373583.5376552255</v>
      </c>
    </row>
    <row r="136" spans="2:23" ht="15" customHeight="1">
      <c r="B136" s="1056" t="s">
        <v>343</v>
      </c>
      <c r="C136" s="1476">
        <v>370.54733542999838</v>
      </c>
      <c r="D136" s="1167">
        <v>222344.74891613997</v>
      </c>
      <c r="E136" s="1477">
        <v>387213.24200085131</v>
      </c>
      <c r="F136" s="1167">
        <v>160895.98519145601</v>
      </c>
      <c r="G136" s="1477">
        <v>326510.11814517213</v>
      </c>
      <c r="H136" s="1345">
        <v>50688.26818046</v>
      </c>
      <c r="I136" s="1477">
        <v>159225.39896172998</v>
      </c>
      <c r="J136" s="1167">
        <v>0</v>
      </c>
      <c r="K136" s="1477">
        <v>173990.88077662297</v>
      </c>
      <c r="L136" s="1345">
        <v>28127.23234509</v>
      </c>
      <c r="M136" s="1477">
        <v>187363.28318699996</v>
      </c>
      <c r="N136" s="1345">
        <v>0</v>
      </c>
      <c r="P136" s="1345"/>
      <c r="Q136" s="1345"/>
      <c r="R136" s="1345">
        <v>926663.73051511985</v>
      </c>
      <c r="S136" s="1089"/>
      <c r="T136" s="1477"/>
      <c r="U136" s="1167">
        <v>395549.48262822593</v>
      </c>
      <c r="V136" s="1477">
        <v>595811.62532184727</v>
      </c>
      <c r="W136" s="1429">
        <v>3614754.5435051457</v>
      </c>
    </row>
    <row r="137" spans="2:23" ht="15" customHeight="1">
      <c r="B137" s="1056" t="s">
        <v>344</v>
      </c>
      <c r="C137" s="1476">
        <v>403.65725255000001</v>
      </c>
      <c r="D137" s="1167">
        <v>251968.82514833997</v>
      </c>
      <c r="E137" s="1477">
        <v>457034.93757189671</v>
      </c>
      <c r="F137" s="1167">
        <v>261067.85714459882</v>
      </c>
      <c r="G137" s="1477">
        <v>345348.00450554758</v>
      </c>
      <c r="H137" s="1345">
        <v>56551.664933830005</v>
      </c>
      <c r="I137" s="1477">
        <v>185131.06142707003</v>
      </c>
      <c r="J137" s="1167">
        <v>0</v>
      </c>
      <c r="K137" s="1477">
        <v>166901.952642221</v>
      </c>
      <c r="L137" s="1345">
        <v>27875.943956040002</v>
      </c>
      <c r="M137" s="1477">
        <v>222503.05233434998</v>
      </c>
      <c r="N137" s="1345">
        <v>0.70983299</v>
      </c>
      <c r="P137" s="1345"/>
      <c r="Q137" s="1345"/>
      <c r="R137" s="1345">
        <v>973788.61406331626</v>
      </c>
      <c r="S137" s="1089"/>
      <c r="T137" s="1477"/>
      <c r="U137" s="1167">
        <v>507890.85112574213</v>
      </c>
      <c r="V137" s="1477">
        <v>658045.73575145262</v>
      </c>
      <c r="W137" s="1429">
        <v>4114512.8676899457</v>
      </c>
    </row>
    <row r="138" spans="2:23" ht="15" customHeight="1">
      <c r="B138" s="1782"/>
      <c r="C138" s="1476"/>
      <c r="D138" s="1783"/>
      <c r="E138" s="1477"/>
      <c r="F138" s="1783"/>
      <c r="G138" s="1477"/>
      <c r="H138" s="1784"/>
      <c r="I138" s="1477"/>
      <c r="J138" s="1783"/>
      <c r="K138" s="1477"/>
      <c r="L138" s="1784"/>
      <c r="M138" s="1477"/>
      <c r="N138" s="1784"/>
      <c r="P138" s="1345"/>
      <c r="Q138" s="1345"/>
      <c r="R138" s="1345"/>
      <c r="S138" s="1089"/>
      <c r="T138" s="1477"/>
      <c r="U138" s="1783"/>
      <c r="V138" s="1477"/>
      <c r="W138" s="1785"/>
    </row>
    <row r="139" spans="2:23" ht="15" customHeight="1">
      <c r="B139" s="1201">
        <v>2024</v>
      </c>
      <c r="C139" s="1476"/>
      <c r="D139" s="1783"/>
      <c r="E139" s="1477"/>
      <c r="F139" s="1783"/>
      <c r="G139" s="1477"/>
      <c r="H139" s="1784"/>
      <c r="I139" s="1477"/>
      <c r="J139" s="1783"/>
      <c r="K139" s="1477"/>
      <c r="L139" s="1784"/>
      <c r="M139" s="1477"/>
      <c r="N139" s="1784"/>
      <c r="P139" s="1345"/>
      <c r="Q139" s="1345"/>
      <c r="R139" s="1345"/>
      <c r="S139" s="1089"/>
      <c r="T139" s="1477"/>
      <c r="U139" s="1783"/>
      <c r="V139" s="1477"/>
      <c r="W139" s="1785"/>
    </row>
    <row r="140" spans="2:23" ht="15" customHeight="1">
      <c r="B140" s="1056" t="s">
        <v>345</v>
      </c>
      <c r="C140" s="1476">
        <v>367.86600717995975</v>
      </c>
      <c r="D140" s="1167">
        <v>368046.67105279997</v>
      </c>
      <c r="E140" s="1477">
        <v>524020.93252533011</v>
      </c>
      <c r="F140" s="1167">
        <v>471915.04855627997</v>
      </c>
      <c r="G140" s="1477">
        <v>363325.60001469386</v>
      </c>
      <c r="H140" s="1345">
        <v>40412.884915399998</v>
      </c>
      <c r="I140" s="1477">
        <v>280803.24303991004</v>
      </c>
      <c r="J140" s="1167">
        <v>0</v>
      </c>
      <c r="K140" s="1477">
        <v>280441.02774646098</v>
      </c>
      <c r="L140" s="1345">
        <v>45935.939753839994</v>
      </c>
      <c r="M140" s="1477">
        <v>339610.68783210998</v>
      </c>
      <c r="N140" s="1345">
        <v>0</v>
      </c>
      <c r="P140" s="1345"/>
      <c r="Q140" s="1345"/>
      <c r="R140" s="1345">
        <v>1563405.5109681338</v>
      </c>
      <c r="S140" s="1089"/>
      <c r="T140" s="1477"/>
      <c r="U140" s="1167">
        <v>649087.40607732337</v>
      </c>
      <c r="V140" s="1477">
        <v>742733.99893312354</v>
      </c>
      <c r="W140" s="1429">
        <v>5670106.8174225856</v>
      </c>
    </row>
    <row r="141" spans="2:23" ht="15" customHeight="1">
      <c r="B141" s="1056" t="s">
        <v>334</v>
      </c>
      <c r="C141" s="1476">
        <v>578.78214207000019</v>
      </c>
      <c r="D141" s="1167">
        <v>637645.16408357013</v>
      </c>
      <c r="E141" s="1477">
        <v>797581.24262785981</v>
      </c>
      <c r="F141" s="1167">
        <v>618074.58781377017</v>
      </c>
      <c r="G141" s="1477">
        <v>613309.68529643014</v>
      </c>
      <c r="H141" s="1345">
        <v>24680.409062259998</v>
      </c>
      <c r="I141" s="1477">
        <v>425783.17101870995</v>
      </c>
      <c r="J141" s="1167">
        <v>0</v>
      </c>
      <c r="K141" s="1477">
        <v>399313.53187586303</v>
      </c>
      <c r="L141" s="1345">
        <v>67900.169651639997</v>
      </c>
      <c r="M141" s="1477">
        <v>519513.36868356005</v>
      </c>
      <c r="N141" s="1345">
        <v>0</v>
      </c>
      <c r="P141" s="1345"/>
      <c r="Q141" s="1345"/>
      <c r="R141" s="1345">
        <v>2188186.8078510733</v>
      </c>
      <c r="S141" s="1089"/>
      <c r="T141" s="1477"/>
      <c r="U141" s="1167">
        <v>904519.57854809659</v>
      </c>
      <c r="V141" s="1477">
        <v>937957.63377019076</v>
      </c>
      <c r="W141" s="1429">
        <v>8135044.132425095</v>
      </c>
    </row>
    <row r="142" spans="2:23" ht="15" customHeight="1">
      <c r="B142" s="1056" t="s">
        <v>335</v>
      </c>
      <c r="C142" s="1476">
        <v>356.58905325000001</v>
      </c>
      <c r="D142" s="1167">
        <v>1026840.4861813801</v>
      </c>
      <c r="E142" s="1477">
        <v>1171941.3705325902</v>
      </c>
      <c r="F142" s="1167">
        <v>888362.31288374995</v>
      </c>
      <c r="G142" s="1477">
        <v>829470.39505962527</v>
      </c>
      <c r="H142" s="1345">
        <v>0</v>
      </c>
      <c r="I142" s="1477">
        <v>440943.82091632008</v>
      </c>
      <c r="J142" s="1167">
        <v>0</v>
      </c>
      <c r="K142" s="1477">
        <v>528820.46042128361</v>
      </c>
      <c r="L142" s="1345">
        <v>103276.28782116</v>
      </c>
      <c r="M142" s="1477">
        <v>787872.15461102</v>
      </c>
      <c r="N142" s="1345">
        <v>0</v>
      </c>
      <c r="P142" s="1345"/>
      <c r="Q142" s="1345"/>
      <c r="R142" s="1345">
        <v>3761909.7831325163</v>
      </c>
      <c r="S142" s="1089"/>
      <c r="T142" s="1477"/>
      <c r="U142" s="1167">
        <v>1403556.427317946</v>
      </c>
      <c r="V142" s="1477">
        <v>1697667.4605562598</v>
      </c>
      <c r="W142" s="1429">
        <v>12641017.548487101</v>
      </c>
    </row>
    <row r="143" spans="2:23" ht="15" customHeight="1">
      <c r="B143" s="1056" t="s">
        <v>336</v>
      </c>
      <c r="C143" s="1476">
        <v>1.0042664459621686</v>
      </c>
      <c r="D143" s="1167">
        <v>564.41357358905236</v>
      </c>
      <c r="E143" s="1477">
        <v>864.1188449227817</v>
      </c>
      <c r="F143" s="1167">
        <v>693.01166771059752</v>
      </c>
      <c r="G143" s="1477">
        <v>326.53431353757077</v>
      </c>
      <c r="H143" s="1345">
        <v>67.22152079</v>
      </c>
      <c r="I143" s="1477">
        <v>337.20720148126117</v>
      </c>
      <c r="J143" s="1167">
        <v>0</v>
      </c>
      <c r="K143" s="1477">
        <v>313.52991111099993</v>
      </c>
      <c r="L143" s="1345">
        <v>0</v>
      </c>
      <c r="M143" s="1477">
        <v>593.22736227883274</v>
      </c>
      <c r="N143" s="1345">
        <v>212.66653086000002</v>
      </c>
      <c r="P143" s="1345"/>
      <c r="Q143" s="1345"/>
      <c r="R143" s="1345">
        <v>2856.8106532451206</v>
      </c>
      <c r="S143" s="1089"/>
      <c r="T143" s="1477"/>
      <c r="U143" s="1167">
        <v>420.103563734555</v>
      </c>
      <c r="V143" s="1477">
        <v>824.1939243081772</v>
      </c>
      <c r="W143" s="1429">
        <v>8074.0433340149102</v>
      </c>
    </row>
    <row r="144" spans="2:23" ht="15" customHeight="1">
      <c r="B144" s="1056" t="s">
        <v>337</v>
      </c>
      <c r="C144" s="1476">
        <v>4.0211673399999999</v>
      </c>
      <c r="D144" s="1167">
        <v>639.24577050000005</v>
      </c>
      <c r="E144" s="1477">
        <v>783.16200562153551</v>
      </c>
      <c r="F144" s="1167">
        <v>772.62892368999997</v>
      </c>
      <c r="G144" s="1477">
        <v>296.20040967</v>
      </c>
      <c r="H144" s="1345">
        <v>109.57456754</v>
      </c>
      <c r="I144" s="1477">
        <v>407.55270539846447</v>
      </c>
      <c r="J144" s="1167">
        <v>0</v>
      </c>
      <c r="K144" s="1477">
        <v>303.73434124000005</v>
      </c>
      <c r="L144" s="1345">
        <v>0</v>
      </c>
      <c r="M144" s="1477">
        <v>309.24515436998428</v>
      </c>
      <c r="N144" s="1345">
        <v>19.806718750000002</v>
      </c>
      <c r="P144" s="1345"/>
      <c r="Q144" s="1345"/>
      <c r="R144" s="1345">
        <v>2946.5186340327318</v>
      </c>
      <c r="S144" s="1089"/>
      <c r="T144" s="1477"/>
      <c r="U144" s="1167">
        <v>712.13499715036926</v>
      </c>
      <c r="V144" s="1477">
        <v>903.71668667168353</v>
      </c>
      <c r="W144" s="1429">
        <v>8207.5420819747706</v>
      </c>
    </row>
    <row r="145" spans="2:23" ht="15" customHeight="1">
      <c r="B145" s="1056" t="s">
        <v>338</v>
      </c>
      <c r="C145" s="1476">
        <v>1.1134143799999987</v>
      </c>
      <c r="D145" s="1167">
        <v>520.33977247999997</v>
      </c>
      <c r="E145" s="1477">
        <v>1122.4286601199999</v>
      </c>
      <c r="F145" s="1167">
        <v>718.67382855999995</v>
      </c>
      <c r="G145" s="1477">
        <v>678.11123848999989</v>
      </c>
      <c r="H145" s="1345">
        <v>110.92363727</v>
      </c>
      <c r="I145" s="1477">
        <v>188.58187092000003</v>
      </c>
      <c r="J145" s="1167">
        <v>0</v>
      </c>
      <c r="K145" s="1477">
        <v>282.93516021800002</v>
      </c>
      <c r="L145" s="1345">
        <v>0</v>
      </c>
      <c r="M145" s="1477">
        <v>424.66988416000009</v>
      </c>
      <c r="N145" s="1345">
        <v>20.37990405</v>
      </c>
      <c r="P145" s="1345"/>
      <c r="Q145" s="1345"/>
      <c r="R145" s="1345">
        <v>2998.5738162733828</v>
      </c>
      <c r="S145" s="1089"/>
      <c r="T145" s="1477"/>
      <c r="U145" s="1167">
        <v>858.80152411539939</v>
      </c>
      <c r="V145" s="1477">
        <v>1229.7575851960203</v>
      </c>
      <c r="W145" s="1429">
        <v>9155.2902962328026</v>
      </c>
    </row>
    <row r="146" spans="2:23" ht="15" customHeight="1">
      <c r="B146" s="1056" t="s">
        <v>339</v>
      </c>
      <c r="C146" s="1476">
        <v>2.4459529400000006</v>
      </c>
      <c r="D146" s="1167">
        <v>681.00728358000003</v>
      </c>
      <c r="E146" s="1477">
        <v>918.18815767000001</v>
      </c>
      <c r="F146" s="1167">
        <v>640.29361634423162</v>
      </c>
      <c r="G146" s="1477">
        <v>336.22434228999998</v>
      </c>
      <c r="H146" s="1345">
        <v>99.787367110000005</v>
      </c>
      <c r="I146" s="1477">
        <v>676.70208590593847</v>
      </c>
      <c r="J146" s="1167">
        <v>0</v>
      </c>
      <c r="K146" s="1477">
        <v>276.23216727049999</v>
      </c>
      <c r="L146" s="1345">
        <v>5.0410958899999994</v>
      </c>
      <c r="M146" s="1477">
        <v>333.88642445973056</v>
      </c>
      <c r="N146" s="1345">
        <v>20.503048170000003</v>
      </c>
      <c r="P146" s="1345"/>
      <c r="Q146" s="1345"/>
      <c r="R146" s="1345">
        <v>3022.2088904982538</v>
      </c>
      <c r="S146" s="1089"/>
      <c r="T146" s="1477"/>
      <c r="U146" s="1167">
        <v>1332.2746529749118</v>
      </c>
      <c r="V146" s="1477">
        <v>1250.2969794960204</v>
      </c>
      <c r="W146" s="1429">
        <v>9595.0920645995866</v>
      </c>
    </row>
    <row r="147" spans="2:23" ht="15" customHeight="1">
      <c r="B147" s="1056" t="s">
        <v>340</v>
      </c>
      <c r="C147" s="1476">
        <v>1.11714376</v>
      </c>
      <c r="D147" s="1167">
        <v>642.16574945000002</v>
      </c>
      <c r="E147" s="1477">
        <v>853.31418683999993</v>
      </c>
      <c r="F147" s="1167">
        <v>852.13773343356422</v>
      </c>
      <c r="G147" s="1477">
        <v>428.12933144999994</v>
      </c>
      <c r="H147" s="1345">
        <v>0</v>
      </c>
      <c r="I147" s="1477">
        <v>764.64014250322248</v>
      </c>
      <c r="J147" s="1167">
        <v>0</v>
      </c>
      <c r="K147" s="1477">
        <v>246.22150789849996</v>
      </c>
      <c r="L147" s="1345">
        <v>5.1260274000000008</v>
      </c>
      <c r="M147" s="1477">
        <v>373.05866932423055</v>
      </c>
      <c r="N147" s="1345">
        <v>20.605221969999999</v>
      </c>
      <c r="P147" s="1345"/>
      <c r="Q147" s="1345"/>
      <c r="R147" s="1345">
        <v>3042.4697153339002</v>
      </c>
      <c r="S147" s="1089"/>
      <c r="T147" s="1477"/>
      <c r="U147" s="1167">
        <v>1811.759130507909</v>
      </c>
      <c r="V147" s="1477">
        <v>1318.8725775046937</v>
      </c>
      <c r="W147" s="1429">
        <v>10359.617137376019</v>
      </c>
    </row>
    <row r="148" spans="2:23" ht="15" customHeight="1">
      <c r="B148" s="1056" t="s">
        <v>341</v>
      </c>
      <c r="C148" s="1476">
        <v>1.0195761199999989</v>
      </c>
      <c r="D148" s="1167">
        <v>1230.9389515000005</v>
      </c>
      <c r="E148" s="1477">
        <v>1985.1287427100001</v>
      </c>
      <c r="F148" s="1167">
        <v>1121.1613936482361</v>
      </c>
      <c r="G148" s="1477">
        <v>705.38470439000002</v>
      </c>
      <c r="H148" s="1345">
        <v>0</v>
      </c>
      <c r="I148" s="1477">
        <v>555.50205191000009</v>
      </c>
      <c r="J148" s="1167">
        <v>0</v>
      </c>
      <c r="K148" s="1477">
        <v>431.01396982000006</v>
      </c>
      <c r="L148" s="1345">
        <v>34.519220789999999</v>
      </c>
      <c r="M148" s="1477">
        <v>1130.0321874942308</v>
      </c>
      <c r="N148" s="1345">
        <v>37.00733322</v>
      </c>
      <c r="P148" s="1345"/>
      <c r="Q148" s="1345"/>
      <c r="R148" s="1345">
        <v>4878.1463874552574</v>
      </c>
      <c r="S148" s="1089"/>
      <c r="T148" s="1477"/>
      <c r="U148" s="1167">
        <v>2054.8434693196355</v>
      </c>
      <c r="V148" s="1477">
        <v>2298.5890901990306</v>
      </c>
      <c r="W148" s="1429">
        <v>16463.287078576392</v>
      </c>
    </row>
    <row r="149" spans="2:23" ht="15" customHeight="1">
      <c r="B149" s="1056" t="s">
        <v>342</v>
      </c>
      <c r="C149" s="1476">
        <v>13.100001289999996</v>
      </c>
      <c r="D149" s="1167">
        <v>1166.1610456200001</v>
      </c>
      <c r="E149" s="1477">
        <v>2512.0030856400003</v>
      </c>
      <c r="F149" s="1167">
        <v>1391.5729805776932</v>
      </c>
      <c r="G149" s="1477">
        <v>769.73058071999992</v>
      </c>
      <c r="H149" s="1345">
        <v>0</v>
      </c>
      <c r="I149" s="1477">
        <v>745.10351306626796</v>
      </c>
      <c r="J149" s="1167">
        <v>0</v>
      </c>
      <c r="K149" s="1477">
        <v>502.21934024500001</v>
      </c>
      <c r="L149" s="1345">
        <v>5.293150680643997</v>
      </c>
      <c r="M149" s="1477">
        <v>1380.8907118942307</v>
      </c>
      <c r="N149" s="1345">
        <v>42.65456219</v>
      </c>
      <c r="P149" s="1345"/>
      <c r="Q149" s="1345"/>
      <c r="R149" s="1345">
        <v>5751.9474653857424</v>
      </c>
      <c r="S149" s="1089"/>
      <c r="T149" s="1477"/>
      <c r="U149" s="1167">
        <v>2214.7701644383019</v>
      </c>
      <c r="V149" s="1477">
        <v>2434.9866332790307</v>
      </c>
      <c r="W149" s="1429">
        <v>18930.433235026911</v>
      </c>
    </row>
    <row r="150" spans="2:23" ht="15" customHeight="1">
      <c r="B150" s="1056" t="s">
        <v>343</v>
      </c>
      <c r="C150" s="1476">
        <v>14.006984449999996</v>
      </c>
      <c r="D150" s="1167">
        <v>918.91216860999987</v>
      </c>
      <c r="E150" s="1477">
        <v>2141.2950906199999</v>
      </c>
      <c r="F150" s="1167">
        <v>1383.7732981996774</v>
      </c>
      <c r="G150" s="1477">
        <v>649.65755556999989</v>
      </c>
      <c r="H150" s="1345">
        <v>0</v>
      </c>
      <c r="I150" s="1477">
        <v>602.601317098197</v>
      </c>
      <c r="J150" s="1167">
        <v>0</v>
      </c>
      <c r="K150" s="1477">
        <v>367.57230169450003</v>
      </c>
      <c r="L150" s="1345">
        <v>5.3753424718029992</v>
      </c>
      <c r="M150" s="1477">
        <v>1293.8012901</v>
      </c>
      <c r="N150" s="1345">
        <v>39.4902935</v>
      </c>
      <c r="P150" s="1345"/>
      <c r="Q150" s="1345"/>
      <c r="R150" s="1345">
        <v>4997.46423354938</v>
      </c>
      <c r="S150" s="1089"/>
      <c r="T150" s="1477"/>
      <c r="U150" s="1167">
        <v>2566.8681481349809</v>
      </c>
      <c r="V150" s="1477">
        <v>2458.2583142468129</v>
      </c>
      <c r="W150" s="1429">
        <v>17439.076338245352</v>
      </c>
    </row>
    <row r="151" spans="2:23" ht="15" customHeight="1">
      <c r="B151" s="1056" t="s">
        <v>344</v>
      </c>
      <c r="C151" s="1476">
        <v>17.070721550000002</v>
      </c>
      <c r="D151" s="1167">
        <v>1089.4194353400001</v>
      </c>
      <c r="E151" s="1477">
        <v>2633.9479491397983</v>
      </c>
      <c r="F151" s="1167">
        <v>2306.6357431343376</v>
      </c>
      <c r="G151" s="1477">
        <v>754.53368013999977</v>
      </c>
      <c r="H151" s="1345">
        <v>0</v>
      </c>
      <c r="I151" s="1477">
        <v>675.66889328392006</v>
      </c>
      <c r="J151" s="1167">
        <v>0</v>
      </c>
      <c r="K151" s="1477">
        <v>360.99126760949997</v>
      </c>
      <c r="L151" s="1345">
        <v>0</v>
      </c>
      <c r="M151" s="1477">
        <v>1424.9238871500002</v>
      </c>
      <c r="N151" s="1345">
        <v>35.369444399999999</v>
      </c>
      <c r="P151" s="1345"/>
      <c r="Q151" s="1345"/>
      <c r="R151" s="1345">
        <v>5500.767463195838</v>
      </c>
      <c r="S151" s="1089"/>
      <c r="T151" s="1477"/>
      <c r="U151" s="1167">
        <v>2343.8532329897862</v>
      </c>
      <c r="V151" s="1477">
        <v>2593.2975919041087</v>
      </c>
      <c r="W151" s="1429">
        <v>19736.479309837287</v>
      </c>
    </row>
    <row r="152" spans="2:23" ht="15" customHeight="1">
      <c r="B152" s="1782"/>
      <c r="C152" s="1476"/>
      <c r="D152" s="1783"/>
      <c r="E152" s="1477"/>
      <c r="F152" s="1783"/>
      <c r="G152" s="1477"/>
      <c r="H152" s="1784"/>
      <c r="I152" s="1477"/>
      <c r="J152" s="1783"/>
      <c r="K152" s="1477"/>
      <c r="L152" s="1784"/>
      <c r="M152" s="1477"/>
      <c r="N152" s="1784"/>
      <c r="P152" s="1345"/>
      <c r="Q152" s="1345"/>
      <c r="R152" s="1345"/>
      <c r="S152" s="1089"/>
      <c r="T152" s="1477"/>
      <c r="U152" s="1783"/>
      <c r="V152" s="1477"/>
      <c r="W152" s="1785"/>
    </row>
    <row r="153" spans="2:23" ht="15" customHeight="1">
      <c r="B153" s="1201">
        <v>2025</v>
      </c>
      <c r="C153" s="1476"/>
      <c r="D153" s="1783"/>
      <c r="E153" s="1477"/>
      <c r="F153" s="1783"/>
      <c r="G153" s="1477"/>
      <c r="H153" s="1784"/>
      <c r="I153" s="1477"/>
      <c r="J153" s="1783"/>
      <c r="K153" s="1477"/>
      <c r="L153" s="1784"/>
      <c r="M153" s="1477"/>
      <c r="N153" s="1784"/>
      <c r="P153" s="1345"/>
      <c r="Q153" s="1345"/>
      <c r="R153" s="1345"/>
      <c r="S153" s="1089"/>
      <c r="T153" s="1477"/>
      <c r="U153" s="1783"/>
      <c r="V153" s="1477"/>
      <c r="W153" s="1785"/>
    </row>
    <row r="154" spans="2:23" ht="15" customHeight="1">
      <c r="B154" s="1056" t="s">
        <v>345</v>
      </c>
      <c r="C154" s="1476">
        <v>13.109769579291228</v>
      </c>
      <c r="D154" s="1167">
        <v>939.3784221971647</v>
      </c>
      <c r="E154" s="1477">
        <v>2348.5430144766965</v>
      </c>
      <c r="F154" s="1167">
        <v>616.79146614071999</v>
      </c>
      <c r="G154" s="1477">
        <v>637.30533156999979</v>
      </c>
      <c r="H154" s="1345">
        <v>0</v>
      </c>
      <c r="I154" s="1477">
        <v>1028.478363885808</v>
      </c>
      <c r="J154" s="1167">
        <v>0</v>
      </c>
      <c r="K154" s="1477">
        <v>0</v>
      </c>
      <c r="L154" s="1345">
        <v>1019.19865056</v>
      </c>
      <c r="M154" s="1477">
        <v>1294.6519279100942</v>
      </c>
      <c r="N154" s="1345">
        <v>0</v>
      </c>
      <c r="O154" s="1477">
        <v>356.5695667251</v>
      </c>
      <c r="P154" s="1345">
        <v>317.50133168531801</v>
      </c>
      <c r="Q154" s="1345">
        <v>5353.2386046611928</v>
      </c>
      <c r="R154" s="1345">
        <v>5670.739936346512</v>
      </c>
      <c r="S154" s="1806">
        <v>199.403055858568</v>
      </c>
      <c r="T154" s="1477">
        <v>0</v>
      </c>
      <c r="U154" s="1167">
        <v>3001.4473158472783</v>
      </c>
      <c r="V154" s="1477">
        <v>3282.0639744377036</v>
      </c>
      <c r="W154" s="1429">
        <v>20407.680795534936</v>
      </c>
    </row>
    <row r="155" spans="2:23" ht="15" customHeight="1">
      <c r="B155" s="1056" t="s">
        <v>334</v>
      </c>
      <c r="C155" s="1476">
        <v>13.868883119291253</v>
      </c>
      <c r="D155" s="1167">
        <v>980.66290966716474</v>
      </c>
      <c r="E155" s="1477">
        <v>2545.4688014166954</v>
      </c>
      <c r="F155" s="1167">
        <v>628.64538783707405</v>
      </c>
      <c r="G155" s="1477">
        <v>695.12099659999978</v>
      </c>
      <c r="H155" s="1345">
        <v>0</v>
      </c>
      <c r="I155" s="1477">
        <v>753.22456290206389</v>
      </c>
      <c r="J155" s="1167">
        <v>0</v>
      </c>
      <c r="K155" s="1477">
        <v>0</v>
      </c>
      <c r="L155" s="1345">
        <v>997.79792320000035</v>
      </c>
      <c r="M155" s="1477">
        <v>1428.4387441428512</v>
      </c>
      <c r="N155" s="1345">
        <v>0</v>
      </c>
      <c r="O155" s="1477">
        <v>335.06551994350008</v>
      </c>
      <c r="P155" s="1345">
        <v>535.05242859252519</v>
      </c>
      <c r="Q155" s="1345">
        <v>5302.8253444752809</v>
      </c>
      <c r="R155" s="1345">
        <v>5837.8777730678066</v>
      </c>
      <c r="S155" s="1806">
        <v>199.403055858568</v>
      </c>
      <c r="T155" s="1477">
        <v>0</v>
      </c>
      <c r="U155" s="1167">
        <v>1754.3966330649839</v>
      </c>
      <c r="V155" s="1477">
        <v>3294.2347981649846</v>
      </c>
      <c r="W155" s="1429">
        <v>19464.205988984984</v>
      </c>
    </row>
    <row r="156" spans="2:23" ht="15" customHeight="1">
      <c r="B156" s="1056" t="s">
        <v>335</v>
      </c>
      <c r="C156" s="1476">
        <v>20.41149403743011</v>
      </c>
      <c r="D156" s="1167">
        <v>1031.2884020195438</v>
      </c>
      <c r="E156" s="1477">
        <v>2349.0469054831733</v>
      </c>
      <c r="F156" s="1167">
        <v>786.92886025533164</v>
      </c>
      <c r="G156" s="1477">
        <v>517.92232774619993</v>
      </c>
      <c r="H156" s="1345">
        <v>0</v>
      </c>
      <c r="I156" s="1477">
        <v>844.93126898391802</v>
      </c>
      <c r="J156" s="1167">
        <v>0</v>
      </c>
      <c r="K156" s="1477">
        <v>0</v>
      </c>
      <c r="L156" s="1345">
        <v>1066.73660552</v>
      </c>
      <c r="M156" s="1477">
        <v>1604.3712107018332</v>
      </c>
      <c r="N156" s="1345">
        <v>0</v>
      </c>
      <c r="O156" s="1477">
        <v>284.48475216699995</v>
      </c>
      <c r="P156" s="1345">
        <v>358.44471468047931</v>
      </c>
      <c r="Q156" s="1345">
        <v>5601.2065734620182</v>
      </c>
      <c r="R156" s="1345">
        <v>5959.6512881424969</v>
      </c>
      <c r="S156" s="1806">
        <v>121.02595792158768</v>
      </c>
      <c r="T156" s="1477">
        <v>0</v>
      </c>
      <c r="U156" s="1167">
        <v>1684.8984675698709</v>
      </c>
      <c r="V156" s="1477">
        <v>3466.0385259116506</v>
      </c>
      <c r="W156" s="1429">
        <v>19737.736066460035</v>
      </c>
    </row>
    <row r="157" spans="2:23" ht="15" customHeight="1">
      <c r="B157" s="1056" t="s">
        <v>336</v>
      </c>
      <c r="C157" s="1476">
        <v>17.847586465412153</v>
      </c>
      <c r="D157" s="1167">
        <v>1038.395029448852</v>
      </c>
      <c r="E157" s="1477">
        <v>2522.2403467684298</v>
      </c>
      <c r="F157" s="1167">
        <v>766.43636469823002</v>
      </c>
      <c r="G157" s="1477">
        <v>514.35593516999995</v>
      </c>
      <c r="H157" s="1345">
        <v>0</v>
      </c>
      <c r="I157" s="1477">
        <v>900.03958322159792</v>
      </c>
      <c r="J157" s="1167">
        <v>0</v>
      </c>
      <c r="K157" s="1477">
        <v>0</v>
      </c>
      <c r="L157" s="1345">
        <v>1084.23255752</v>
      </c>
      <c r="M157" s="1477">
        <v>1815.7140697169732</v>
      </c>
      <c r="N157" s="1345">
        <v>0</v>
      </c>
      <c r="O157" s="1477">
        <v>284.48475216699995</v>
      </c>
      <c r="P157" s="1345">
        <v>322.92870410634038</v>
      </c>
      <c r="Q157" s="1345">
        <v>5519.6949315561887</v>
      </c>
      <c r="R157" s="1345">
        <v>5842.6236356625286</v>
      </c>
      <c r="S157" s="1806">
        <v>111.44839769532196</v>
      </c>
      <c r="T157" s="1477">
        <v>0</v>
      </c>
      <c r="U157" s="1167">
        <v>1736.6283561397668</v>
      </c>
      <c r="V157" s="1477">
        <v>3476.8565088628297</v>
      </c>
      <c r="W157" s="1429">
        <v>20111.303123536942</v>
      </c>
    </row>
    <row r="158" spans="2:23" ht="15" customHeight="1">
      <c r="B158" s="1056" t="s">
        <v>337</v>
      </c>
      <c r="C158" s="1476">
        <v>26.354163339820047</v>
      </c>
      <c r="D158" s="1167">
        <v>855.36329509886002</v>
      </c>
      <c r="E158" s="1477">
        <v>2940.4059186319396</v>
      </c>
      <c r="F158" s="1167">
        <v>801.85936069901993</v>
      </c>
      <c r="G158" s="1477">
        <v>906.24492023000016</v>
      </c>
      <c r="H158" s="1345">
        <v>0</v>
      </c>
      <c r="I158" s="1477">
        <v>1009.6109603837799</v>
      </c>
      <c r="J158" s="1167">
        <v>0</v>
      </c>
      <c r="K158" s="1477">
        <v>0</v>
      </c>
      <c r="L158" s="1345">
        <v>1098.3575484800003</v>
      </c>
      <c r="M158" s="1477">
        <v>1814.4994017644242</v>
      </c>
      <c r="N158" s="1345">
        <v>0</v>
      </c>
      <c r="O158" s="1477">
        <v>204.27007099200003</v>
      </c>
      <c r="P158" s="1345">
        <v>695.61226625642701</v>
      </c>
      <c r="Q158" s="1345">
        <v>5865.6261056551302</v>
      </c>
      <c r="R158" s="1345">
        <v>6561.238371911556</v>
      </c>
      <c r="S158" s="1806">
        <v>139.75215673098012</v>
      </c>
      <c r="T158" s="1477">
        <v>0</v>
      </c>
      <c r="U158" s="1167">
        <v>2062.4385020771001</v>
      </c>
      <c r="V158" s="1477">
        <v>3495.2114290529798</v>
      </c>
      <c r="W158" s="1429">
        <v>21915.606099392462</v>
      </c>
    </row>
    <row r="159" spans="2:23" ht="15" customHeight="1">
      <c r="B159" s="1056" t="s">
        <v>338</v>
      </c>
      <c r="C159" s="1476">
        <v>28.971903529298999</v>
      </c>
      <c r="D159" s="1167">
        <v>803.01500137142523</v>
      </c>
      <c r="E159" s="1477">
        <v>2966.8034771622765</v>
      </c>
      <c r="F159" s="1167">
        <v>631.12176104498781</v>
      </c>
      <c r="G159" s="1477">
        <v>823.66623570999991</v>
      </c>
      <c r="H159" s="1345">
        <v>0</v>
      </c>
      <c r="I159" s="1477">
        <v>1262.5451692157128</v>
      </c>
      <c r="J159" s="1167">
        <v>0</v>
      </c>
      <c r="K159" s="1477">
        <v>0</v>
      </c>
      <c r="L159" s="1345">
        <v>1046.2518215413386</v>
      </c>
      <c r="M159" s="1477">
        <v>1892.1517304429956</v>
      </c>
      <c r="N159" s="1345">
        <v>0</v>
      </c>
      <c r="O159" s="1477">
        <v>197.51922359949992</v>
      </c>
      <c r="P159" s="1345">
        <v>635.7251245877585</v>
      </c>
      <c r="Q159" s="1345">
        <v>6405.0814214195143</v>
      </c>
      <c r="R159" s="1345">
        <v>7040.806546007273</v>
      </c>
      <c r="S159" s="1806">
        <v>232.21369986118208</v>
      </c>
      <c r="T159" s="1477">
        <v>0</v>
      </c>
      <c r="U159" s="1167">
        <v>1786.6869345342629</v>
      </c>
      <c r="V159" s="1477">
        <v>3716.9115087974565</v>
      </c>
      <c r="W159" s="1429">
        <v>22428.665012817713</v>
      </c>
    </row>
    <row r="160" spans="2:23" ht="15" customHeight="1">
      <c r="B160" s="1056" t="s">
        <v>339</v>
      </c>
      <c r="C160" s="1476">
        <v>28.971903529299002</v>
      </c>
      <c r="D160" s="1167">
        <v>803.01500137142523</v>
      </c>
      <c r="E160" s="1477">
        <v>2966.8034771622761</v>
      </c>
      <c r="F160" s="1167">
        <v>631.12176104498781</v>
      </c>
      <c r="G160" s="1477">
        <v>823.66623570999991</v>
      </c>
      <c r="H160" s="1345">
        <v>0</v>
      </c>
      <c r="I160" s="1477">
        <v>1262.5451692157126</v>
      </c>
      <c r="J160" s="1167">
        <v>0</v>
      </c>
      <c r="K160" s="1477">
        <v>0</v>
      </c>
      <c r="L160" s="1345">
        <v>1046.2518215413388</v>
      </c>
      <c r="M160" s="1477">
        <v>1892.1517304429958</v>
      </c>
      <c r="N160" s="1345">
        <v>0</v>
      </c>
      <c r="O160" s="1477">
        <v>197.51922359949995</v>
      </c>
      <c r="P160" s="1345">
        <v>635.72512458775839</v>
      </c>
      <c r="Q160" s="1345">
        <v>6405.0814214195143</v>
      </c>
      <c r="R160" s="1345">
        <v>7040.8065460072721</v>
      </c>
      <c r="S160" s="1806">
        <v>232.21369986118205</v>
      </c>
      <c r="T160" s="1477">
        <v>0</v>
      </c>
      <c r="U160" s="1167">
        <v>1786.6869345342629</v>
      </c>
      <c r="V160" s="1477">
        <v>3716.9115087974569</v>
      </c>
      <c r="W160" s="1429">
        <v>22428.665012817713</v>
      </c>
    </row>
    <row r="161" spans="2:26" ht="15" customHeight="1">
      <c r="B161" s="1056" t="s">
        <v>340</v>
      </c>
      <c r="C161" s="1476">
        <v>32.311985714951255</v>
      </c>
      <c r="D161" s="1167">
        <v>1148.1576023493872</v>
      </c>
      <c r="E161" s="1477">
        <v>3101.2862075201724</v>
      </c>
      <c r="F161" s="1167">
        <v>1361.3508393877992</v>
      </c>
      <c r="G161" s="1477">
        <v>1468.4365916799998</v>
      </c>
      <c r="H161" s="1345">
        <v>0</v>
      </c>
      <c r="I161" s="1477">
        <v>892.08263992247657</v>
      </c>
      <c r="J161" s="1167">
        <v>0</v>
      </c>
      <c r="K161" s="1477">
        <v>0</v>
      </c>
      <c r="L161" s="1345">
        <v>1235.6029744993803</v>
      </c>
      <c r="M161" s="1477">
        <v>1835.980739559019</v>
      </c>
      <c r="N161" s="1345">
        <v>0</v>
      </c>
      <c r="O161" s="1477">
        <v>113.76270328099999</v>
      </c>
      <c r="P161" s="1345">
        <v>639.9478974159889</v>
      </c>
      <c r="Q161" s="1345">
        <v>6476.6165090199929</v>
      </c>
      <c r="R161" s="1345">
        <v>7116.5644064359831</v>
      </c>
      <c r="S161" s="1806">
        <v>593.14776266309195</v>
      </c>
      <c r="T161" s="1477">
        <v>0</v>
      </c>
      <c r="U161" s="1167">
        <v>2036.4038305513741</v>
      </c>
      <c r="V161" s="1477">
        <v>3683.454557183044</v>
      </c>
      <c r="W161" s="1429">
        <v>24618.542840747679</v>
      </c>
    </row>
    <row r="162" spans="2:26" ht="14.25" customHeight="1">
      <c r="B162" s="1056" t="s">
        <v>341</v>
      </c>
      <c r="C162" s="1476">
        <v>34.382297314987234</v>
      </c>
      <c r="D162" s="1167">
        <v>1218.4698988876144</v>
      </c>
      <c r="E162" s="1477">
        <v>3280.9783343763738</v>
      </c>
      <c r="F162" s="1167">
        <v>813.08043296156086</v>
      </c>
      <c r="G162" s="1477">
        <v>1259.4737413</v>
      </c>
      <c r="H162" s="1345">
        <v>0</v>
      </c>
      <c r="I162" s="1477">
        <v>830.28023547486407</v>
      </c>
      <c r="J162" s="1167">
        <v>0</v>
      </c>
      <c r="K162" s="1477">
        <v>0</v>
      </c>
      <c r="L162" s="1345">
        <v>1226.3569938973719</v>
      </c>
      <c r="M162" s="1477">
        <v>2125.701430247183</v>
      </c>
      <c r="N162" s="1345">
        <v>0</v>
      </c>
      <c r="O162" s="1477">
        <v>107.35269470350001</v>
      </c>
      <c r="P162" s="1345">
        <v>842.56607378179376</v>
      </c>
      <c r="Q162" s="1345">
        <v>6263.1068473467967</v>
      </c>
      <c r="R162" s="1345">
        <v>7105.672921128592</v>
      </c>
      <c r="S162" s="1806">
        <v>451.22689436805399</v>
      </c>
      <c r="T162" s="1477">
        <v>0</v>
      </c>
      <c r="U162" s="1167">
        <v>2125.868512993175</v>
      </c>
      <c r="V162" s="1477">
        <v>3664.0094575654603</v>
      </c>
      <c r="W162" s="1429">
        <v>24242.853845218735</v>
      </c>
    </row>
    <row r="163" spans="2:26" ht="15" customHeight="1">
      <c r="B163" s="1056" t="s">
        <v>342</v>
      </c>
      <c r="C163" s="1476">
        <v>43.337998027102209</v>
      </c>
      <c r="D163" s="1167">
        <v>1267.2538675156111</v>
      </c>
      <c r="E163" s="1477">
        <v>3557.9770395469</v>
      </c>
      <c r="F163" s="1167">
        <v>979.79498389723506</v>
      </c>
      <c r="G163" s="1477">
        <v>1167.1818493499998</v>
      </c>
      <c r="H163" s="1345">
        <v>0</v>
      </c>
      <c r="I163" s="1477">
        <v>825.70349538900007</v>
      </c>
      <c r="J163" s="1167">
        <v>0</v>
      </c>
      <c r="K163" s="1477">
        <v>0</v>
      </c>
      <c r="L163" s="1345">
        <v>1303.6997179957748</v>
      </c>
      <c r="M163" s="1477">
        <v>2339.1022030033523</v>
      </c>
      <c r="N163" s="1345">
        <v>0</v>
      </c>
      <c r="O163" s="1477">
        <v>192.07433718850001</v>
      </c>
      <c r="P163" s="1345">
        <v>740.98460404673335</v>
      </c>
      <c r="Q163" s="1345">
        <v>5924.4325689895977</v>
      </c>
      <c r="R163" s="1345">
        <v>6665.4171730363305</v>
      </c>
      <c r="S163" s="1806">
        <v>439.44516621826006</v>
      </c>
      <c r="T163" s="1477">
        <v>0</v>
      </c>
      <c r="U163" s="1167">
        <v>2552.1419145491705</v>
      </c>
      <c r="V163" s="1477">
        <v>3279.2972022628323</v>
      </c>
      <c r="W163" s="1429">
        <v>24612.426947980068</v>
      </c>
    </row>
    <row r="164" spans="2:26" ht="15" customHeight="1">
      <c r="B164" s="1056" t="s">
        <v>343</v>
      </c>
      <c r="C164" s="1476">
        <v>52.618078117629437</v>
      </c>
      <c r="D164" s="1167">
        <v>1073.8584043914261</v>
      </c>
      <c r="E164" s="1477">
        <v>3496.9523060956217</v>
      </c>
      <c r="F164" s="1167">
        <v>941.88750695460692</v>
      </c>
      <c r="G164" s="1477">
        <v>1383.6140495799996</v>
      </c>
      <c r="H164" s="1345">
        <v>0</v>
      </c>
      <c r="I164" s="1477">
        <v>934.09775892901996</v>
      </c>
      <c r="J164" s="1167">
        <v>0</v>
      </c>
      <c r="K164" s="1477">
        <v>0</v>
      </c>
      <c r="L164" s="1345">
        <v>1285.1136363503178</v>
      </c>
      <c r="M164" s="1477">
        <v>2404.5220739523816</v>
      </c>
      <c r="N164" s="1345">
        <v>0</v>
      </c>
      <c r="O164" s="1477">
        <v>196.638562893</v>
      </c>
      <c r="P164" s="1345">
        <v>747.07436092642922</v>
      </c>
      <c r="Q164" s="1345">
        <v>5896.2329001005537</v>
      </c>
      <c r="R164" s="1345">
        <v>6643.3072610269828</v>
      </c>
      <c r="S164" s="1806">
        <v>445.04126935031803</v>
      </c>
      <c r="T164" s="1477">
        <v>0</v>
      </c>
      <c r="U164" s="1167">
        <v>2697.9106880179615</v>
      </c>
      <c r="V164" s="1477">
        <v>3293.4267324543548</v>
      </c>
      <c r="W164" s="1429">
        <v>24848.988328113621</v>
      </c>
      <c r="Y164" s="616">
        <f>W164-'[47]Table 6 Build S Liabilities'!U167</f>
        <v>1.129556039813906E-7</v>
      </c>
      <c r="Z164" s="616">
        <f>W164+'[47]Table 3 Comm Assets '!W164-'[47]Table 1 ODCs Assets'!W164</f>
        <v>-3980.0798232449742</v>
      </c>
    </row>
    <row r="165" spans="2:26" ht="15" customHeight="1">
      <c r="B165" s="1056" t="s">
        <v>344</v>
      </c>
      <c r="C165" s="1476">
        <v>56.554412726281434</v>
      </c>
      <c r="D165" s="1">
        <v>1353.2717569191511</v>
      </c>
      <c r="E165" s="1477">
        <v>3358.2585348763987</v>
      </c>
      <c r="F165" s="1">
        <v>770.65930630604589</v>
      </c>
      <c r="G165" s="1477">
        <v>1357.1085304400001</v>
      </c>
      <c r="H165" s="1799">
        <v>0</v>
      </c>
      <c r="I165" s="1477">
        <v>813.65151312675187</v>
      </c>
      <c r="J165" s="1">
        <v>0</v>
      </c>
      <c r="K165" s="1477">
        <v>0</v>
      </c>
      <c r="L165" s="1799">
        <v>1218.2367698922108</v>
      </c>
      <c r="M165" s="1477">
        <v>2301.7137869750613</v>
      </c>
      <c r="N165" s="1799">
        <v>0</v>
      </c>
      <c r="O165" s="1477">
        <v>240.07102508999998</v>
      </c>
      <c r="P165" s="1799">
        <v>688.35443080130153</v>
      </c>
      <c r="Q165" s="1799">
        <v>5536.9368536907587</v>
      </c>
      <c r="R165" s="1345">
        <v>6225.2912844920593</v>
      </c>
      <c r="S165" s="1806">
        <v>499.15232066775502</v>
      </c>
      <c r="T165" s="1477">
        <v>0</v>
      </c>
      <c r="U165" s="1">
        <v>2126.2937755598373</v>
      </c>
      <c r="V165" s="1477">
        <v>2524.9592018348662</v>
      </c>
      <c r="W165" s="2">
        <v>22845.222218906423</v>
      </c>
    </row>
    <row r="166" spans="2:26" ht="15" customHeight="1" thickBot="1">
      <c r="B166" s="1786"/>
      <c r="C166" s="1787"/>
      <c r="D166" s="1788"/>
      <c r="E166" s="1789"/>
      <c r="F166" s="1788"/>
      <c r="G166" s="1789"/>
      <c r="H166" s="1790"/>
      <c r="I166" s="1789"/>
      <c r="J166" s="1788"/>
      <c r="K166" s="1789"/>
      <c r="L166" s="1790"/>
      <c r="M166" s="1789"/>
      <c r="N166" s="1790"/>
      <c r="O166" s="1790"/>
      <c r="P166" s="1790"/>
      <c r="Q166" s="1790"/>
      <c r="R166" s="1789"/>
      <c r="S166" s="1790"/>
      <c r="T166" s="1800"/>
      <c r="U166" s="1788"/>
      <c r="V166" s="1789"/>
      <c r="W166" s="1791"/>
    </row>
    <row r="167" spans="2:26" ht="15" customHeight="1">
      <c r="B167" s="1803"/>
      <c r="C167" s="1476"/>
      <c r="D167" s="1804"/>
      <c r="E167" s="1477"/>
      <c r="F167" s="1804"/>
      <c r="G167" s="1477"/>
      <c r="H167" s="1477"/>
      <c r="I167" s="1477"/>
      <c r="J167" s="1804"/>
      <c r="K167" s="1477"/>
      <c r="L167" s="1477"/>
      <c r="M167" s="1477"/>
      <c r="N167" s="1477"/>
      <c r="O167" s="1477"/>
      <c r="P167" s="1477"/>
      <c r="Q167" s="1477"/>
      <c r="R167" s="1477"/>
      <c r="S167" s="1477"/>
      <c r="T167" s="1477"/>
      <c r="U167" s="1804"/>
      <c r="V167" s="1477"/>
      <c r="W167" s="1805"/>
    </row>
    <row r="168" spans="2:26" ht="15.6">
      <c r="B168" s="1430" t="s">
        <v>1798</v>
      </c>
      <c r="C168" s="928"/>
      <c r="D168" s="928"/>
      <c r="E168" s="1071"/>
      <c r="F168" s="1071"/>
      <c r="G168" s="1071"/>
      <c r="H168" s="1071"/>
      <c r="I168" s="1071"/>
      <c r="J168" s="1071"/>
      <c r="K168" s="1071"/>
      <c r="L168" s="1071"/>
      <c r="M168" s="1071"/>
      <c r="N168" s="1071"/>
      <c r="O168" s="1071"/>
      <c r="P168" s="1071"/>
      <c r="Q168" s="1071"/>
      <c r="R168" s="1071"/>
      <c r="S168" s="1071"/>
      <c r="T168" s="1071"/>
      <c r="U168" s="1071"/>
      <c r="V168" s="1071"/>
      <c r="W168" s="1071"/>
      <c r="X168" s="1072"/>
    </row>
    <row r="169" spans="2:26">
      <c r="D169" s="1071"/>
      <c r="E169" s="1071"/>
      <c r="F169" s="1071"/>
      <c r="G169" s="1071"/>
      <c r="H169" s="1071"/>
      <c r="I169" s="1071"/>
      <c r="J169" s="1071"/>
      <c r="K169" s="1071"/>
      <c r="L169" s="1071"/>
      <c r="M169" s="1071"/>
      <c r="N169" s="1071"/>
      <c r="O169" s="1071"/>
      <c r="P169" s="1071"/>
      <c r="Q169" s="1071"/>
      <c r="S169" s="1071"/>
      <c r="T169" s="1071"/>
      <c r="U169" s="1071"/>
      <c r="V169" s="1071"/>
      <c r="W169" s="1071"/>
      <c r="X169" s="1072"/>
    </row>
    <row r="170" spans="2:26" ht="15.6">
      <c r="B170" s="239" t="s">
        <v>998</v>
      </c>
    </row>
    <row r="171" spans="2:26" s="923" customFormat="1" ht="13.8">
      <c r="B171" s="923" t="s">
        <v>1749</v>
      </c>
    </row>
    <row r="172" spans="2:26" s="923" customFormat="1" ht="13.8">
      <c r="B172" s="923" t="s">
        <v>1731</v>
      </c>
    </row>
    <row r="173" spans="2:26" s="923" customFormat="1" ht="13.8">
      <c r="B173" s="923" t="s">
        <v>1732</v>
      </c>
    </row>
    <row r="174" spans="2:26" s="923" customFormat="1" ht="13.8"/>
    <row r="175" spans="2:26" s="923" customFormat="1" ht="13.8"/>
    <row r="176" spans="2:26" s="923" customFormat="1" ht="13.8"/>
    <row r="177" s="923" customFormat="1" ht="13.8"/>
    <row r="178" s="923" customFormat="1" ht="13.8"/>
    <row r="179" s="923" customFormat="1" ht="13.8"/>
    <row r="180" s="923" customFormat="1" ht="13.8"/>
    <row r="181" s="923" customFormat="1" ht="13.8"/>
    <row r="182" s="923" customFormat="1" ht="13.8"/>
    <row r="183" s="923" customFormat="1" ht="13.8"/>
    <row r="184" s="923" customFormat="1" ht="13.8"/>
    <row r="185" s="923" customFormat="1" ht="13.8"/>
    <row r="186" s="923" customFormat="1" ht="13.8"/>
    <row r="187" s="923" customFormat="1" ht="13.8"/>
    <row r="188" s="923" customFormat="1" ht="13.8"/>
    <row r="189" s="923" customFormat="1" ht="13.8"/>
    <row r="190" s="923" customFormat="1" ht="13.8"/>
    <row r="191" s="923" customFormat="1" ht="13.8"/>
    <row r="192" s="923" customFormat="1" ht="13.8"/>
    <row r="193" s="923" customFormat="1" ht="13.8"/>
    <row r="194" s="923" customFormat="1" ht="13.8"/>
    <row r="195" s="923" customFormat="1" ht="13.8"/>
    <row r="196" s="923" customFormat="1" ht="13.8"/>
    <row r="197" s="923" customFormat="1" ht="13.8"/>
    <row r="198" s="923" customFormat="1" ht="13.8"/>
    <row r="199" s="923" customFormat="1" ht="13.8"/>
    <row r="200" s="923" customFormat="1" ht="13.8"/>
    <row r="201" s="923" customFormat="1" ht="13.8"/>
    <row r="202" s="923" customFormat="1" ht="13.8"/>
    <row r="203" s="923" customFormat="1" ht="13.8"/>
    <row r="204" s="923" customFormat="1" ht="13.8"/>
    <row r="205" s="923" customFormat="1" ht="13.8"/>
    <row r="206" s="923" customFormat="1" ht="13.8"/>
    <row r="207" s="923" customFormat="1" ht="13.8"/>
    <row r="208" s="923" customFormat="1" ht="13.8"/>
    <row r="209" s="923" customFormat="1" ht="13.8"/>
    <row r="210" s="923" customFormat="1" ht="13.8"/>
    <row r="211" s="923" customFormat="1" ht="13.8"/>
    <row r="212" s="923" customFormat="1" ht="13.8"/>
    <row r="213" s="923" customFormat="1" ht="13.8"/>
    <row r="214" s="923" customFormat="1" ht="13.8"/>
    <row r="215" s="923" customFormat="1" ht="13.8"/>
    <row r="216" s="923" customFormat="1" ht="13.8"/>
    <row r="217" s="923" customFormat="1" ht="13.8"/>
    <row r="218" s="923" customFormat="1" ht="13.8"/>
    <row r="219" s="923" customFormat="1" ht="13.8"/>
    <row r="220" s="923" customFormat="1" ht="13.8"/>
    <row r="221" s="923" customFormat="1" ht="13.8"/>
    <row r="222" s="923" customFormat="1" ht="13.8"/>
    <row r="223" s="923" customFormat="1" ht="13.8"/>
    <row r="224" s="923" customFormat="1" ht="13.8"/>
    <row r="225" s="923" customFormat="1" ht="13.8"/>
    <row r="226" s="923" customFormat="1" ht="13.8"/>
    <row r="227" s="923" customFormat="1" ht="13.8"/>
    <row r="228" s="923" customFormat="1" ht="13.8"/>
    <row r="229" s="923" customFormat="1" ht="13.8"/>
    <row r="230" s="923" customFormat="1" ht="13.8"/>
    <row r="231" s="923" customFormat="1" ht="13.8"/>
    <row r="232" s="923" customFormat="1" ht="13.8"/>
    <row r="233" s="923" customFormat="1" ht="13.8"/>
    <row r="234" s="923" customFormat="1" ht="13.8"/>
    <row r="235" s="923" customFormat="1" ht="13.8"/>
    <row r="236" s="923" customFormat="1" ht="13.8"/>
    <row r="237" s="923" customFormat="1" ht="13.8"/>
    <row r="238" s="923" customFormat="1" ht="13.8"/>
    <row r="239" s="923" customFormat="1" ht="13.8"/>
    <row r="240" s="923" customFormat="1" ht="13.8"/>
    <row r="241" s="923" customFormat="1" ht="13.8"/>
    <row r="242" s="923" customFormat="1" ht="13.8"/>
    <row r="243" s="923" customFormat="1" ht="13.8"/>
    <row r="244" s="923" customFormat="1" ht="13.8"/>
    <row r="245" s="923" customFormat="1" ht="13.8"/>
    <row r="246" s="923" customFormat="1" ht="13.8"/>
    <row r="247" s="923" customFormat="1" ht="13.8"/>
    <row r="248" s="923" customFormat="1" ht="13.8"/>
    <row r="249" s="923" customFormat="1" ht="13.8"/>
    <row r="250" s="923" customFormat="1" ht="13.8"/>
    <row r="251" s="923" customFormat="1" ht="13.8"/>
    <row r="252" s="923" customFormat="1" ht="13.8"/>
    <row r="253" s="923" customFormat="1" ht="13.8"/>
    <row r="254" s="923" customFormat="1" ht="13.8"/>
    <row r="255" s="923" customFormat="1" ht="13.8"/>
    <row r="256" s="923" customFormat="1" ht="13.8"/>
    <row r="257" s="923" customFormat="1" ht="13.8"/>
    <row r="258" s="923" customFormat="1" ht="13.8"/>
    <row r="259" s="923" customFormat="1" ht="13.8"/>
    <row r="260" s="923" customFormat="1" ht="13.8"/>
    <row r="261" s="923" customFormat="1" ht="13.8"/>
    <row r="262" s="923" customFormat="1" ht="13.8"/>
    <row r="263" s="923" customFormat="1" ht="13.8"/>
    <row r="264" s="923" customFormat="1" ht="13.8"/>
    <row r="265" s="923" customFormat="1" ht="13.8"/>
    <row r="266" s="923" customFormat="1" ht="13.8"/>
    <row r="267" s="923" customFormat="1" ht="13.8"/>
    <row r="268" s="923" customFormat="1" ht="13.8"/>
    <row r="269" s="923" customFormat="1" ht="13.8"/>
    <row r="270" s="923" customFormat="1" ht="13.8"/>
    <row r="271" s="923" customFormat="1" ht="13.8"/>
    <row r="272" s="923" customFormat="1" ht="13.8"/>
    <row r="273" s="923" customFormat="1" ht="13.8"/>
    <row r="274" s="923" customFormat="1" ht="13.8"/>
    <row r="275" s="923" customFormat="1" ht="13.8"/>
    <row r="276" s="923" customFormat="1" ht="13.8"/>
    <row r="277" s="923" customFormat="1" ht="13.8"/>
    <row r="278" s="923" customFormat="1" ht="13.8"/>
    <row r="279" s="923" customFormat="1" ht="13.8"/>
    <row r="280" s="923" customFormat="1" ht="13.8"/>
    <row r="281" s="923" customFormat="1" ht="13.8"/>
    <row r="282" s="923" customFormat="1" ht="13.8"/>
    <row r="283" s="923" customFormat="1" ht="13.8"/>
    <row r="284" s="923" customFormat="1" ht="13.8"/>
    <row r="285" s="923" customFormat="1" ht="13.8"/>
    <row r="286" s="923" customFormat="1" ht="13.8"/>
    <row r="287" s="923" customFormat="1" ht="13.8"/>
    <row r="288" s="923" customFormat="1" ht="13.8"/>
    <row r="289" s="923" customFormat="1" ht="13.8"/>
    <row r="290" s="923" customFormat="1" ht="13.8"/>
    <row r="291" s="923" customFormat="1" ht="13.8"/>
  </sheetData>
  <customSheetViews>
    <customSheetView guid="{89CA84C2-78F5-4B05-8F1D-B7C5F97BCB4E}" scale="85" showGridLines="0" outlineSymbols="0" fitToPage="1" printArea="1" hiddenRows="1" topLeftCell="G47">
      <selection activeCell="B52" sqref="B52:R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A26">
      <selection activeCell="Q65" sqref="Q65"/>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B1">
      <selection activeCell="B1" sqref="B1:R68"/>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Z7:Z11"/>
    <mergeCell ref="P8:R10"/>
    <mergeCell ref="B1:W1"/>
    <mergeCell ref="B3:W3"/>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0893C301-951C-4870-96BE-44D9CC223047}"/>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5 Build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5 Build Assets'!Print_Area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2026-02-09T12:46:37Z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